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hreadedComments/threadedComment4.xml" ContentType="application/vnd.ms-excel.threadedcomments+xml"/>
  <Override PartName="/xl/comments11.xml" ContentType="application/vnd.openxmlformats-officedocument.spreadsheetml.comments+xml"/>
  <Override PartName="/xl/threadedComments/threadedComment5.xml" ContentType="application/vnd.ms-excel.threadedcomments+xml"/>
  <Override PartName="/xl/customProperty1.bin" ContentType="application/vnd.openxmlformats-officedocument.spreadsheetml.customProperty"/>
  <Override PartName="/xl/comments12.xml" ContentType="application/vnd.openxmlformats-officedocument.spreadsheetml.comments+xml"/>
  <Override PartName="/xl/threadedComments/threadedComment6.xml" ContentType="application/vnd.ms-excel.threaded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pkidking\Downloads\"/>
    </mc:Choice>
  </mc:AlternateContent>
  <xr:revisionPtr revIDLastSave="0" documentId="13_ncr:1_{C9A4F540-EA01-447D-9975-E2C91FA7B62B}" xr6:coauthVersionLast="47" xr6:coauthVersionMax="47" xr10:uidLastSave="{00000000-0000-0000-0000-000000000000}"/>
  <bookViews>
    <workbookView xWindow="-120" yWindow="-120" windowWidth="29040" windowHeight="15720" tabRatio="923" activeTab="2" xr2:uid="{00000000-000D-0000-FFFF-FFFF00000000}"/>
  </bookViews>
  <sheets>
    <sheet name="Instruct" sheetId="1" r:id="rId1"/>
    <sheet name="Pkg Updates" sheetId="103" r:id="rId2"/>
    <sheet name="Index" sheetId="2" r:id="rId3"/>
    <sheet name="Dashboard" sheetId="121" r:id="rId4"/>
    <sheet name="101" sheetId="3" r:id="rId5"/>
    <sheet name="105" sheetId="4" r:id="rId6"/>
    <sheet name="110" sheetId="89" r:id="rId7"/>
    <sheet name="202" sheetId="112" r:id="rId8"/>
    <sheet name="120" sheetId="97" r:id="rId9"/>
    <sheet name="201" sheetId="5" r:id="rId10"/>
    <sheet name="203" sheetId="113" r:id="rId11"/>
    <sheet name="210" sheetId="8" r:id="rId12"/>
    <sheet name="215" sheetId="9" r:id="rId13"/>
    <sheet name="220" sheetId="10" r:id="rId14"/>
    <sheet name="301" sheetId="11" r:id="rId15"/>
    <sheet name="302" sheetId="122" r:id="rId16"/>
    <sheet name="303" sheetId="123" r:id="rId17"/>
    <sheet name="305" sheetId="12" r:id="rId18"/>
    <sheet name="310" sheetId="13" r:id="rId19"/>
    <sheet name="315" sheetId="14" r:id="rId20"/>
    <sheet name="320" sheetId="15" r:id="rId21"/>
    <sheet name="322" sheetId="16" r:id="rId22"/>
    <sheet name="323" sheetId="115" r:id="rId23"/>
    <sheet name="325" sheetId="17" r:id="rId24"/>
    <sheet name="330" sheetId="18" r:id="rId25"/>
    <sheet name="338" sheetId="95" r:id="rId26"/>
    <sheet name="340" sheetId="19" r:id="rId27"/>
    <sheet name="341" sheetId="20" r:id="rId28"/>
    <sheet name="342" sheetId="21" r:id="rId29"/>
    <sheet name="345" sheetId="22" r:id="rId30"/>
    <sheet name="350" sheetId="23" r:id="rId31"/>
    <sheet name="355" sheetId="24" r:id="rId32"/>
    <sheet name="365" sheetId="25" r:id="rId33"/>
    <sheet name="370" sheetId="26" r:id="rId34"/>
    <sheet name="375-A" sheetId="119" r:id="rId35"/>
    <sheet name="375-B" sheetId="120" r:id="rId36"/>
    <sheet name="401" sheetId="28" r:id="rId37"/>
    <sheet name="405" sheetId="29" r:id="rId38"/>
    <sheet name="410" sheetId="30" r:id="rId39"/>
    <sheet name="415" sheetId="31" r:id="rId40"/>
    <sheet name="420" sheetId="32" r:id="rId41"/>
    <sheet name="425" sheetId="33" r:id="rId42"/>
    <sheet name="430G" sheetId="34" r:id="rId43"/>
    <sheet name="430BTA" sheetId="94" r:id="rId44"/>
    <sheet name="430F" sheetId="118" r:id="rId45"/>
    <sheet name="431G" sheetId="35" r:id="rId46"/>
    <sheet name="431BTA" sheetId="98" r:id="rId47"/>
    <sheet name="501" sheetId="36" r:id="rId48"/>
    <sheet name="505" sheetId="37" r:id="rId49"/>
    <sheet name="510" sheetId="38" r:id="rId50"/>
    <sheet name="515" sheetId="39" r:id="rId51"/>
    <sheet name="520" sheetId="40" r:id="rId52"/>
    <sheet name="525" sheetId="41" r:id="rId53"/>
    <sheet name="530" sheetId="42" r:id="rId54"/>
    <sheet name="535" sheetId="43" r:id="rId55"/>
    <sheet name="540" sheetId="109" r:id="rId56"/>
    <sheet name="545" sheetId="110" r:id="rId57"/>
    <sheet name="546" sheetId="126" r:id="rId58"/>
    <sheet name="550" sheetId="106" r:id="rId59"/>
    <sheet name="555" sheetId="107" r:id="rId60"/>
    <sheet name="560" sheetId="108" r:id="rId61"/>
    <sheet name="565" sheetId="46" r:id="rId62"/>
    <sheet name="570" sheetId="47" r:id="rId63"/>
    <sheet name="602" sheetId="117" r:id="rId64"/>
    <sheet name="605" sheetId="49" r:id="rId65"/>
    <sheet name="610" sheetId="50" r:id="rId66"/>
    <sheet name="615" sheetId="51" r:id="rId67"/>
    <sheet name="616" sheetId="105" r:id="rId68"/>
    <sheet name="620" sheetId="52" r:id="rId69"/>
    <sheet name="625" sheetId="53" r:id="rId70"/>
    <sheet name="635" sheetId="55" r:id="rId71"/>
    <sheet name="640" sheetId="104" r:id="rId72"/>
    <sheet name="705" sheetId="56" r:id="rId73"/>
    <sheet name="710" sheetId="57" r:id="rId74"/>
    <sheet name="715" sheetId="59" r:id="rId75"/>
    <sheet name="720" sheetId="60" r:id="rId76"/>
    <sheet name="725" sheetId="61" r:id="rId77"/>
    <sheet name="730" sheetId="62" r:id="rId78"/>
    <sheet name="735" sheetId="63" r:id="rId79"/>
    <sheet name="740" sheetId="64" r:id="rId80"/>
    <sheet name="745" sheetId="65" r:id="rId81"/>
    <sheet name="755" sheetId="101" r:id="rId82"/>
    <sheet name="756" sheetId="58" r:id="rId83"/>
    <sheet name="760" sheetId="100" r:id="rId84"/>
    <sheet name="765" sheetId="99" r:id="rId85"/>
    <sheet name="905" sheetId="66" r:id="rId86"/>
    <sheet name="For 905-NCAS Acct Roll-up" sheetId="67" r:id="rId87"/>
    <sheet name="905Hosp" sheetId="68" r:id="rId88"/>
    <sheet name="906-6B" sheetId="69" r:id="rId89"/>
    <sheet name="906-6C" sheetId="87" r:id="rId90"/>
    <sheet name="906-6BC" sheetId="88" r:id="rId91"/>
    <sheet name="907" sheetId="70" r:id="rId92"/>
    <sheet name="908" sheetId="125" r:id="rId93"/>
    <sheet name="910" sheetId="72" r:id="rId94"/>
    <sheet name="910Hosp" sheetId="90" r:id="rId95"/>
    <sheet name="911-6B" sheetId="74" r:id="rId96"/>
    <sheet name="911-6C" sheetId="92" r:id="rId97"/>
    <sheet name="Explanations" sheetId="75" r:id="rId98"/>
    <sheet name="Comments" sheetId="76" r:id="rId99"/>
    <sheet name="Agencies" sheetId="96" r:id="rId100"/>
    <sheet name="Functional" sheetId="78" r:id="rId101"/>
    <sheet name="NetPosition" sheetId="79" r:id="rId102"/>
    <sheet name="PriorYr905" sheetId="80" r:id="rId103"/>
    <sheet name="PriorYr906" sheetId="85" r:id="rId104"/>
    <sheet name="All Agencies" sheetId="77" r:id="rId105"/>
    <sheet name="OSC Analysts" sheetId="111" r:id="rId106"/>
    <sheet name="Data" sheetId="81" state="hidden" r:id="rId107"/>
    <sheet name="Errors" sheetId="82" state="hidden" r:id="rId108"/>
    <sheet name="Notes" sheetId="83" state="hidden" r:id="rId109"/>
  </sheets>
  <externalReferences>
    <externalReference r:id="rId110"/>
  </externalReferences>
  <definedNames>
    <definedName name="__Agy301">'301'!$G$5</definedName>
    <definedName name="__AGY305">'305'!$K$6</definedName>
    <definedName name="__AGY310">'310'!$K$6</definedName>
    <definedName name="__Agy501">'501'!$E$6</definedName>
    <definedName name="__Agy510">'510'!$D$7</definedName>
    <definedName name="__Agy515">'515'!$D$7</definedName>
    <definedName name="__Agy520">'520'!$D$7</definedName>
    <definedName name="__Agy525">'525'!$D$7</definedName>
    <definedName name="__Agy530">'530'!$D$7</definedName>
    <definedName name="__FMD320">'320'!$M$46</definedName>
    <definedName name="__OID320">'320'!$M$36</definedName>
    <definedName name="__TO320">'320'!$P$42</definedName>
    <definedName name="_AGY201">'201'!$N$6</definedName>
    <definedName name="_AGY210">'210'!$I$5</definedName>
    <definedName name="_Agy301">'301'!$G$5</definedName>
    <definedName name="_Agy302">'302'!$G$5</definedName>
    <definedName name="_Agy303">Index!#REF!</definedName>
    <definedName name="_AGY305">'305'!$K$6</definedName>
    <definedName name="_AGY310">'310'!$K$6</definedName>
    <definedName name="_AGY315" localSheetId="19">'315'!$I$7</definedName>
    <definedName name="_AGY320">'320'!$I$7</definedName>
    <definedName name="_AGY325">'325'!$K$5</definedName>
    <definedName name="_Agy501">'501'!$E$6</definedName>
    <definedName name="_Agy510">'510'!$D$7</definedName>
    <definedName name="_Agy515">'515'!$D$7</definedName>
    <definedName name="_Agy520">'520'!$D$7</definedName>
    <definedName name="_Agy525">'525'!$D$7</definedName>
    <definedName name="_Agy530">'530'!$D$7</definedName>
    <definedName name="_Agy535">'535'!$D$5</definedName>
    <definedName name="_Agy710">'710'!$M$6</definedName>
    <definedName name="_Agy720">'720'!$M$6</definedName>
    <definedName name="_COL201">'201'!$A$18:$X$18</definedName>
    <definedName name="_COL210">'210'!$A$15:$S$15</definedName>
    <definedName name="_COL305">'305'!$A$15:$R$15</definedName>
    <definedName name="_COL310">'310'!$A$15:$Q$15</definedName>
    <definedName name="_COL315" localSheetId="19">'315'!$A$31:$I$31</definedName>
    <definedName name="_COL320">'320'!$A$20:$K$20</definedName>
    <definedName name="_COL325">'325'!$B$16:$P$16</definedName>
    <definedName name="_Col705">'705'!$B$16:$Q$16</definedName>
    <definedName name="_Col710">'710'!$I$19:$Q$19</definedName>
    <definedName name="_Col715">'715'!$B$17:$Q$17</definedName>
    <definedName name="_Col720">'720'!$B$14:$Q$14</definedName>
    <definedName name="_Col725">'725'!$B$12:$S$12</definedName>
    <definedName name="_Col735">'735'!$B$22:$O$22</definedName>
    <definedName name="_Col740">'740'!$B$16:$O$16</definedName>
    <definedName name="_Col745">'745'!$B$17:$N$17</definedName>
    <definedName name="_Col755">'755'!$I$18:$U$18</definedName>
    <definedName name="_Data725">'725'!$B$12:$S$31</definedName>
    <definedName name="_xlnm._FilterDatabase" localSheetId="23" hidden="1">'325'!$G$11:$G$12</definedName>
    <definedName name="_xlnm._FilterDatabase" localSheetId="104" hidden="1">'All Agencies'!$A$1:$M$136</definedName>
    <definedName name="_xlnm._FilterDatabase" localSheetId="86" hidden="1">'For 905-NCAS Acct Roll-up'!$A$1:$C$299</definedName>
    <definedName name="_FMD315" localSheetId="19">'315'!$K$46</definedName>
    <definedName name="_FMD320">'320'!$M$46</definedName>
    <definedName name="_OID315" localSheetId="19">'315'!$K$36</definedName>
    <definedName name="_OID320">'320'!$M$36</definedName>
    <definedName name="_ROW201">'201'!$A$1:$A$61</definedName>
    <definedName name="_ROW210">'210'!$A$1:$A$41</definedName>
    <definedName name="_ROW305">'305'!$A$1:$A$44</definedName>
    <definedName name="_ROW310">'310'!$A$1:$A$56</definedName>
    <definedName name="_ROW315" localSheetId="19">'315'!$A$31:$B$46</definedName>
    <definedName name="_ROW320">'320'!$A$20:$A$46</definedName>
    <definedName name="_ROW325">'325'!$B$1:$B$55</definedName>
    <definedName name="_Row705">'705'!$B$16:$B$45</definedName>
    <definedName name="_Row710">'710'!$I$19:$I$76</definedName>
    <definedName name="_Row715">'715'!$B$17:$B$41</definedName>
    <definedName name="_Row720">'720'!$B$14:$B$56</definedName>
    <definedName name="_Row725">'725'!$B$12:$B$31</definedName>
    <definedName name="_Row735">'735'!$B$22:$B$32</definedName>
    <definedName name="_Row740">'740'!$B$16:$B$44</definedName>
    <definedName name="_Row745">'745'!$B$17:$B$23</definedName>
    <definedName name="_Row755">'755'!$I$18:$I$64</definedName>
    <definedName name="_TO315" localSheetId="19">'315'!$N$42</definedName>
    <definedName name="_TO320">'320'!$P$42</definedName>
    <definedName name="a905a">'905'!$A$13:$A$260</definedName>
    <definedName name="a905b">'905'!$F$13:$F$260</definedName>
    <definedName name="a905c">'905'!$F$238</definedName>
    <definedName name="a905Data">'905'!$A:$F</definedName>
    <definedName name="a905Ha" localSheetId="87">'905Hosp'!$A$14:$A$258</definedName>
    <definedName name="a905Hb" localSheetId="87">'905Hosp'!$F$14:$F$258</definedName>
    <definedName name="a905Hc" localSheetId="87">'905Hosp'!$F$236</definedName>
    <definedName name="a905HData">'905Hosp'!$A:$F</definedName>
    <definedName name="AgyIdx">Index!$E$10</definedName>
    <definedName name="AgyName">Index!$E$11</definedName>
    <definedName name="AgyNum">'All Agencies'!$C$3:$C$77</definedName>
    <definedName name="BeginningNetAssets" comment="Equals Ending net assets per prior year CAFR" localSheetId="101">NetPosition!$C$5:$C$33</definedName>
    <definedName name="compgasb">'All Agencies'!$E$3:$E$136</definedName>
    <definedName name="compname">'All Agencies'!$D$3:$D$136</definedName>
    <definedName name="compnum">'All Agencies'!$B$3:$B$136</definedName>
    <definedName name="compnumtxt">Agencies!$B$3:$B$66</definedName>
    <definedName name="comptable">Agencies!$A$3:$D$66</definedName>
    <definedName name="ConcNum">Agencies!$A$3:$A$66</definedName>
    <definedName name="CurrentAssets">Notes!$R$4:$R$20</definedName>
    <definedName name="CurrentLiabilities">Notes!$R$37:$R$54</definedName>
    <definedName name="DATA201" localSheetId="9">'201'!$A$1:$U$56</definedName>
    <definedName name="DATA210" localSheetId="11">'210'!$A$1:$S$38</definedName>
    <definedName name="DATA305">'305'!$A$1:$P$45</definedName>
    <definedName name="DATA310">'310'!$A$1:$P$58</definedName>
    <definedName name="DATA315" localSheetId="19">'315'!$A$31:$I$47</definedName>
    <definedName name="DATA320">'320'!$A$20:$K$47</definedName>
    <definedName name="DATA325">'325'!$B$1:$P$65</definedName>
    <definedName name="Data705">'705'!$B$16:$Q$45</definedName>
    <definedName name="Data710">'710'!$I$19:$Q$76</definedName>
    <definedName name="Data715">'715'!$B$17:$Q$41</definedName>
    <definedName name="Data720">'720'!$B$14:$Q$56</definedName>
    <definedName name="Data735">'735'!$B$22:$O$32</definedName>
    <definedName name="Data740">'740'!$B$16:$O$44</definedName>
    <definedName name="Data745">'745'!$B$17:$N$23</definedName>
    <definedName name="Data755">'755'!$I$18:$U$64</definedName>
    <definedName name="Deferredinflows">Notes!$R$82:$R$86</definedName>
    <definedName name="DeferredOutflows">Notes!$R$73:$R$78</definedName>
    <definedName name="Derivative">Notes!$J$1:$J$8</definedName>
    <definedName name="ErrorCode">Errors!$A$1:$A$216</definedName>
    <definedName name="ErrorKey">Errors!$B$1:$B$216</definedName>
    <definedName name="ErrorTable">Errors!$A$1:$AD$216</definedName>
    <definedName name="FaCol301">'301'!#REF!</definedName>
    <definedName name="FaDat301">'301'!#REF!</definedName>
    <definedName name="FaRow301">'301'!#REF!</definedName>
    <definedName name="FCCSent">'All Agencies'!$S$2:$T$21</definedName>
    <definedName name="FCCSnum">'All Agencies'!$N$2:$P$77</definedName>
    <definedName name="FROM315" localSheetId="19">'315'!$K$42</definedName>
    <definedName name="FROM320">'320'!$M$42</definedName>
    <definedName name="function">Notes!$H$1:$H$15</definedName>
    <definedName name="functionA">Notes!$H$35:$H$47</definedName>
    <definedName name="functionC">Notes!$H$18:$H$32</definedName>
    <definedName name="Gasb510">'510'!$D$9</definedName>
    <definedName name="Gasb515">'515'!$D$9</definedName>
    <definedName name="Gasb520">'520'!$D$9</definedName>
    <definedName name="Gasb525">'525'!$D$9</definedName>
    <definedName name="Gasb530">'530'!$D$9</definedName>
    <definedName name="Gasb535">'535'!$D$7</definedName>
    <definedName name="hk">'All Agencies'!$C$3:$C$134</definedName>
    <definedName name="IdxNa">Index!$B$16:$B$117</definedName>
    <definedName name="IdxSheetNum">Index!$A$16:$A$117</definedName>
    <definedName name="IdxTable">Index!$A$16:$AA$117</definedName>
    <definedName name="Leaseannualrental301">'301'!#REF!</definedName>
    <definedName name="Leaseasset301">'301'!#REF!</definedName>
    <definedName name="LeaseCol301">'301'!$A$27:$K$27</definedName>
    <definedName name="LeaseDat301">'301'!$A$20:$K$53</definedName>
    <definedName name="LeaseRow301">'301'!$B$20:$B$53</definedName>
    <definedName name="List505thru520">Agencies!$B$71:$B$104</definedName>
    <definedName name="Listfor525and530">Agencies!$B$105:$B$201</definedName>
    <definedName name="Listfor535">Agencies!$B$71:$B$201</definedName>
    <definedName name="NetAssetsData">NetPosition!$A$4:$E$37</definedName>
    <definedName name="NetAssetsDataRow">NetPosition!$A$4:$A$37</definedName>
    <definedName name="NoncurrentAssets">Notes!$R$25:$R$32</definedName>
    <definedName name="NoncurrentLiabilities">Notes!$R$57:$R$70</definedName>
    <definedName name="OfflineNetAssetsRow" comment="AgencyNumber for Offline Beginning Net Assets Balance" localSheetId="101">NetPosition!$A$5:$A$33</definedName>
    <definedName name="Pledged_Revenue">Notes!$K$1:$K$9</definedName>
    <definedName name="_xlnm.Print_Area" localSheetId="4">'101'!$A$1:$M$69</definedName>
    <definedName name="_xlnm.Print_Area" localSheetId="5">'105'!$A$1:$J$68</definedName>
    <definedName name="_xlnm.Print_Area" localSheetId="6">'110'!$A$1:$K$33</definedName>
    <definedName name="_xlnm.Print_Area" localSheetId="8">'120'!$A$1:$K$49</definedName>
    <definedName name="_xlnm.Print_Area" localSheetId="9">'201'!$A$1:$T$51</definedName>
    <definedName name="_xlnm.Print_Area" localSheetId="7">'202'!$B$1:$Q$74</definedName>
    <definedName name="_xlnm.Print_Area" localSheetId="10">'203'!$B$1:$Q$81</definedName>
    <definedName name="_xlnm.Print_Area" localSheetId="11">'210'!$B$1:$Q$44</definedName>
    <definedName name="_xlnm.Print_Area" localSheetId="12">'215'!$A$1:$N$73</definedName>
    <definedName name="_xlnm.Print_Area" localSheetId="13">'220'!$A$1:$I$134</definedName>
    <definedName name="_xlnm.Print_Area" localSheetId="14">'301'!$C$1:$AE$87</definedName>
    <definedName name="_xlnm.Print_Area" localSheetId="15">'302'!$C$1:$Q$49</definedName>
    <definedName name="_xlnm.Print_Area" localSheetId="16">'303'!$A$1:$P$50</definedName>
    <definedName name="_xlnm.Print_Area" localSheetId="17">'305'!$B$1:$P$45</definedName>
    <definedName name="_xlnm.Print_Area" localSheetId="18">'310'!$B$1:$P$46</definedName>
    <definedName name="_xlnm.Print_Area" localSheetId="19">'315'!$B$1:$Q$72</definedName>
    <definedName name="_xlnm.Print_Area" localSheetId="20">'320'!$B$1:$S$70</definedName>
    <definedName name="_xlnm.Print_Area" localSheetId="21">'322'!$A$1:$N$62</definedName>
    <definedName name="_xlnm.Print_Area" localSheetId="22">'323'!$B$1:$L$82</definedName>
    <definedName name="_xlnm.Print_Area" localSheetId="23">'325'!$C$1:$P$73</definedName>
    <definedName name="_xlnm.Print_Area" localSheetId="24">'330'!$B$1:$P$70</definedName>
    <definedName name="_xlnm.Print_Area" localSheetId="26">'340'!$A$1:$R$44</definedName>
    <definedName name="_xlnm.Print_Area" localSheetId="27">'341'!$A$1:$S$42</definedName>
    <definedName name="_xlnm.Print_Area" localSheetId="28">'342'!$A$1:$S$41</definedName>
    <definedName name="_xlnm.Print_Area" localSheetId="29">'345'!$B$1:$K$56</definedName>
    <definedName name="_xlnm.Print_Area" localSheetId="30">'350'!$A$1:$H$53</definedName>
    <definedName name="_xlnm.Print_Area" localSheetId="31">'355'!$A$1:$M$46</definedName>
    <definedName name="_xlnm.Print_Area" localSheetId="32">'365'!$A$1:$L$39</definedName>
    <definedName name="_xlnm.Print_Area" localSheetId="34">'375-A'!$A$1:$K$57</definedName>
    <definedName name="_xlnm.Print_Area" localSheetId="35">'375-B'!$A$1:$K$53</definedName>
    <definedName name="_xlnm.Print_Area" localSheetId="36">'401'!$A$1:$I$50</definedName>
    <definedName name="_xlnm.Print_Area" localSheetId="37">'405'!$A$1:$I$48</definedName>
    <definedName name="_xlnm.Print_Area" localSheetId="38">'410'!$A$1:$I$54</definedName>
    <definedName name="_xlnm.Print_Area" localSheetId="39">'415'!$A$1:$I$50</definedName>
    <definedName name="_xlnm.Print_Area" localSheetId="40">'420'!$B$1:$I$37</definedName>
    <definedName name="_xlnm.Print_Area" localSheetId="41">'425'!$A$1:$K$40</definedName>
    <definedName name="_xlnm.Print_Area" localSheetId="43">'430BTA'!$A$1:$R$48</definedName>
    <definedName name="_xlnm.Print_Area" localSheetId="44">'430F'!$A$1:$T$36</definedName>
    <definedName name="_xlnm.Print_Area" localSheetId="42">'430G'!$A$1:$R$45</definedName>
    <definedName name="_xlnm.Print_Area" localSheetId="45">'431G'!$A$1:$H$86</definedName>
    <definedName name="_xlnm.Print_Area" localSheetId="47">'501'!$A$1:$U$35</definedName>
    <definedName name="_xlnm.Print_Area" localSheetId="48">'505'!$B$1:$R$32</definedName>
    <definedName name="_xlnm.Print_Area" localSheetId="49">'510'!$A$1:$Q$35</definedName>
    <definedName name="_xlnm.Print_Area" localSheetId="50">'515'!$A$1:$Q$35</definedName>
    <definedName name="_xlnm.Print_Area" localSheetId="51">'520'!$A$1:$Q$35</definedName>
    <definedName name="_xlnm.Print_Area" localSheetId="52">'525'!$A$1:$Q$38</definedName>
    <definedName name="_xlnm.Print_Area" localSheetId="53">'530'!$A$1:$Q$35</definedName>
    <definedName name="_xlnm.Print_Area" localSheetId="54">'535'!$A$1:$Q$35</definedName>
    <definedName name="_xlnm.Print_Area" localSheetId="55">'540'!$B$1:$AI$33</definedName>
    <definedName name="_xlnm.Print_Area" localSheetId="56">'545'!$A$1:$AF$35</definedName>
    <definedName name="_xlnm.Print_Area" localSheetId="57">'546'!$A$1:$AF$35</definedName>
    <definedName name="_xlnm.Print_Area" localSheetId="58">'550'!$A$1:$Q$42</definedName>
    <definedName name="_xlnm.Print_Area" localSheetId="59">'555'!$A$1:$Q$41</definedName>
    <definedName name="_xlnm.Print_Area" localSheetId="60">'560'!$B$1:$AF$30</definedName>
    <definedName name="_xlnm.Print_Area" localSheetId="61">'565'!$A$1:$N$31</definedName>
    <definedName name="_xlnm.Print_Area" localSheetId="62">'570'!$B$1:$M$30</definedName>
    <definedName name="_xlnm.Print_Area" localSheetId="63">'602'!$B$1:$P$57</definedName>
    <definedName name="_xlnm.Print_Area" localSheetId="64">'605'!$B$1:$O$46</definedName>
    <definedName name="_xlnm.Print_Area" localSheetId="65">'610'!$A$1:$K$41</definedName>
    <definedName name="_xlnm.Print_Area" localSheetId="66">'615'!$A$1:$K$28</definedName>
    <definedName name="_xlnm.Print_Area" localSheetId="67">'616'!$A$1:$J$49</definedName>
    <definedName name="_xlnm.Print_Area" localSheetId="69">'625'!$A$1:$W$30</definedName>
    <definedName name="_xlnm.Print_Area" localSheetId="70">'635'!$B$1:$P$88</definedName>
    <definedName name="_xlnm.Print_Area" localSheetId="71">'640'!$A$1:$L$49</definedName>
    <definedName name="_xlnm.Print_Area" localSheetId="72">'705'!$C$1:$R$48</definedName>
    <definedName name="_xlnm.Print_Area" localSheetId="73">'710'!$B$1:$S$74</definedName>
    <definedName name="_xlnm.Print_Area" localSheetId="74">'715'!$C$1:$R$40</definedName>
    <definedName name="_xlnm.Print_Area" localSheetId="75">'720'!$A$1:$R$58</definedName>
    <definedName name="_xlnm.Print_Area" localSheetId="76">'725'!$C$1:$R$45</definedName>
    <definedName name="_xlnm.Print_Area" localSheetId="78">'735'!$A$1:$O$42</definedName>
    <definedName name="_xlnm.Print_Area" localSheetId="79">'740'!$A$1:$O$58</definedName>
    <definedName name="_xlnm.Print_Area" localSheetId="81">'755'!$B$1:$V$86</definedName>
    <definedName name="_xlnm.Print_Area" localSheetId="82">'756'!$B$1:$S$46</definedName>
    <definedName name="_xlnm.Print_Area" localSheetId="83">'760'!$A$1:$R$54</definedName>
    <definedName name="_xlnm.Print_Area" localSheetId="84">'765'!$A$1:$J$53</definedName>
    <definedName name="_xlnm.Print_Area" localSheetId="85">'905'!$A$1:$I$278</definedName>
    <definedName name="_xlnm.Print_Area" localSheetId="87">'905Hosp'!$A$1:$G$275</definedName>
    <definedName name="_xlnm.Print_Area" localSheetId="88">'906-6B'!$A$1:$L$90</definedName>
    <definedName name="_xlnm.Print_Area" localSheetId="90">'906-6BC'!$A$1:$K$91</definedName>
    <definedName name="_xlnm.Print_Area" localSheetId="89">'906-6C'!$A$1:$L$90</definedName>
    <definedName name="_xlnm.Print_Area" localSheetId="91">'907'!$A$1:$K$61</definedName>
    <definedName name="_xlnm.Print_Area" localSheetId="92">'908'!$A$1:$K$76</definedName>
    <definedName name="_xlnm.Print_Area" localSheetId="93">'910'!$A$1:$N$261</definedName>
    <definedName name="_xlnm.Print_Area" localSheetId="94">'910Hosp'!$A$1:$N$260</definedName>
    <definedName name="_xlnm.Print_Area" localSheetId="95">'911-6B'!$A$1:$K$94</definedName>
    <definedName name="_xlnm.Print_Area" localSheetId="96">'911-6C'!$A$1:$L$93</definedName>
    <definedName name="_xlnm.Print_Area" localSheetId="3">Dashboard!$A$1:$M$105</definedName>
    <definedName name="_xlnm.Print_Area" localSheetId="86">'For 905-NCAS Acct Roll-up'!$A$1:$C$1637</definedName>
    <definedName name="_xlnm.Print_Area" localSheetId="2">Index!$A$1:$P$126</definedName>
    <definedName name="_xlnm.Print_Area" localSheetId="0">Instruct!$A$1:$D$53</definedName>
    <definedName name="_xlnm.Print_Area" localSheetId="101">NetPosition!$A$1:$E$45</definedName>
    <definedName name="_xlnm.Print_Area" localSheetId="102">PriorYr905!$A$1:$AG$350</definedName>
    <definedName name="_xlnm.Print_Titles" localSheetId="81">'755'!$1:$18</definedName>
    <definedName name="_xlnm.Print_Titles" localSheetId="85">'905'!$1:$9</definedName>
    <definedName name="_xlnm.Print_Titles" localSheetId="87">'905Hosp'!$A:$E,'905Hosp'!$1:$10</definedName>
    <definedName name="_xlnm.Print_Titles" localSheetId="93">'910'!$1:$10</definedName>
    <definedName name="_xlnm.Print_Titles" localSheetId="94">'910Hosp'!$1:$10</definedName>
    <definedName name="_xlnm.Print_Titles" localSheetId="104">'All Agencies'!$1:$2</definedName>
    <definedName name="_xlnm.Print_Titles" localSheetId="1">'Pkg Updates'!$1:$5</definedName>
    <definedName name="_xlnm.Print_Titles" localSheetId="102">PriorYr905!$A:$D,PriorYr905!$1:$11</definedName>
    <definedName name="PY905Col">PriorYr905!$8:$8</definedName>
    <definedName name="PY905Data">PriorYr905!$A$1:$AG$1061</definedName>
    <definedName name="PY905Row">PriorYr905!$A:$A</definedName>
    <definedName name="Rent301">'301'!#REF!</definedName>
    <definedName name="TYPE315" localSheetId="19">'315'!$A$13</definedName>
    <definedName name="TYPE320">'320'!$A$13</definedName>
    <definedName name="ValuationTech">Notes!$M$1:$M$9</definedName>
    <definedName name="w220Data">'220'!$J$107:$J$117</definedName>
    <definedName name="w301DataA">'301'!$M$28:$AC$29</definedName>
    <definedName name="w301DataB">'301'!#REF!</definedName>
    <definedName name="w301DataC">'301'!#REF!</definedName>
    <definedName name="w305Data">'305'!$Q$17:$Y$34</definedName>
    <definedName name="w310Data">'310'!$Q$17:$Y$37</definedName>
    <definedName name="w325col">'325'!$A$16:$Q$16</definedName>
    <definedName name="w325Data">'325'!$A$14:$Q$43</definedName>
    <definedName name="w325Row">'325'!$B$14:$B$42</definedName>
    <definedName name="w325Type">'325'!$C$11:$O$11</definedName>
    <definedName name="w501Data">'501'!$AD$12:$AO$31</definedName>
    <definedName name="Z_1250FD07_FF56_4A9D_AF9E_C27124A7EBE9_.wvu.Cols" localSheetId="47" hidden="1">'501'!#REF!,'501'!#REF!</definedName>
    <definedName name="Z_1250FD07_FF56_4A9D_AF9E_C27124A7EBE9_.wvu.PrintArea" localSheetId="4" hidden="1">'101'!$B$1:$L$64</definedName>
    <definedName name="Z_1250FD07_FF56_4A9D_AF9E_C27124A7EBE9_.wvu.PrintArea" localSheetId="6" hidden="1">'110'!$B$1:$J$39</definedName>
    <definedName name="Z_1250FD07_FF56_4A9D_AF9E_C27124A7EBE9_.wvu.PrintArea" localSheetId="8" hidden="1">'120'!$B$1:$J$71</definedName>
    <definedName name="Z_1250FD07_FF56_4A9D_AF9E_C27124A7EBE9_.wvu.PrintArea" localSheetId="11" hidden="1">'210'!$B$1:$R$34</definedName>
    <definedName name="Z_1250FD07_FF56_4A9D_AF9E_C27124A7EBE9_.wvu.PrintArea" localSheetId="12" hidden="1">'215'!$A$1:$N$74</definedName>
    <definedName name="Z_1250FD07_FF56_4A9D_AF9E_C27124A7EBE9_.wvu.PrintArea" localSheetId="14" hidden="1">'301'!$C$1:$L$53</definedName>
    <definedName name="Z_1250FD07_FF56_4A9D_AF9E_C27124A7EBE9_.wvu.PrintArea" localSheetId="17" hidden="1">'305'!$B$1:$P$43</definedName>
    <definedName name="Z_1250FD07_FF56_4A9D_AF9E_C27124A7EBE9_.wvu.PrintArea" localSheetId="19" hidden="1">'315'!$B$1:$Q$71</definedName>
    <definedName name="Z_1250FD07_FF56_4A9D_AF9E_C27124A7EBE9_.wvu.PrintArea" localSheetId="20" hidden="1">'320'!$B$1:$S$62</definedName>
    <definedName name="Z_1250FD07_FF56_4A9D_AF9E_C27124A7EBE9_.wvu.PrintArea" localSheetId="21" hidden="1">'322'!$A$1:$N$10</definedName>
    <definedName name="Z_1250FD07_FF56_4A9D_AF9E_C27124A7EBE9_.wvu.PrintArea" localSheetId="22" hidden="1">'323'!$B$1:$K$125</definedName>
    <definedName name="Z_1250FD07_FF56_4A9D_AF9E_C27124A7EBE9_.wvu.PrintArea" localSheetId="23" hidden="1">'325'!$C$1:$P$60</definedName>
    <definedName name="Z_1250FD07_FF56_4A9D_AF9E_C27124A7EBE9_.wvu.PrintArea" localSheetId="24" hidden="1">'330'!$B$1:$N$59</definedName>
    <definedName name="Z_1250FD07_FF56_4A9D_AF9E_C27124A7EBE9_.wvu.PrintArea" localSheetId="26" hidden="1">'340'!$A$1:$R$9</definedName>
    <definedName name="Z_1250FD07_FF56_4A9D_AF9E_C27124A7EBE9_.wvu.PrintArea" localSheetId="27" hidden="1">'341'!$A$1:$R$9</definedName>
    <definedName name="Z_1250FD07_FF56_4A9D_AF9E_C27124A7EBE9_.wvu.PrintArea" localSheetId="28" hidden="1">'342'!$A$1:$R$9</definedName>
    <definedName name="Z_1250FD07_FF56_4A9D_AF9E_C27124A7EBE9_.wvu.PrintArea" localSheetId="29" hidden="1">'345'!$B$1:$L$53</definedName>
    <definedName name="Z_1250FD07_FF56_4A9D_AF9E_C27124A7EBE9_.wvu.PrintArea" localSheetId="30" hidden="1">'350'!$A$1:$H$41</definedName>
    <definedName name="Z_1250FD07_FF56_4A9D_AF9E_C27124A7EBE9_.wvu.PrintArea" localSheetId="31" hidden="1">'355'!$B$1:$M$52</definedName>
    <definedName name="Z_1250FD07_FF56_4A9D_AF9E_C27124A7EBE9_.wvu.PrintArea" localSheetId="40" hidden="1">'420'!$B$1:$M$23</definedName>
    <definedName name="Z_1250FD07_FF56_4A9D_AF9E_C27124A7EBE9_.wvu.PrintArea" localSheetId="41" hidden="1">'425'!$B$1:$L$35</definedName>
    <definedName name="Z_1250FD07_FF56_4A9D_AF9E_C27124A7EBE9_.wvu.PrintArea" localSheetId="47" hidden="1">'501'!$B$1:$U$34</definedName>
    <definedName name="Z_1250FD07_FF56_4A9D_AF9E_C27124A7EBE9_.wvu.PrintArea" localSheetId="49" hidden="1">'510'!$B$1:$P$34</definedName>
    <definedName name="Z_1250FD07_FF56_4A9D_AF9E_C27124A7EBE9_.wvu.PrintArea" localSheetId="50" hidden="1">'515'!$B$1:$P$34</definedName>
    <definedName name="Z_1250FD07_FF56_4A9D_AF9E_C27124A7EBE9_.wvu.PrintArea" localSheetId="51" hidden="1">'520'!$B$1:$P$34</definedName>
    <definedName name="Z_1250FD07_FF56_4A9D_AF9E_C27124A7EBE9_.wvu.PrintArea" localSheetId="52" hidden="1">'525'!$B$1:$P$29</definedName>
    <definedName name="Z_1250FD07_FF56_4A9D_AF9E_C27124A7EBE9_.wvu.PrintArea" localSheetId="53" hidden="1">'530'!$B$1:$P$34</definedName>
    <definedName name="Z_1250FD07_FF56_4A9D_AF9E_C27124A7EBE9_.wvu.PrintArea" localSheetId="54" hidden="1">'535'!$B$1:$Q$36</definedName>
    <definedName name="Z_1250FD07_FF56_4A9D_AF9E_C27124A7EBE9_.wvu.PrintArea" localSheetId="55" hidden="1">'540'!$B$1:$Q$33</definedName>
    <definedName name="Z_1250FD07_FF56_4A9D_AF9E_C27124A7EBE9_.wvu.PrintArea" localSheetId="58" hidden="1">'550'!$C$1:$L$39</definedName>
    <definedName name="Z_1250FD07_FF56_4A9D_AF9E_C27124A7EBE9_.wvu.PrintArea" localSheetId="59" hidden="1">'555'!$C$1:$L$38</definedName>
    <definedName name="Z_1250FD07_FF56_4A9D_AF9E_C27124A7EBE9_.wvu.PrintArea" localSheetId="60" hidden="1">'560'!$B$1:$R$30</definedName>
    <definedName name="Z_1250FD07_FF56_4A9D_AF9E_C27124A7EBE9_.wvu.PrintArea" localSheetId="62" hidden="1">'570'!$B$1:$M$27</definedName>
    <definedName name="Z_1250FD07_FF56_4A9D_AF9E_C27124A7EBE9_.wvu.PrintArea" localSheetId="63" hidden="1">'602'!$B$1:$P$33</definedName>
    <definedName name="Z_1250FD07_FF56_4A9D_AF9E_C27124A7EBE9_.wvu.PrintArea" localSheetId="64" hidden="1">'605'!$B$1:$P$33</definedName>
    <definedName name="Z_1250FD07_FF56_4A9D_AF9E_C27124A7EBE9_.wvu.PrintArea" localSheetId="65" hidden="1">'610'!$A$1:$I$52</definedName>
    <definedName name="Z_1250FD07_FF56_4A9D_AF9E_C27124A7EBE9_.wvu.PrintArea" localSheetId="66" hidden="1">'615'!$A$1:$K$28</definedName>
    <definedName name="Z_1250FD07_FF56_4A9D_AF9E_C27124A7EBE9_.wvu.PrintArea" localSheetId="67" hidden="1">'616'!$A$1:$K$49</definedName>
    <definedName name="Z_1250FD07_FF56_4A9D_AF9E_C27124A7EBE9_.wvu.PrintArea" localSheetId="69" hidden="1">'625'!$B$1:$W$29</definedName>
    <definedName name="Z_1250FD07_FF56_4A9D_AF9E_C27124A7EBE9_.wvu.PrintArea" localSheetId="70" hidden="1">'635'!$B$1:$P$86</definedName>
    <definedName name="Z_1250FD07_FF56_4A9D_AF9E_C27124A7EBE9_.wvu.PrintArea" localSheetId="72" hidden="1">'705'!$C$1:$R$45</definedName>
    <definedName name="Z_1250FD07_FF56_4A9D_AF9E_C27124A7EBE9_.wvu.PrintArea" localSheetId="73" hidden="1">'710'!$B$1:$S$71</definedName>
    <definedName name="Z_1250FD07_FF56_4A9D_AF9E_C27124A7EBE9_.wvu.PrintArea" localSheetId="74" hidden="1">'715'!$C$1:$R$37</definedName>
    <definedName name="Z_1250FD07_FF56_4A9D_AF9E_C27124A7EBE9_.wvu.PrintArea" localSheetId="79" hidden="1">'740'!$C$1:$P$55</definedName>
    <definedName name="Z_1250FD07_FF56_4A9D_AF9E_C27124A7EBE9_.wvu.PrintArea" localSheetId="80" hidden="1">'745'!$C$1:$S$46</definedName>
    <definedName name="Z_1250FD07_FF56_4A9D_AF9E_C27124A7EBE9_.wvu.PrintArea" localSheetId="82" hidden="1">'756'!$B$1:$S$12</definedName>
    <definedName name="Z_1250FD07_FF56_4A9D_AF9E_C27124A7EBE9_.wvu.PrintArea" localSheetId="98" hidden="1">Comments!$A$1:$N$39</definedName>
    <definedName name="Z_1250FD07_FF56_4A9D_AF9E_C27124A7EBE9_.wvu.PrintArea" localSheetId="97" hidden="1">Explanations!$A$1:$N$9</definedName>
    <definedName name="Z_1250FD07_FF56_4A9D_AF9E_C27124A7EBE9_.wvu.PrintArea" localSheetId="2" hidden="1">Index!$A$1:$L$124</definedName>
    <definedName name="Z_1250FD07_FF56_4A9D_AF9E_C27124A7EBE9_.wvu.PrintTitles" localSheetId="2" hidden="1">Index!$1:$4</definedName>
    <definedName name="Z_1250FD07_FF56_4A9D_AF9E_C27124A7EBE9_.wvu.Rows" localSheetId="2" hidden="1">Index!$1292:$1358</definedName>
    <definedName name="Z_22EE6FEF_0954_4B41_9976_46012513457D_.wvu.Cols" localSheetId="47" hidden="1">'501'!#REF!,'501'!#REF!</definedName>
    <definedName name="Z_22EE6FEF_0954_4B41_9976_46012513457D_.wvu.Cols" localSheetId="55" hidden="1">'540'!#REF!,'540'!#REF!</definedName>
    <definedName name="Z_22EE6FEF_0954_4B41_9976_46012513457D_.wvu.Cols" localSheetId="60" hidden="1">'560'!#REF!,'560'!#REF!</definedName>
    <definedName name="Z_22EE6FEF_0954_4B41_9976_46012513457D_.wvu.PrintArea" localSheetId="9" hidden="1">'201'!$B$1:$P$49</definedName>
    <definedName name="Z_22EE6FEF_0954_4B41_9976_46012513457D_.wvu.PrintArea" localSheetId="11" hidden="1">'210'!$B$1:$R$34</definedName>
    <definedName name="Z_22EE6FEF_0954_4B41_9976_46012513457D_.wvu.PrintArea" localSheetId="14" hidden="1">'301'!$C$1:$K$53</definedName>
    <definedName name="Z_22EE6FEF_0954_4B41_9976_46012513457D_.wvu.PrintArea" localSheetId="29" hidden="1">'345'!$B$1:$K$53</definedName>
    <definedName name="Z_22EE6FEF_0954_4B41_9976_46012513457D_.wvu.PrintArea" localSheetId="40" hidden="1">'420'!$B$1:$K$16</definedName>
    <definedName name="Z_22EE6FEF_0954_4B41_9976_46012513457D_.wvu.PrintArea" localSheetId="47" hidden="1">'501'!$B$1:$T$33</definedName>
    <definedName name="Z_22EE6FEF_0954_4B41_9976_46012513457D_.wvu.PrintArea" localSheetId="49" hidden="1">'510'!$B$1:$P$33</definedName>
    <definedName name="Z_22EE6FEF_0954_4B41_9976_46012513457D_.wvu.PrintArea" localSheetId="50" hidden="1">'515'!$B$1:$P$27</definedName>
    <definedName name="Z_22EE6FEF_0954_4B41_9976_46012513457D_.wvu.PrintArea" localSheetId="51" hidden="1">'520'!$B$1:$P$33</definedName>
    <definedName name="Z_22EE6FEF_0954_4B41_9976_46012513457D_.wvu.PrintArea" localSheetId="52" hidden="1">'525'!$B$1:$P$29</definedName>
    <definedName name="Z_22EE6FEF_0954_4B41_9976_46012513457D_.wvu.PrintArea" localSheetId="53" hidden="1">'530'!$B$1:$P$33</definedName>
    <definedName name="Z_22EE6FEF_0954_4B41_9976_46012513457D_.wvu.PrintArea" localSheetId="54" hidden="1">'535'!$B$1:$P$35</definedName>
    <definedName name="Z_22EE6FEF_0954_4B41_9976_46012513457D_.wvu.PrintArea" localSheetId="55" hidden="1">'540'!$B$1:$P$29</definedName>
    <definedName name="Z_22EE6FEF_0954_4B41_9976_46012513457D_.wvu.PrintArea" localSheetId="56" hidden="1">'545'!#REF!</definedName>
    <definedName name="Z_22EE6FEF_0954_4B41_9976_46012513457D_.wvu.PrintArea" localSheetId="57" hidden="1">'546'!#REF!</definedName>
    <definedName name="Z_22EE6FEF_0954_4B41_9976_46012513457D_.wvu.PrintArea" localSheetId="58" hidden="1">'550'!$C$1:$K$33</definedName>
    <definedName name="Z_22EE6FEF_0954_4B41_9976_46012513457D_.wvu.PrintArea" localSheetId="59" hidden="1">'555'!$C$1:$K$32</definedName>
    <definedName name="Z_22EE6FEF_0954_4B41_9976_46012513457D_.wvu.PrintArea" localSheetId="60" hidden="1">'560'!$B$1:$P$30</definedName>
    <definedName name="Z_22EE6FEF_0954_4B41_9976_46012513457D_.wvu.PrintArea" localSheetId="69" hidden="1">'625'!$B$1:$V$29</definedName>
    <definedName name="Z_22EE6FEF_0954_4B41_9976_46012513457D_.wvu.PrintArea" localSheetId="72" hidden="1">'705'!$C$1:$Q$45</definedName>
    <definedName name="Z_22EE6FEF_0954_4B41_9976_46012513457D_.wvu.PrintArea" localSheetId="74" hidden="1">'715'!$C$1:$Q$35</definedName>
    <definedName name="Z_22EE6FEF_0954_4B41_9976_46012513457D_.wvu.Rows" localSheetId="9" hidden="1">'201'!#REF!,'201'!#REF!,'201'!#REF!</definedName>
    <definedName name="Z_22EE6FEF_0954_4B41_9976_46012513457D_.wvu.Rows" localSheetId="11" hidden="1">'210'!#REF!,'210'!#REF!,'210'!#REF!</definedName>
    <definedName name="Z_279D8F29_3A82_4EC4_B637_4060DE7A5F06_.wvu.Cols" localSheetId="48" hidden="1">'505'!$K:$K</definedName>
    <definedName name="Z_279D8F29_3A82_4EC4_B637_4060DE7A5F06_.wvu.PrintArea" localSheetId="48" hidden="1">'505'!$D$1:$Q$31</definedName>
    <definedName name="Z_3B9B908F_7E13_4791_A6FD_413206C417A3_.wvu.Cols" localSheetId="47" hidden="1">'501'!#REF!,'501'!#REF!</definedName>
    <definedName name="Z_3B9B908F_7E13_4791_A6FD_413206C417A3_.wvu.Cols" localSheetId="55" hidden="1">'540'!#REF!,'540'!#REF!</definedName>
    <definedName name="Z_3B9B908F_7E13_4791_A6FD_413206C417A3_.wvu.Cols" localSheetId="60" hidden="1">'560'!#REF!,'560'!#REF!</definedName>
    <definedName name="Z_3B9B908F_7E13_4791_A6FD_413206C417A3_.wvu.PrintArea" localSheetId="9" hidden="1">'201'!$B$1:$P$49</definedName>
    <definedName name="Z_3B9B908F_7E13_4791_A6FD_413206C417A3_.wvu.PrintArea" localSheetId="11" hidden="1">'210'!$B$1:$R$34</definedName>
    <definedName name="Z_3B9B908F_7E13_4791_A6FD_413206C417A3_.wvu.PrintArea" localSheetId="14" hidden="1">'301'!$C$1:$K$53</definedName>
    <definedName name="Z_3B9B908F_7E13_4791_A6FD_413206C417A3_.wvu.PrintArea" localSheetId="29" hidden="1">'345'!$B$1:$K$53</definedName>
    <definedName name="Z_3B9B908F_7E13_4791_A6FD_413206C417A3_.wvu.PrintArea" localSheetId="30" hidden="1">'350'!$A$1:$K$41</definedName>
    <definedName name="Z_3B9B908F_7E13_4791_A6FD_413206C417A3_.wvu.PrintArea" localSheetId="31" hidden="1">'355'!$B$1:$L$41</definedName>
    <definedName name="Z_3B9B908F_7E13_4791_A6FD_413206C417A3_.wvu.PrintArea" localSheetId="47" hidden="1">'501'!$B$1:$T$33</definedName>
    <definedName name="Z_3B9B908F_7E13_4791_A6FD_413206C417A3_.wvu.PrintArea" localSheetId="49" hidden="1">'510'!$B$1:$P$33</definedName>
    <definedName name="Z_3B9B908F_7E13_4791_A6FD_413206C417A3_.wvu.PrintArea" localSheetId="50" hidden="1">'515'!$B$1:$P$27</definedName>
    <definedName name="Z_3B9B908F_7E13_4791_A6FD_413206C417A3_.wvu.PrintArea" localSheetId="51" hidden="1">'520'!$B$1:$P$33</definedName>
    <definedName name="Z_3B9B908F_7E13_4791_A6FD_413206C417A3_.wvu.PrintArea" localSheetId="52" hidden="1">'525'!$B$1:$P$29</definedName>
    <definedName name="Z_3B9B908F_7E13_4791_A6FD_413206C417A3_.wvu.PrintArea" localSheetId="53" hidden="1">'530'!$B$1:$P$33</definedName>
    <definedName name="Z_3B9B908F_7E13_4791_A6FD_413206C417A3_.wvu.PrintArea" localSheetId="54" hidden="1">'535'!$B$1:$P$35</definedName>
    <definedName name="Z_3B9B908F_7E13_4791_A6FD_413206C417A3_.wvu.PrintArea" localSheetId="55" hidden="1">'540'!$B$1:$P$29</definedName>
    <definedName name="Z_3B9B908F_7E13_4791_A6FD_413206C417A3_.wvu.PrintArea" localSheetId="56" hidden="1">'545'!#REF!</definedName>
    <definedName name="Z_3B9B908F_7E13_4791_A6FD_413206C417A3_.wvu.PrintArea" localSheetId="57" hidden="1">'546'!#REF!</definedName>
    <definedName name="Z_3B9B908F_7E13_4791_A6FD_413206C417A3_.wvu.PrintArea" localSheetId="58" hidden="1">'550'!$C$1:$K$33</definedName>
    <definedName name="Z_3B9B908F_7E13_4791_A6FD_413206C417A3_.wvu.PrintArea" localSheetId="59" hidden="1">'555'!$C$1:$K$32</definedName>
    <definedName name="Z_3B9B908F_7E13_4791_A6FD_413206C417A3_.wvu.PrintArea" localSheetId="60" hidden="1">'560'!$B$1:$P$30</definedName>
    <definedName name="Z_3B9B908F_7E13_4791_A6FD_413206C417A3_.wvu.PrintArea" localSheetId="69" hidden="1">'625'!$B$1:$V$29</definedName>
    <definedName name="Z_3B9B908F_7E13_4791_A6FD_413206C417A3_.wvu.PrintArea" localSheetId="72" hidden="1">'705'!$C$1:$Q$45</definedName>
    <definedName name="Z_3B9B908F_7E13_4791_A6FD_413206C417A3_.wvu.PrintArea" localSheetId="74" hidden="1">'715'!$C$1:$Q$35</definedName>
    <definedName name="Z_3B9B908F_7E13_4791_A6FD_413206C417A3_.wvu.Rows" localSheetId="9" hidden="1">'201'!#REF!,'201'!#REF!,'201'!#REF!</definedName>
    <definedName name="Z_3B9B908F_7E13_4791_A6FD_413206C417A3_.wvu.Rows" localSheetId="11" hidden="1">'210'!#REF!,'210'!#REF!,'210'!#REF!</definedName>
    <definedName name="Z_9FCFC836_1CA5_48BF_958D_24D2EA94B219_.wvu.Cols" localSheetId="4" hidden="1">'101'!$A:$A</definedName>
    <definedName name="Z_9FCFC836_1CA5_48BF_958D_24D2EA94B219_.wvu.Cols" localSheetId="6" hidden="1">'110'!$A:$A</definedName>
    <definedName name="Z_9FCFC836_1CA5_48BF_958D_24D2EA94B219_.wvu.Cols" localSheetId="8" hidden="1">'120'!$A:$A</definedName>
    <definedName name="Z_9FCFC836_1CA5_48BF_958D_24D2EA94B219_.wvu.Cols" localSheetId="9" hidden="1">'201'!$A:$A</definedName>
    <definedName name="Z_9FCFC836_1CA5_48BF_958D_24D2EA94B219_.wvu.Cols" localSheetId="11" hidden="1">'210'!$A:$A</definedName>
    <definedName name="Z_9FCFC836_1CA5_48BF_958D_24D2EA94B219_.wvu.Cols" localSheetId="14" hidden="1">'301'!$A:$B,'301'!$M:$AC</definedName>
    <definedName name="Z_9FCFC836_1CA5_48BF_958D_24D2EA94B219_.wvu.Cols" localSheetId="17" hidden="1">'305'!$A:$A,'305'!$Q:$Y</definedName>
    <definedName name="Z_9FCFC836_1CA5_48BF_958D_24D2EA94B219_.wvu.Cols" localSheetId="18" hidden="1">'310'!$A:$A,'310'!$Q:$Y</definedName>
    <definedName name="Z_9FCFC836_1CA5_48BF_958D_24D2EA94B219_.wvu.Cols" localSheetId="19" hidden="1">'315'!$A:$A,'315'!$R:$T</definedName>
    <definedName name="Z_9FCFC836_1CA5_48BF_958D_24D2EA94B219_.wvu.Cols" localSheetId="20" hidden="1">'320'!$A:$A,'320'!$T:$V</definedName>
    <definedName name="Z_9FCFC836_1CA5_48BF_958D_24D2EA94B219_.wvu.Cols" localSheetId="22" hidden="1">'323'!$A:$A</definedName>
    <definedName name="Z_9FCFC836_1CA5_48BF_958D_24D2EA94B219_.wvu.Cols" localSheetId="23" hidden="1">'325'!$B:$B</definedName>
    <definedName name="Z_9FCFC836_1CA5_48BF_958D_24D2EA94B219_.wvu.Cols" localSheetId="24" hidden="1">'330'!$A:$A</definedName>
    <definedName name="Z_9FCFC836_1CA5_48BF_958D_24D2EA94B219_.wvu.Cols" localSheetId="29" hidden="1">'345'!$A:$A</definedName>
    <definedName name="Z_9FCFC836_1CA5_48BF_958D_24D2EA94B219_.wvu.Cols" localSheetId="31" hidden="1">'355'!$A:$A</definedName>
    <definedName name="Z_9FCFC836_1CA5_48BF_958D_24D2EA94B219_.wvu.Cols" localSheetId="40" hidden="1">'420'!$A:$A</definedName>
    <definedName name="Z_9FCFC836_1CA5_48BF_958D_24D2EA94B219_.wvu.Cols" localSheetId="47" hidden="1">'501'!$A:$A,'501'!$V:$AO</definedName>
    <definedName name="Z_9FCFC836_1CA5_48BF_958D_24D2EA94B219_.wvu.Cols" localSheetId="49" hidden="1">'510'!$A:$A,'510'!#REF!</definedName>
    <definedName name="Z_9FCFC836_1CA5_48BF_958D_24D2EA94B219_.wvu.Cols" localSheetId="50" hidden="1">'515'!$A:$A,'515'!#REF!,'515'!#REF!</definedName>
    <definedName name="Z_9FCFC836_1CA5_48BF_958D_24D2EA94B219_.wvu.Cols" localSheetId="51" hidden="1">'520'!$A:$A,'520'!#REF!,'520'!#REF!</definedName>
    <definedName name="Z_9FCFC836_1CA5_48BF_958D_24D2EA94B219_.wvu.Cols" localSheetId="52" hidden="1">'525'!$A:$A,'525'!#REF!,'525'!#REF!</definedName>
    <definedName name="Z_9FCFC836_1CA5_48BF_958D_24D2EA94B219_.wvu.Cols" localSheetId="53" hidden="1">'530'!$A:$A,'530'!#REF!,'530'!#REF!</definedName>
    <definedName name="Z_9FCFC836_1CA5_48BF_958D_24D2EA94B219_.wvu.Cols" localSheetId="54" hidden="1">'535'!$A:$A,'535'!$R:$W</definedName>
    <definedName name="Z_9FCFC836_1CA5_48BF_958D_24D2EA94B219_.wvu.Cols" localSheetId="61" hidden="1">'565'!$A:$A,'565'!$P:$X</definedName>
    <definedName name="Z_9FCFC836_1CA5_48BF_958D_24D2EA94B219_.wvu.Cols" localSheetId="62" hidden="1">'570'!$A:$A</definedName>
    <definedName name="Z_9FCFC836_1CA5_48BF_958D_24D2EA94B219_.wvu.Cols" localSheetId="63" hidden="1">'602'!$A:$A,'602'!$Q:$Q</definedName>
    <definedName name="Z_9FCFC836_1CA5_48BF_958D_24D2EA94B219_.wvu.Cols" localSheetId="64" hidden="1">'605'!$A:$A,'605'!$Q:$Q</definedName>
    <definedName name="Z_9FCFC836_1CA5_48BF_958D_24D2EA94B219_.wvu.Cols" localSheetId="69" hidden="1">'625'!$A:$A</definedName>
    <definedName name="Z_9FCFC836_1CA5_48BF_958D_24D2EA94B219_.wvu.Cols" localSheetId="70" hidden="1">'635'!$A:$A</definedName>
    <definedName name="Z_9FCFC836_1CA5_48BF_958D_24D2EA94B219_.wvu.Cols" localSheetId="72" hidden="1">'705'!$A:$B,'705'!$S:$S</definedName>
    <definedName name="Z_9FCFC836_1CA5_48BF_958D_24D2EA94B219_.wvu.Cols" localSheetId="74" hidden="1">'715'!$A:$B,'715'!$S:$S</definedName>
    <definedName name="Z_9FCFC836_1CA5_48BF_958D_24D2EA94B219_.wvu.Cols" localSheetId="76" hidden="1">'725'!$A:$B</definedName>
    <definedName name="Z_9FCFC836_1CA5_48BF_958D_24D2EA94B219_.wvu.Cols" localSheetId="77" hidden="1">'730'!$A:$A</definedName>
    <definedName name="Z_9FCFC836_1CA5_48BF_958D_24D2EA94B219_.wvu.Cols" localSheetId="78" hidden="1">'735'!$A:$B</definedName>
    <definedName name="Z_9FCFC836_1CA5_48BF_958D_24D2EA94B219_.wvu.Cols" localSheetId="79" hidden="1">'740'!$A:$B</definedName>
    <definedName name="Z_9FCFC836_1CA5_48BF_958D_24D2EA94B219_.wvu.Cols" localSheetId="80" hidden="1">'745'!$A:$B</definedName>
    <definedName name="Z_9FCFC836_1CA5_48BF_958D_24D2EA94B219_.wvu.Cols" localSheetId="104" hidden="1">'All Agencies'!$A:$B</definedName>
    <definedName name="Z_9FCFC836_1CA5_48BF_958D_24D2EA94B219_.wvu.Cols" localSheetId="2" hidden="1">Index!$D:$D</definedName>
    <definedName name="Z_9FCFC836_1CA5_48BF_958D_24D2EA94B219_.wvu.Cols" localSheetId="0" hidden="1">Instruct!#REF!</definedName>
    <definedName name="Z_9FCFC836_1CA5_48BF_958D_24D2EA94B219_.wvu.PrintArea" localSheetId="4" hidden="1">'101'!$B$1:$L$71</definedName>
    <definedName name="Z_9FCFC836_1CA5_48BF_958D_24D2EA94B219_.wvu.PrintArea" localSheetId="5" hidden="1">'105'!$A$1:$K$58</definedName>
    <definedName name="Z_9FCFC836_1CA5_48BF_958D_24D2EA94B219_.wvu.PrintArea" localSheetId="6" hidden="1">'110'!$B$1:$J$46</definedName>
    <definedName name="Z_9FCFC836_1CA5_48BF_958D_24D2EA94B219_.wvu.PrintArea" localSheetId="8" hidden="1">'120'!$B$1:$J$78</definedName>
    <definedName name="Z_9FCFC836_1CA5_48BF_958D_24D2EA94B219_.wvu.PrintArea" localSheetId="9" hidden="1">'201'!$B$1:$T$61</definedName>
    <definedName name="Z_9FCFC836_1CA5_48BF_958D_24D2EA94B219_.wvu.PrintArea" localSheetId="11" hidden="1">'210'!$B$1:$Q$41</definedName>
    <definedName name="Z_9FCFC836_1CA5_48BF_958D_24D2EA94B219_.wvu.PrintArea" localSheetId="12" hidden="1">'215'!$A$1:$N$74</definedName>
    <definedName name="Z_9FCFC836_1CA5_48BF_958D_24D2EA94B219_.wvu.PrintArea" localSheetId="13" hidden="1">'220'!$A$1:$H$121</definedName>
    <definedName name="Z_9FCFC836_1CA5_48BF_958D_24D2EA94B219_.wvu.PrintArea" localSheetId="14" hidden="1">'301'!$C$1:$L$53</definedName>
    <definedName name="Z_9FCFC836_1CA5_48BF_958D_24D2EA94B219_.wvu.PrintArea" localSheetId="17" hidden="1">'305'!$B$1:$P$44</definedName>
    <definedName name="Z_9FCFC836_1CA5_48BF_958D_24D2EA94B219_.wvu.PrintArea" localSheetId="18" hidden="1">'310'!$A$1:$P$46</definedName>
    <definedName name="Z_9FCFC836_1CA5_48BF_958D_24D2EA94B219_.wvu.PrintArea" localSheetId="19" hidden="1">'315'!$B$1:$Q$71</definedName>
    <definedName name="Z_9FCFC836_1CA5_48BF_958D_24D2EA94B219_.wvu.PrintArea" localSheetId="20" hidden="1">'320'!$B$1:$S$69</definedName>
    <definedName name="Z_9FCFC836_1CA5_48BF_958D_24D2EA94B219_.wvu.PrintArea" localSheetId="21" hidden="1">'322'!$A$1:$N$62</definedName>
    <definedName name="Z_9FCFC836_1CA5_48BF_958D_24D2EA94B219_.wvu.PrintArea" localSheetId="22" hidden="1">'323'!$B$1:$K$132</definedName>
    <definedName name="Z_9FCFC836_1CA5_48BF_958D_24D2EA94B219_.wvu.PrintArea" localSheetId="23" hidden="1">'325'!$C$1:$P$47</definedName>
    <definedName name="Z_9FCFC836_1CA5_48BF_958D_24D2EA94B219_.wvu.PrintArea" localSheetId="24" hidden="1">'330'!$B$1:$N$59</definedName>
    <definedName name="Z_9FCFC836_1CA5_48BF_958D_24D2EA94B219_.wvu.PrintArea" localSheetId="26" hidden="1">'340'!$A$1:$R$44</definedName>
    <definedName name="Z_9FCFC836_1CA5_48BF_958D_24D2EA94B219_.wvu.PrintArea" localSheetId="27" hidden="1">'341'!$A$1:$R$41</definedName>
    <definedName name="Z_9FCFC836_1CA5_48BF_958D_24D2EA94B219_.wvu.PrintArea" localSheetId="28" hidden="1">'342'!$A$1:$R$40</definedName>
    <definedName name="Z_9FCFC836_1CA5_48BF_958D_24D2EA94B219_.wvu.PrintArea" localSheetId="29" hidden="1">'345'!$B$1:$L$53</definedName>
    <definedName name="Z_9FCFC836_1CA5_48BF_958D_24D2EA94B219_.wvu.PrintArea" localSheetId="30" hidden="1">'350'!$A$1:$G$55</definedName>
    <definedName name="Z_9FCFC836_1CA5_48BF_958D_24D2EA94B219_.wvu.PrintArea" localSheetId="31" hidden="1">'355'!$B$1:$M$52</definedName>
    <definedName name="Z_9FCFC836_1CA5_48BF_958D_24D2EA94B219_.wvu.PrintArea" localSheetId="36" hidden="1">'401'!$A$1:$H$50</definedName>
    <definedName name="Z_9FCFC836_1CA5_48BF_958D_24D2EA94B219_.wvu.PrintArea" localSheetId="37" hidden="1">'405'!$A$1:$H$47</definedName>
    <definedName name="Z_9FCFC836_1CA5_48BF_958D_24D2EA94B219_.wvu.PrintArea" localSheetId="38" hidden="1">'410'!$A$1:$H$46</definedName>
    <definedName name="Z_9FCFC836_1CA5_48BF_958D_24D2EA94B219_.wvu.PrintArea" localSheetId="39" hidden="1">'415'!$A$1:$H$47</definedName>
    <definedName name="Z_9FCFC836_1CA5_48BF_958D_24D2EA94B219_.wvu.PrintArea" localSheetId="40" hidden="1">'420'!$B$1:$M$23</definedName>
    <definedName name="Z_9FCFC836_1CA5_48BF_958D_24D2EA94B219_.wvu.PrintArea" localSheetId="41" hidden="1">'425'!$A$1:$L$35</definedName>
    <definedName name="Z_9FCFC836_1CA5_48BF_958D_24D2EA94B219_.wvu.PrintArea" localSheetId="47" hidden="1">'501'!$B$1:$U$35</definedName>
    <definedName name="Z_9FCFC836_1CA5_48BF_958D_24D2EA94B219_.wvu.PrintArea" localSheetId="48" hidden="1">'505'!$B$1:$R$32</definedName>
    <definedName name="Z_9FCFC836_1CA5_48BF_958D_24D2EA94B219_.wvu.PrintArea" localSheetId="49" hidden="1">'510'!$B$1:$P$34</definedName>
    <definedName name="Z_9FCFC836_1CA5_48BF_958D_24D2EA94B219_.wvu.PrintArea" localSheetId="50" hidden="1">'515'!$B$1:$P$34</definedName>
    <definedName name="Z_9FCFC836_1CA5_48BF_958D_24D2EA94B219_.wvu.PrintArea" localSheetId="51" hidden="1">'520'!$B$1:$P$34</definedName>
    <definedName name="Z_9FCFC836_1CA5_48BF_958D_24D2EA94B219_.wvu.PrintArea" localSheetId="52" hidden="1">'525'!$B$1:$P$41</definedName>
    <definedName name="Z_9FCFC836_1CA5_48BF_958D_24D2EA94B219_.wvu.PrintArea" localSheetId="53" hidden="1">'530'!$B$1:$P$34</definedName>
    <definedName name="Z_9FCFC836_1CA5_48BF_958D_24D2EA94B219_.wvu.PrintArea" localSheetId="54" hidden="1">'535'!$B$1:$Q$36</definedName>
    <definedName name="Z_9FCFC836_1CA5_48BF_958D_24D2EA94B219_.wvu.PrintArea" localSheetId="61" hidden="1">'565'!$A$1:$O$31</definedName>
    <definedName name="Z_9FCFC836_1CA5_48BF_958D_24D2EA94B219_.wvu.PrintArea" localSheetId="62" hidden="1">'570'!$B$1:$M$27</definedName>
    <definedName name="Z_9FCFC836_1CA5_48BF_958D_24D2EA94B219_.wvu.PrintArea" localSheetId="63" hidden="1">'602'!$B$1:$P$33</definedName>
    <definedName name="Z_9FCFC836_1CA5_48BF_958D_24D2EA94B219_.wvu.PrintArea" localSheetId="64" hidden="1">'605'!$B$1:$P$33</definedName>
    <definedName name="Z_9FCFC836_1CA5_48BF_958D_24D2EA94B219_.wvu.PrintArea" localSheetId="65" hidden="1">'610'!$A$1:$I$52</definedName>
    <definedName name="Z_9FCFC836_1CA5_48BF_958D_24D2EA94B219_.wvu.PrintArea" localSheetId="66" hidden="1">'615'!$A$1:$K$28</definedName>
    <definedName name="Z_9FCFC836_1CA5_48BF_958D_24D2EA94B219_.wvu.PrintArea" localSheetId="67" hidden="1">'616'!$A$1:$K$49</definedName>
    <definedName name="Z_9FCFC836_1CA5_48BF_958D_24D2EA94B219_.wvu.PrintArea" localSheetId="69" hidden="1">'625'!$B$1:$W$29</definedName>
    <definedName name="Z_9FCFC836_1CA5_48BF_958D_24D2EA94B219_.wvu.PrintArea" localSheetId="70" hidden="1">'635'!$B$1:$P$86</definedName>
    <definedName name="Z_9FCFC836_1CA5_48BF_958D_24D2EA94B219_.wvu.PrintArea" localSheetId="72" hidden="1">'705'!$C$1:$R$45</definedName>
    <definedName name="Z_9FCFC836_1CA5_48BF_958D_24D2EA94B219_.wvu.PrintArea" localSheetId="73" hidden="1">'710'!$B$1:$S$71</definedName>
    <definedName name="Z_9FCFC836_1CA5_48BF_958D_24D2EA94B219_.wvu.PrintArea" localSheetId="74" hidden="1">'715'!$C$1:$R$37</definedName>
    <definedName name="Z_9FCFC836_1CA5_48BF_958D_24D2EA94B219_.wvu.PrintArea" localSheetId="76" hidden="1">'725'!$C$1:$R$45</definedName>
    <definedName name="Z_9FCFC836_1CA5_48BF_958D_24D2EA94B219_.wvu.PrintArea" localSheetId="79" hidden="1">'740'!$C$1:$P$55</definedName>
    <definedName name="Z_9FCFC836_1CA5_48BF_958D_24D2EA94B219_.wvu.PrintArea" localSheetId="80" hidden="1">'745'!$C$1:$S$46</definedName>
    <definedName name="Z_9FCFC836_1CA5_48BF_958D_24D2EA94B219_.wvu.PrintArea" localSheetId="82" hidden="1">'756'!$B$1:$S$45</definedName>
    <definedName name="Z_9FCFC836_1CA5_48BF_958D_24D2EA94B219_.wvu.PrintArea" localSheetId="88" hidden="1">'906-6B'!$B$1:$K$92</definedName>
    <definedName name="Z_9FCFC836_1CA5_48BF_958D_24D2EA94B219_.wvu.PrintArea" localSheetId="90" hidden="1">'906-6BC'!$B$1:$K$93</definedName>
    <definedName name="Z_9FCFC836_1CA5_48BF_958D_24D2EA94B219_.wvu.PrintArea" localSheetId="89" hidden="1">'906-6C'!$B$1:$K$92</definedName>
    <definedName name="Z_9FCFC836_1CA5_48BF_958D_24D2EA94B219_.wvu.PrintArea" localSheetId="91" hidden="1">'907'!$A$1:$L$38</definedName>
    <definedName name="Z_9FCFC836_1CA5_48BF_958D_24D2EA94B219_.wvu.PrintArea" localSheetId="92" hidden="1">'908'!$A$1:$L$66</definedName>
    <definedName name="Z_9FCFC836_1CA5_48BF_958D_24D2EA94B219_.wvu.PrintArea" localSheetId="93" hidden="1">'910'!$B$1:$N$261</definedName>
    <definedName name="Z_9FCFC836_1CA5_48BF_958D_24D2EA94B219_.wvu.PrintArea" localSheetId="94" hidden="1">'910Hosp'!$B$1:$N$260</definedName>
    <definedName name="Z_9FCFC836_1CA5_48BF_958D_24D2EA94B219_.wvu.PrintArea" localSheetId="95" hidden="1">'911-6B'!$B$1:$L$91</definedName>
    <definedName name="Z_9FCFC836_1CA5_48BF_958D_24D2EA94B219_.wvu.PrintArea" localSheetId="96" hidden="1">'911-6C'!$B$1:$L$91</definedName>
    <definedName name="Z_9FCFC836_1CA5_48BF_958D_24D2EA94B219_.wvu.PrintArea" localSheetId="104" hidden="1">'All Agencies'!$C$1:$J$146</definedName>
    <definedName name="Z_9FCFC836_1CA5_48BF_958D_24D2EA94B219_.wvu.PrintArea" localSheetId="98" hidden="1">Comments!$A$1:$N$39</definedName>
    <definedName name="Z_9FCFC836_1CA5_48BF_958D_24D2EA94B219_.wvu.PrintArea" localSheetId="97" hidden="1">Explanations!$A$1:$N$49</definedName>
    <definedName name="Z_9FCFC836_1CA5_48BF_958D_24D2EA94B219_.wvu.PrintArea" localSheetId="86" hidden="1">'For 905-NCAS Acct Roll-up'!#REF!</definedName>
    <definedName name="Z_9FCFC836_1CA5_48BF_958D_24D2EA94B219_.wvu.PrintArea" localSheetId="2" hidden="1">Index!$A$1:$P$126</definedName>
    <definedName name="Z_9FCFC836_1CA5_48BF_958D_24D2EA94B219_.wvu.PrintArea" localSheetId="103" hidden="1">PriorYr906!$B$1:$K$92</definedName>
    <definedName name="Z_9FCFC836_1CA5_48BF_958D_24D2EA94B219_.wvu.PrintTitles" localSheetId="13" hidden="1">'220'!$1:$10</definedName>
    <definedName name="Z_9FCFC836_1CA5_48BF_958D_24D2EA94B219_.wvu.PrintTitles" localSheetId="85" hidden="1">'905'!$1:$9</definedName>
    <definedName name="Z_9FCFC836_1CA5_48BF_958D_24D2EA94B219_.wvu.PrintTitles" localSheetId="87" hidden="1">'905Hosp'!$1:$10</definedName>
    <definedName name="Z_9FCFC836_1CA5_48BF_958D_24D2EA94B219_.wvu.PrintTitles" localSheetId="88" hidden="1">'906-6B'!$1:$9</definedName>
    <definedName name="Z_9FCFC836_1CA5_48BF_958D_24D2EA94B219_.wvu.PrintTitles" localSheetId="90" hidden="1">'906-6BC'!$1:$9</definedName>
    <definedName name="Z_9FCFC836_1CA5_48BF_958D_24D2EA94B219_.wvu.PrintTitles" localSheetId="89" hidden="1">'906-6C'!$1:$9</definedName>
    <definedName name="Z_9FCFC836_1CA5_48BF_958D_24D2EA94B219_.wvu.PrintTitles" localSheetId="93" hidden="1">'910'!$1:$10</definedName>
    <definedName name="Z_9FCFC836_1CA5_48BF_958D_24D2EA94B219_.wvu.PrintTitles" localSheetId="94" hidden="1">'910Hosp'!$1:$10</definedName>
    <definedName name="Z_9FCFC836_1CA5_48BF_958D_24D2EA94B219_.wvu.PrintTitles" localSheetId="95" hidden="1">'911-6B'!$1:$11</definedName>
    <definedName name="Z_9FCFC836_1CA5_48BF_958D_24D2EA94B219_.wvu.PrintTitles" localSheetId="96" hidden="1">'911-6C'!$1:$11</definedName>
    <definedName name="Z_9FCFC836_1CA5_48BF_958D_24D2EA94B219_.wvu.PrintTitles" localSheetId="104" hidden="1">'All Agencies'!$1:$2</definedName>
    <definedName name="Z_9FCFC836_1CA5_48BF_958D_24D2EA94B219_.wvu.PrintTitles" localSheetId="2" hidden="1">Index!$1:$16</definedName>
    <definedName name="Z_9FCFC836_1CA5_48BF_958D_24D2EA94B219_.wvu.PrintTitles" localSheetId="103" hidden="1">PriorYr906!$1:$9</definedName>
    <definedName name="Z_9FCFC836_1CA5_48BF_958D_24D2EA94B219_.wvu.Rows" localSheetId="11" hidden="1">'210'!$15:$15</definedName>
    <definedName name="Z_9FCFC836_1CA5_48BF_958D_24D2EA94B219_.wvu.Rows" localSheetId="14" hidden="1">'301'!#REF!,'301'!$27:$27,'301'!#REF!</definedName>
    <definedName name="Z_9FCFC836_1CA5_48BF_958D_24D2EA94B219_.wvu.Rows" localSheetId="19" hidden="1">'315'!$31:$31</definedName>
    <definedName name="Z_9FCFC836_1CA5_48BF_958D_24D2EA94B219_.wvu.Rows" localSheetId="43" hidden="1">'430BTA'!#REF!,'430BTA'!$19:$21</definedName>
    <definedName name="Z_9FCFC836_1CA5_48BF_958D_24D2EA94B219_.wvu.Rows" localSheetId="44" hidden="1">'430F'!#REF!,'430F'!$17:$19</definedName>
    <definedName name="Z_9FCFC836_1CA5_48BF_958D_24D2EA94B219_.wvu.Rows" localSheetId="42" hidden="1">'430G'!$19:$21,'430G'!$42:$42</definedName>
    <definedName name="Z_B08879A4_635B_4C39_9937_AC7883D562FC_.wvu.Cols" localSheetId="4" hidden="1">'101'!$A:$A</definedName>
    <definedName name="Z_B08879A4_635B_4C39_9937_AC7883D562FC_.wvu.Cols" localSheetId="6" hidden="1">'110'!$A:$A</definedName>
    <definedName name="Z_B08879A4_635B_4C39_9937_AC7883D562FC_.wvu.Cols" localSheetId="8" hidden="1">'120'!$A:$A</definedName>
    <definedName name="Z_B08879A4_635B_4C39_9937_AC7883D562FC_.wvu.Cols" localSheetId="9" hidden="1">'201'!$A:$A</definedName>
    <definedName name="Z_B08879A4_635B_4C39_9937_AC7883D562FC_.wvu.Cols" localSheetId="11" hidden="1">'210'!$A:$A</definedName>
    <definedName name="Z_B08879A4_635B_4C39_9937_AC7883D562FC_.wvu.Cols" localSheetId="14" hidden="1">'301'!$A:$B,'301'!$M:$AC</definedName>
    <definedName name="Z_B08879A4_635B_4C39_9937_AC7883D562FC_.wvu.Cols" localSheetId="17" hidden="1">'305'!$A:$A,'305'!$Q:$Y</definedName>
    <definedName name="Z_B08879A4_635B_4C39_9937_AC7883D562FC_.wvu.Cols" localSheetId="18" hidden="1">'310'!$A:$A,'310'!$Q:$Y</definedName>
    <definedName name="Z_B08879A4_635B_4C39_9937_AC7883D562FC_.wvu.Cols" localSheetId="19" hidden="1">'315'!$A:$A,'315'!$R:$T</definedName>
    <definedName name="Z_B08879A4_635B_4C39_9937_AC7883D562FC_.wvu.Cols" localSheetId="20" hidden="1">'320'!$A:$A,'320'!$T:$V</definedName>
    <definedName name="Z_B08879A4_635B_4C39_9937_AC7883D562FC_.wvu.Cols" localSheetId="22" hidden="1">'323'!$A:$A</definedName>
    <definedName name="Z_B08879A4_635B_4C39_9937_AC7883D562FC_.wvu.Cols" localSheetId="23" hidden="1">'325'!$B:$B</definedName>
    <definedName name="Z_B08879A4_635B_4C39_9937_AC7883D562FC_.wvu.Cols" localSheetId="24" hidden="1">'330'!$A:$A</definedName>
    <definedName name="Z_B08879A4_635B_4C39_9937_AC7883D562FC_.wvu.Cols" localSheetId="29" hidden="1">'345'!$A:$A</definedName>
    <definedName name="Z_B08879A4_635B_4C39_9937_AC7883D562FC_.wvu.Cols" localSheetId="31" hidden="1">'355'!$A:$A</definedName>
    <definedName name="Z_B08879A4_635B_4C39_9937_AC7883D562FC_.wvu.Cols" localSheetId="40" hidden="1">'420'!$A:$A</definedName>
    <definedName name="Z_B08879A4_635B_4C39_9937_AC7883D562FC_.wvu.Cols" localSheetId="47" hidden="1">'501'!$A:$A,'501'!$V:$AO</definedName>
    <definedName name="Z_B08879A4_635B_4C39_9937_AC7883D562FC_.wvu.Cols" localSheetId="49" hidden="1">'510'!$A:$A,'510'!#REF!</definedName>
    <definedName name="Z_B08879A4_635B_4C39_9937_AC7883D562FC_.wvu.Cols" localSheetId="50" hidden="1">'515'!$A:$A,'515'!#REF!,'515'!#REF!</definedName>
    <definedName name="Z_B08879A4_635B_4C39_9937_AC7883D562FC_.wvu.Cols" localSheetId="51" hidden="1">'520'!$A:$A,'520'!#REF!,'520'!#REF!</definedName>
    <definedName name="Z_B08879A4_635B_4C39_9937_AC7883D562FC_.wvu.Cols" localSheetId="52" hidden="1">'525'!$A:$A,'525'!#REF!,'525'!#REF!</definedName>
    <definedName name="Z_B08879A4_635B_4C39_9937_AC7883D562FC_.wvu.Cols" localSheetId="53" hidden="1">'530'!$A:$A,'530'!#REF!,'530'!#REF!</definedName>
    <definedName name="Z_B08879A4_635B_4C39_9937_AC7883D562FC_.wvu.Cols" localSheetId="54" hidden="1">'535'!$A:$A,'535'!$R:$W</definedName>
    <definedName name="Z_B08879A4_635B_4C39_9937_AC7883D562FC_.wvu.Cols" localSheetId="61" hidden="1">'565'!$A:$A,'565'!$P:$X</definedName>
    <definedName name="Z_B08879A4_635B_4C39_9937_AC7883D562FC_.wvu.Cols" localSheetId="62" hidden="1">'570'!$A:$A</definedName>
    <definedName name="Z_B08879A4_635B_4C39_9937_AC7883D562FC_.wvu.Cols" localSheetId="63" hidden="1">'602'!$A:$A,'602'!$Q:$Q</definedName>
    <definedName name="Z_B08879A4_635B_4C39_9937_AC7883D562FC_.wvu.Cols" localSheetId="64" hidden="1">'605'!$A:$A,'605'!$Q:$Q</definedName>
    <definedName name="Z_B08879A4_635B_4C39_9937_AC7883D562FC_.wvu.Cols" localSheetId="69" hidden="1">'625'!$A:$A</definedName>
    <definedName name="Z_B08879A4_635B_4C39_9937_AC7883D562FC_.wvu.Cols" localSheetId="70" hidden="1">'635'!$A:$A</definedName>
    <definedName name="Z_B08879A4_635B_4C39_9937_AC7883D562FC_.wvu.Cols" localSheetId="72" hidden="1">'705'!$A:$B,'705'!$S:$S</definedName>
    <definedName name="Z_B08879A4_635B_4C39_9937_AC7883D562FC_.wvu.Cols" localSheetId="74" hidden="1">'715'!$A:$B,'715'!$S:$S</definedName>
    <definedName name="Z_B08879A4_635B_4C39_9937_AC7883D562FC_.wvu.Cols" localSheetId="76" hidden="1">'725'!$A:$B</definedName>
    <definedName name="Z_B08879A4_635B_4C39_9937_AC7883D562FC_.wvu.Cols" localSheetId="77" hidden="1">'730'!$A:$A</definedName>
    <definedName name="Z_B08879A4_635B_4C39_9937_AC7883D562FC_.wvu.Cols" localSheetId="78" hidden="1">'735'!$A:$B</definedName>
    <definedName name="Z_B08879A4_635B_4C39_9937_AC7883D562FC_.wvu.Cols" localSheetId="79" hidden="1">'740'!$A:$B</definedName>
    <definedName name="Z_B08879A4_635B_4C39_9937_AC7883D562FC_.wvu.Cols" localSheetId="80" hidden="1">'745'!$A:$B</definedName>
    <definedName name="Z_B08879A4_635B_4C39_9937_AC7883D562FC_.wvu.Cols" localSheetId="104" hidden="1">'All Agencies'!$A:$B</definedName>
    <definedName name="Z_B08879A4_635B_4C39_9937_AC7883D562FC_.wvu.Cols" localSheetId="2" hidden="1">Index!$D:$D</definedName>
    <definedName name="Z_B08879A4_635B_4C39_9937_AC7883D562FC_.wvu.Cols" localSheetId="0" hidden="1">Instruct!#REF!</definedName>
    <definedName name="Z_B08879A4_635B_4C39_9937_AC7883D562FC_.wvu.PrintArea" localSheetId="4" hidden="1">'101'!$B$1:$L$71</definedName>
    <definedName name="Z_B08879A4_635B_4C39_9937_AC7883D562FC_.wvu.PrintArea" localSheetId="5" hidden="1">'105'!$A$1:$K$58</definedName>
    <definedName name="Z_B08879A4_635B_4C39_9937_AC7883D562FC_.wvu.PrintArea" localSheetId="6" hidden="1">'110'!$B$1:$J$46</definedName>
    <definedName name="Z_B08879A4_635B_4C39_9937_AC7883D562FC_.wvu.PrintArea" localSheetId="8" hidden="1">'120'!$B$1:$J$78</definedName>
    <definedName name="Z_B08879A4_635B_4C39_9937_AC7883D562FC_.wvu.PrintArea" localSheetId="9" hidden="1">'201'!$B$1:$T$61</definedName>
    <definedName name="Z_B08879A4_635B_4C39_9937_AC7883D562FC_.wvu.PrintArea" localSheetId="11" hidden="1">'210'!$B$1:$Q$41</definedName>
    <definedName name="Z_B08879A4_635B_4C39_9937_AC7883D562FC_.wvu.PrintArea" localSheetId="12" hidden="1">'215'!$A$1:$N$74</definedName>
    <definedName name="Z_B08879A4_635B_4C39_9937_AC7883D562FC_.wvu.PrintArea" localSheetId="13" hidden="1">'220'!$A$1:$H$121</definedName>
    <definedName name="Z_B08879A4_635B_4C39_9937_AC7883D562FC_.wvu.PrintArea" localSheetId="14" hidden="1">'301'!$C$1:$L$53</definedName>
    <definedName name="Z_B08879A4_635B_4C39_9937_AC7883D562FC_.wvu.PrintArea" localSheetId="17" hidden="1">'305'!$B$1:$P$44</definedName>
    <definedName name="Z_B08879A4_635B_4C39_9937_AC7883D562FC_.wvu.PrintArea" localSheetId="18" hidden="1">'310'!$A$1:$P$46</definedName>
    <definedName name="Z_B08879A4_635B_4C39_9937_AC7883D562FC_.wvu.PrintArea" localSheetId="19" hidden="1">'315'!$B$1:$Q$71</definedName>
    <definedName name="Z_B08879A4_635B_4C39_9937_AC7883D562FC_.wvu.PrintArea" localSheetId="20" hidden="1">'320'!$B$1:$S$69</definedName>
    <definedName name="Z_B08879A4_635B_4C39_9937_AC7883D562FC_.wvu.PrintArea" localSheetId="21" hidden="1">'322'!$A$1:$N$62</definedName>
    <definedName name="Z_B08879A4_635B_4C39_9937_AC7883D562FC_.wvu.PrintArea" localSheetId="22" hidden="1">'323'!$B$1:$K$132</definedName>
    <definedName name="Z_B08879A4_635B_4C39_9937_AC7883D562FC_.wvu.PrintArea" localSheetId="23" hidden="1">'325'!$C$1:$P$47</definedName>
    <definedName name="Z_B08879A4_635B_4C39_9937_AC7883D562FC_.wvu.PrintArea" localSheetId="24" hidden="1">'330'!$B$1:$N$59</definedName>
    <definedName name="Z_B08879A4_635B_4C39_9937_AC7883D562FC_.wvu.PrintArea" localSheetId="26" hidden="1">'340'!$A$1:$R$44</definedName>
    <definedName name="Z_B08879A4_635B_4C39_9937_AC7883D562FC_.wvu.PrintArea" localSheetId="27" hidden="1">'341'!$A$1:$R$41</definedName>
    <definedName name="Z_B08879A4_635B_4C39_9937_AC7883D562FC_.wvu.PrintArea" localSheetId="28" hidden="1">'342'!$A$1:$R$40</definedName>
    <definedName name="Z_B08879A4_635B_4C39_9937_AC7883D562FC_.wvu.PrintArea" localSheetId="29" hidden="1">'345'!$B$1:$L$53</definedName>
    <definedName name="Z_B08879A4_635B_4C39_9937_AC7883D562FC_.wvu.PrintArea" localSheetId="30" hidden="1">'350'!$A$1:$G$55</definedName>
    <definedName name="Z_B08879A4_635B_4C39_9937_AC7883D562FC_.wvu.PrintArea" localSheetId="31" hidden="1">'355'!$B$1:$M$52</definedName>
    <definedName name="Z_B08879A4_635B_4C39_9937_AC7883D562FC_.wvu.PrintArea" localSheetId="36" hidden="1">'401'!$A$1:$H$50</definedName>
    <definedName name="Z_B08879A4_635B_4C39_9937_AC7883D562FC_.wvu.PrintArea" localSheetId="37" hidden="1">'405'!$A$1:$H$47</definedName>
    <definedName name="Z_B08879A4_635B_4C39_9937_AC7883D562FC_.wvu.PrintArea" localSheetId="38" hidden="1">'410'!$A$1:$H$46</definedName>
    <definedName name="Z_B08879A4_635B_4C39_9937_AC7883D562FC_.wvu.PrintArea" localSheetId="39" hidden="1">'415'!$A$1:$H$47</definedName>
    <definedName name="Z_B08879A4_635B_4C39_9937_AC7883D562FC_.wvu.PrintArea" localSheetId="40" hidden="1">'420'!$B$1:$M$23</definedName>
    <definedName name="Z_B08879A4_635B_4C39_9937_AC7883D562FC_.wvu.PrintArea" localSheetId="41" hidden="1">'425'!$A$1:$L$35</definedName>
    <definedName name="Z_B08879A4_635B_4C39_9937_AC7883D562FC_.wvu.PrintArea" localSheetId="47" hidden="1">'501'!$B$1:$U$35</definedName>
    <definedName name="Z_B08879A4_635B_4C39_9937_AC7883D562FC_.wvu.PrintArea" localSheetId="48" hidden="1">'505'!$B$1:$R$32</definedName>
    <definedName name="Z_B08879A4_635B_4C39_9937_AC7883D562FC_.wvu.PrintArea" localSheetId="49" hidden="1">'510'!$B$1:$P$34</definedName>
    <definedName name="Z_B08879A4_635B_4C39_9937_AC7883D562FC_.wvu.PrintArea" localSheetId="50" hidden="1">'515'!$B$1:$P$34</definedName>
    <definedName name="Z_B08879A4_635B_4C39_9937_AC7883D562FC_.wvu.PrintArea" localSheetId="51" hidden="1">'520'!$B$1:$P$34</definedName>
    <definedName name="Z_B08879A4_635B_4C39_9937_AC7883D562FC_.wvu.PrintArea" localSheetId="52" hidden="1">'525'!$B$1:$P$41</definedName>
    <definedName name="Z_B08879A4_635B_4C39_9937_AC7883D562FC_.wvu.PrintArea" localSheetId="53" hidden="1">'530'!$B$1:$P$34</definedName>
    <definedName name="Z_B08879A4_635B_4C39_9937_AC7883D562FC_.wvu.PrintArea" localSheetId="54" hidden="1">'535'!$B$1:$Q$36</definedName>
    <definedName name="Z_B08879A4_635B_4C39_9937_AC7883D562FC_.wvu.PrintArea" localSheetId="61" hidden="1">'565'!$A$1:$O$31</definedName>
    <definedName name="Z_B08879A4_635B_4C39_9937_AC7883D562FC_.wvu.PrintArea" localSheetId="62" hidden="1">'570'!$B$1:$M$27</definedName>
    <definedName name="Z_B08879A4_635B_4C39_9937_AC7883D562FC_.wvu.PrintArea" localSheetId="63" hidden="1">'602'!$B$1:$P$33</definedName>
    <definedName name="Z_B08879A4_635B_4C39_9937_AC7883D562FC_.wvu.PrintArea" localSheetId="64" hidden="1">'605'!$B$1:$P$33</definedName>
    <definedName name="Z_B08879A4_635B_4C39_9937_AC7883D562FC_.wvu.PrintArea" localSheetId="65" hidden="1">'610'!$A$1:$I$52</definedName>
    <definedName name="Z_B08879A4_635B_4C39_9937_AC7883D562FC_.wvu.PrintArea" localSheetId="66" hidden="1">'615'!$A$1:$K$28</definedName>
    <definedName name="Z_B08879A4_635B_4C39_9937_AC7883D562FC_.wvu.PrintArea" localSheetId="67" hidden="1">'616'!$A$1:$K$49</definedName>
    <definedName name="Z_B08879A4_635B_4C39_9937_AC7883D562FC_.wvu.PrintArea" localSheetId="69" hidden="1">'625'!$B$1:$W$29</definedName>
    <definedName name="Z_B08879A4_635B_4C39_9937_AC7883D562FC_.wvu.PrintArea" localSheetId="70" hidden="1">'635'!$B$1:$P$86</definedName>
    <definedName name="Z_B08879A4_635B_4C39_9937_AC7883D562FC_.wvu.PrintArea" localSheetId="72" hidden="1">'705'!$C$1:$R$45</definedName>
    <definedName name="Z_B08879A4_635B_4C39_9937_AC7883D562FC_.wvu.PrintArea" localSheetId="73" hidden="1">'710'!$B$1:$S$71</definedName>
    <definedName name="Z_B08879A4_635B_4C39_9937_AC7883D562FC_.wvu.PrintArea" localSheetId="74" hidden="1">'715'!$C$1:$R$37</definedName>
    <definedName name="Z_B08879A4_635B_4C39_9937_AC7883D562FC_.wvu.PrintArea" localSheetId="76" hidden="1">'725'!$C$1:$R$45</definedName>
    <definedName name="Z_B08879A4_635B_4C39_9937_AC7883D562FC_.wvu.PrintArea" localSheetId="79" hidden="1">'740'!$C$1:$P$55</definedName>
    <definedName name="Z_B08879A4_635B_4C39_9937_AC7883D562FC_.wvu.PrintArea" localSheetId="80" hidden="1">'745'!$C$1:$S$46</definedName>
    <definedName name="Z_B08879A4_635B_4C39_9937_AC7883D562FC_.wvu.PrintArea" localSheetId="82" hidden="1">'756'!$B$1:$S$45</definedName>
    <definedName name="Z_B08879A4_635B_4C39_9937_AC7883D562FC_.wvu.PrintArea" localSheetId="88" hidden="1">'906-6B'!$B$1:$K$92</definedName>
    <definedName name="Z_B08879A4_635B_4C39_9937_AC7883D562FC_.wvu.PrintArea" localSheetId="90" hidden="1">'906-6BC'!$B$1:$K$93</definedName>
    <definedName name="Z_B08879A4_635B_4C39_9937_AC7883D562FC_.wvu.PrintArea" localSheetId="89" hidden="1">'906-6C'!$B$1:$K$92</definedName>
    <definedName name="Z_B08879A4_635B_4C39_9937_AC7883D562FC_.wvu.PrintArea" localSheetId="91" hidden="1">'907'!$A$1:$L$38</definedName>
    <definedName name="Z_B08879A4_635B_4C39_9937_AC7883D562FC_.wvu.PrintArea" localSheetId="92" hidden="1">'908'!$A$1:$L$66</definedName>
    <definedName name="Z_B08879A4_635B_4C39_9937_AC7883D562FC_.wvu.PrintArea" localSheetId="93" hidden="1">'910'!$B$1:$N$261</definedName>
    <definedName name="Z_B08879A4_635B_4C39_9937_AC7883D562FC_.wvu.PrintArea" localSheetId="94" hidden="1">'910Hosp'!$B$1:$N$260</definedName>
    <definedName name="Z_B08879A4_635B_4C39_9937_AC7883D562FC_.wvu.PrintArea" localSheetId="95" hidden="1">'911-6B'!$B$1:$L$91</definedName>
    <definedName name="Z_B08879A4_635B_4C39_9937_AC7883D562FC_.wvu.PrintArea" localSheetId="96" hidden="1">'911-6C'!$B$1:$L$91</definedName>
    <definedName name="Z_B08879A4_635B_4C39_9937_AC7883D562FC_.wvu.PrintArea" localSheetId="104" hidden="1">'All Agencies'!$C$1:$J$146</definedName>
    <definedName name="Z_B08879A4_635B_4C39_9937_AC7883D562FC_.wvu.PrintArea" localSheetId="98" hidden="1">Comments!$A$1:$N$39</definedName>
    <definedName name="Z_B08879A4_635B_4C39_9937_AC7883D562FC_.wvu.PrintArea" localSheetId="97" hidden="1">Explanations!$A$1:$N$49</definedName>
    <definedName name="Z_B08879A4_635B_4C39_9937_AC7883D562FC_.wvu.PrintArea" localSheetId="86" hidden="1">'For 905-NCAS Acct Roll-up'!#REF!</definedName>
    <definedName name="Z_B08879A4_635B_4C39_9937_AC7883D562FC_.wvu.PrintArea" localSheetId="2" hidden="1">Index!$A$1:$P$126</definedName>
    <definedName name="Z_B08879A4_635B_4C39_9937_AC7883D562FC_.wvu.PrintArea" localSheetId="103" hidden="1">PriorYr906!$B$1:$K$92</definedName>
    <definedName name="Z_B08879A4_635B_4C39_9937_AC7883D562FC_.wvu.PrintTitles" localSheetId="13" hidden="1">'220'!$1:$10</definedName>
    <definedName name="Z_B08879A4_635B_4C39_9937_AC7883D562FC_.wvu.PrintTitles" localSheetId="85" hidden="1">'905'!$1:$9</definedName>
    <definedName name="Z_B08879A4_635B_4C39_9937_AC7883D562FC_.wvu.PrintTitles" localSheetId="87" hidden="1">'905Hosp'!$1:$10</definedName>
    <definedName name="Z_B08879A4_635B_4C39_9937_AC7883D562FC_.wvu.PrintTitles" localSheetId="88" hidden="1">'906-6B'!$1:$9</definedName>
    <definedName name="Z_B08879A4_635B_4C39_9937_AC7883D562FC_.wvu.PrintTitles" localSheetId="90" hidden="1">'906-6BC'!$1:$9</definedName>
    <definedName name="Z_B08879A4_635B_4C39_9937_AC7883D562FC_.wvu.PrintTitles" localSheetId="89" hidden="1">'906-6C'!$1:$9</definedName>
    <definedName name="Z_B08879A4_635B_4C39_9937_AC7883D562FC_.wvu.PrintTitles" localSheetId="93" hidden="1">'910'!$1:$10</definedName>
    <definedName name="Z_B08879A4_635B_4C39_9937_AC7883D562FC_.wvu.PrintTitles" localSheetId="94" hidden="1">'910Hosp'!$1:$10</definedName>
    <definedName name="Z_B08879A4_635B_4C39_9937_AC7883D562FC_.wvu.PrintTitles" localSheetId="95" hidden="1">'911-6B'!$1:$11</definedName>
    <definedName name="Z_B08879A4_635B_4C39_9937_AC7883D562FC_.wvu.PrintTitles" localSheetId="96" hidden="1">'911-6C'!$1:$11</definedName>
    <definedName name="Z_B08879A4_635B_4C39_9937_AC7883D562FC_.wvu.PrintTitles" localSheetId="104" hidden="1">'All Agencies'!$1:$2</definedName>
    <definedName name="Z_B08879A4_635B_4C39_9937_AC7883D562FC_.wvu.PrintTitles" localSheetId="2" hidden="1">Index!$1:$16</definedName>
    <definedName name="Z_B08879A4_635B_4C39_9937_AC7883D562FC_.wvu.PrintTitles" localSheetId="103" hidden="1">PriorYr906!$1:$9</definedName>
    <definedName name="Z_B08879A4_635B_4C39_9937_AC7883D562FC_.wvu.Rows" localSheetId="11" hidden="1">'210'!$15:$15</definedName>
    <definedName name="Z_B08879A4_635B_4C39_9937_AC7883D562FC_.wvu.Rows" localSheetId="14" hidden="1">'301'!#REF!,'301'!$27:$27,'301'!#REF!</definedName>
    <definedName name="Z_B08879A4_635B_4C39_9937_AC7883D562FC_.wvu.Rows" localSheetId="19" hidden="1">'315'!$31:$31</definedName>
    <definedName name="Z_B08879A4_635B_4C39_9937_AC7883D562FC_.wvu.Rows" localSheetId="43" hidden="1">'430BTA'!#REF!,'430BTA'!$19:$21</definedName>
    <definedName name="Z_B08879A4_635B_4C39_9937_AC7883D562FC_.wvu.Rows" localSheetId="44" hidden="1">'430F'!#REF!,'430F'!$17:$19</definedName>
    <definedName name="Z_B08879A4_635B_4C39_9937_AC7883D562FC_.wvu.Rows" localSheetId="42" hidden="1">'430G'!$19:$21,'430G'!$42:$42</definedName>
    <definedName name="Z_BEA4BE86_04D1_4C96_9358_7A260B9D2B2D_.wvu.Cols" localSheetId="47" hidden="1">'501'!#REF!,'501'!#REF!</definedName>
    <definedName name="Z_BEA4BE86_04D1_4C96_9358_7A260B9D2B2D_.wvu.PrintArea" localSheetId="4" hidden="1">'101'!$B$1:$L$64</definedName>
    <definedName name="Z_BEA4BE86_04D1_4C96_9358_7A260B9D2B2D_.wvu.PrintArea" localSheetId="6" hidden="1">'110'!$B$1:$J$39</definedName>
    <definedName name="Z_BEA4BE86_04D1_4C96_9358_7A260B9D2B2D_.wvu.PrintArea" localSheetId="8" hidden="1">'120'!$B$1:$J$71</definedName>
    <definedName name="Z_BEA4BE86_04D1_4C96_9358_7A260B9D2B2D_.wvu.PrintArea" localSheetId="11" hidden="1">'210'!$B$1:$R$34</definedName>
    <definedName name="Z_BEA4BE86_04D1_4C96_9358_7A260B9D2B2D_.wvu.PrintArea" localSheetId="12" hidden="1">'215'!$A$1:$N$74</definedName>
    <definedName name="Z_BEA4BE86_04D1_4C96_9358_7A260B9D2B2D_.wvu.PrintArea" localSheetId="14" hidden="1">'301'!$C$1:$L$53</definedName>
    <definedName name="Z_BEA4BE86_04D1_4C96_9358_7A260B9D2B2D_.wvu.PrintArea" localSheetId="17" hidden="1">'305'!$B$1:$P$43</definedName>
    <definedName name="Z_BEA4BE86_04D1_4C96_9358_7A260B9D2B2D_.wvu.PrintArea" localSheetId="19" hidden="1">'315'!$B$1:$Q$71</definedName>
    <definedName name="Z_BEA4BE86_04D1_4C96_9358_7A260B9D2B2D_.wvu.PrintArea" localSheetId="20" hidden="1">'320'!$B$1:$S$62</definedName>
    <definedName name="Z_BEA4BE86_04D1_4C96_9358_7A260B9D2B2D_.wvu.PrintArea" localSheetId="21" hidden="1">'322'!$A$1:$N$10</definedName>
    <definedName name="Z_BEA4BE86_04D1_4C96_9358_7A260B9D2B2D_.wvu.PrintArea" localSheetId="22" hidden="1">'323'!$B$1:$K$125</definedName>
    <definedName name="Z_BEA4BE86_04D1_4C96_9358_7A260B9D2B2D_.wvu.PrintArea" localSheetId="23" hidden="1">'325'!$C$1:$P$60</definedName>
    <definedName name="Z_BEA4BE86_04D1_4C96_9358_7A260B9D2B2D_.wvu.PrintArea" localSheetId="24" hidden="1">'330'!$B$1:$N$59</definedName>
    <definedName name="Z_BEA4BE86_04D1_4C96_9358_7A260B9D2B2D_.wvu.PrintArea" localSheetId="26" hidden="1">'340'!$A$1:$R$9</definedName>
    <definedName name="Z_BEA4BE86_04D1_4C96_9358_7A260B9D2B2D_.wvu.PrintArea" localSheetId="27" hidden="1">'341'!$A$1:$R$9</definedName>
    <definedName name="Z_BEA4BE86_04D1_4C96_9358_7A260B9D2B2D_.wvu.PrintArea" localSheetId="28" hidden="1">'342'!$A$1:$R$9</definedName>
    <definedName name="Z_BEA4BE86_04D1_4C96_9358_7A260B9D2B2D_.wvu.PrintArea" localSheetId="29" hidden="1">'345'!$B$1:$L$53</definedName>
    <definedName name="Z_BEA4BE86_04D1_4C96_9358_7A260B9D2B2D_.wvu.PrintArea" localSheetId="30" hidden="1">'350'!$A$1:$H$41</definedName>
    <definedName name="Z_BEA4BE86_04D1_4C96_9358_7A260B9D2B2D_.wvu.PrintArea" localSheetId="31" hidden="1">'355'!$B$1:$M$52</definedName>
    <definedName name="Z_BEA4BE86_04D1_4C96_9358_7A260B9D2B2D_.wvu.PrintArea" localSheetId="40" hidden="1">'420'!$B$1:$M$23</definedName>
    <definedName name="Z_BEA4BE86_04D1_4C96_9358_7A260B9D2B2D_.wvu.PrintArea" localSheetId="41" hidden="1">'425'!$B$1:$L$35</definedName>
    <definedName name="Z_BEA4BE86_04D1_4C96_9358_7A260B9D2B2D_.wvu.PrintArea" localSheetId="47" hidden="1">'501'!$B$1:$U$34</definedName>
    <definedName name="Z_BEA4BE86_04D1_4C96_9358_7A260B9D2B2D_.wvu.PrintArea" localSheetId="49" hidden="1">'510'!$B$1:$P$34</definedName>
    <definedName name="Z_BEA4BE86_04D1_4C96_9358_7A260B9D2B2D_.wvu.PrintArea" localSheetId="50" hidden="1">'515'!$B$1:$P$34</definedName>
    <definedName name="Z_BEA4BE86_04D1_4C96_9358_7A260B9D2B2D_.wvu.PrintArea" localSheetId="51" hidden="1">'520'!$B$1:$P$34</definedName>
    <definedName name="Z_BEA4BE86_04D1_4C96_9358_7A260B9D2B2D_.wvu.PrintArea" localSheetId="52" hidden="1">'525'!$B$1:$P$29</definedName>
    <definedName name="Z_BEA4BE86_04D1_4C96_9358_7A260B9D2B2D_.wvu.PrintArea" localSheetId="53" hidden="1">'530'!$B$1:$P$34</definedName>
    <definedName name="Z_BEA4BE86_04D1_4C96_9358_7A260B9D2B2D_.wvu.PrintArea" localSheetId="54" hidden="1">'535'!$B$1:$Q$36</definedName>
    <definedName name="Z_BEA4BE86_04D1_4C96_9358_7A260B9D2B2D_.wvu.PrintArea" localSheetId="55" hidden="1">'540'!$B$1:$Q$33</definedName>
    <definedName name="Z_BEA4BE86_04D1_4C96_9358_7A260B9D2B2D_.wvu.PrintArea" localSheetId="58" hidden="1">'550'!$C$1:$L$39</definedName>
    <definedName name="Z_BEA4BE86_04D1_4C96_9358_7A260B9D2B2D_.wvu.PrintArea" localSheetId="59" hidden="1">'555'!$C$1:$L$38</definedName>
    <definedName name="Z_BEA4BE86_04D1_4C96_9358_7A260B9D2B2D_.wvu.PrintArea" localSheetId="60" hidden="1">'560'!$B$1:$R$30</definedName>
    <definedName name="Z_BEA4BE86_04D1_4C96_9358_7A260B9D2B2D_.wvu.PrintArea" localSheetId="62" hidden="1">'570'!$B$1:$M$27</definedName>
    <definedName name="Z_BEA4BE86_04D1_4C96_9358_7A260B9D2B2D_.wvu.PrintArea" localSheetId="63" hidden="1">'602'!$B$1:$P$33</definedName>
    <definedName name="Z_BEA4BE86_04D1_4C96_9358_7A260B9D2B2D_.wvu.PrintArea" localSheetId="64" hidden="1">'605'!$B$1:$P$33</definedName>
    <definedName name="Z_BEA4BE86_04D1_4C96_9358_7A260B9D2B2D_.wvu.PrintArea" localSheetId="65" hidden="1">'610'!$A$1:$I$52</definedName>
    <definedName name="Z_BEA4BE86_04D1_4C96_9358_7A260B9D2B2D_.wvu.PrintArea" localSheetId="66" hidden="1">'615'!$A$1:$K$28</definedName>
    <definedName name="Z_BEA4BE86_04D1_4C96_9358_7A260B9D2B2D_.wvu.PrintArea" localSheetId="67" hidden="1">'616'!$A$1:$K$49</definedName>
    <definedName name="Z_BEA4BE86_04D1_4C96_9358_7A260B9D2B2D_.wvu.PrintArea" localSheetId="69" hidden="1">'625'!$B$1:$W$29</definedName>
    <definedName name="Z_BEA4BE86_04D1_4C96_9358_7A260B9D2B2D_.wvu.PrintArea" localSheetId="70" hidden="1">'635'!$B$1:$P$86</definedName>
    <definedName name="Z_BEA4BE86_04D1_4C96_9358_7A260B9D2B2D_.wvu.PrintArea" localSheetId="72" hidden="1">'705'!$C$1:$R$45</definedName>
    <definedName name="Z_BEA4BE86_04D1_4C96_9358_7A260B9D2B2D_.wvu.PrintArea" localSheetId="73" hidden="1">'710'!$B$1:$S$71</definedName>
    <definedName name="Z_BEA4BE86_04D1_4C96_9358_7A260B9D2B2D_.wvu.PrintArea" localSheetId="74" hidden="1">'715'!$C$1:$R$37</definedName>
    <definedName name="Z_BEA4BE86_04D1_4C96_9358_7A260B9D2B2D_.wvu.PrintArea" localSheetId="79" hidden="1">'740'!$C$1:$P$55</definedName>
    <definedName name="Z_BEA4BE86_04D1_4C96_9358_7A260B9D2B2D_.wvu.PrintArea" localSheetId="80" hidden="1">'745'!$C$1:$S$46</definedName>
    <definedName name="Z_BEA4BE86_04D1_4C96_9358_7A260B9D2B2D_.wvu.PrintArea" localSheetId="82" hidden="1">'756'!$B$1:$S$12</definedName>
    <definedName name="Z_BEA4BE86_04D1_4C96_9358_7A260B9D2B2D_.wvu.PrintArea" localSheetId="98" hidden="1">Comments!$A$1:$N$39</definedName>
    <definedName name="Z_BEA4BE86_04D1_4C96_9358_7A260B9D2B2D_.wvu.PrintArea" localSheetId="97" hidden="1">Explanations!$A$1:$N$9</definedName>
    <definedName name="Z_BEA4BE86_04D1_4C96_9358_7A260B9D2B2D_.wvu.PrintArea" localSheetId="2" hidden="1">Index!$A$1:$L$124</definedName>
    <definedName name="Z_BEA4BE86_04D1_4C96_9358_7A260B9D2B2D_.wvu.PrintTitles" localSheetId="2" hidden="1">Index!$1:$4</definedName>
    <definedName name="Z_BEA4BE86_04D1_4C96_9358_7A260B9D2B2D_.wvu.Rows" localSheetId="2" hidden="1">Index!$1292:$1358</definedName>
  </definedNames>
  <calcPr calcId="191028" fullPrecision="0"/>
  <customWorkbookViews>
    <customWorkbookView name="amsquirewell - Personal View" guid="{9FCFC836-1CA5-48BF-958D-24D2EA94B219}" mergeInterval="0" personalView="1" maximized="1" xWindow="1" yWindow="1" windowWidth="1280" windowHeight="803" tabRatio="1000" activeSheetId="11"/>
    <customWorkbookView name="Darlene Langston - Personal View" guid="{BEA4BE86-04D1-4C96-9358-7A260B9D2B2D}" mergeInterval="0" personalView="1" maximized="1" windowWidth="1020" windowHeight="556" tabRatio="923" activeSheetId="9"/>
    <customWorkbookView name="Robert Alford - Personal View" guid="{1250FD07-FF56-4A9D-AF9E-C27124A7EBE9}" mergeInterval="0" personalView="1" maximized="1" windowWidth="1020" windowHeight="579" tabRatio="923" activeSheetId="1"/>
    <customWorkbookView name="cpvincent - Personal View" guid="{B08879A4-635B-4C39-9937-AC7883D562FC}" mergeInterval="0" personalView="1" maximized="1" xWindow="1" yWindow="1" windowWidth="1280" windowHeight="832" tabRatio="1000"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3" l="1"/>
  <c r="I5" i="72" l="1"/>
  <c r="D93" i="80"/>
  <c r="F24" i="68" l="1"/>
  <c r="T126" i="68" l="1"/>
  <c r="T117" i="68"/>
  <c r="F51" i="68" l="1"/>
  <c r="F32" i="68"/>
  <c r="F33" i="68"/>
  <c r="M31" i="12"/>
  <c r="M32" i="12"/>
  <c r="M33" i="12"/>
  <c r="M34" i="12"/>
  <c r="M30" i="12"/>
  <c r="M29" i="12"/>
  <c r="M18" i="12"/>
  <c r="M19" i="12"/>
  <c r="M20" i="12"/>
  <c r="M21" i="12"/>
  <c r="M22" i="12"/>
  <c r="M23" i="12"/>
  <c r="M24" i="12"/>
  <c r="M25" i="12"/>
  <c r="M26" i="12"/>
  <c r="M27" i="12"/>
  <c r="M28" i="12"/>
  <c r="M17" i="12"/>
  <c r="M35" i="12"/>
  <c r="M37" i="12"/>
  <c r="M38" i="12"/>
  <c r="M39" i="12"/>
  <c r="M40" i="12"/>
  <c r="M36" i="12"/>
  <c r="M85" i="121"/>
  <c r="A117" i="126"/>
  <c r="S14" i="126"/>
  <c r="R14" i="126" s="1"/>
  <c r="T14" i="126"/>
  <c r="U14" i="126"/>
  <c r="V14" i="126"/>
  <c r="W14" i="126"/>
  <c r="Z14" i="126"/>
  <c r="Y14" i="126" s="1"/>
  <c r="X14" i="126" s="1"/>
  <c r="AA14" i="126"/>
  <c r="AB14" i="126"/>
  <c r="AC14" i="126"/>
  <c r="AD14" i="126"/>
  <c r="AE14" i="126"/>
  <c r="T15" i="126"/>
  <c r="S15" i="126" s="1"/>
  <c r="R15" i="126" s="1"/>
  <c r="U15" i="126"/>
  <c r="V15" i="126"/>
  <c r="W15" i="126"/>
  <c r="Z15" i="126"/>
  <c r="Y15" i="126" s="1"/>
  <c r="X15" i="126" s="1"/>
  <c r="AA15" i="126"/>
  <c r="AB15" i="126"/>
  <c r="AC15" i="126"/>
  <c r="AD15" i="126"/>
  <c r="AE15" i="126"/>
  <c r="T16" i="126"/>
  <c r="S16" i="126" s="1"/>
  <c r="R16" i="126" s="1"/>
  <c r="Q16" i="126" s="1"/>
  <c r="U16" i="126"/>
  <c r="V16" i="126"/>
  <c r="W16" i="126"/>
  <c r="Z16" i="126"/>
  <c r="Y16" i="126" s="1"/>
  <c r="X16" i="126" s="1"/>
  <c r="AA16" i="126"/>
  <c r="AB16" i="126"/>
  <c r="AC16" i="126"/>
  <c r="AD16" i="126"/>
  <c r="AE16" i="126"/>
  <c r="T17" i="126"/>
  <c r="S17" i="126" s="1"/>
  <c r="R17" i="126" s="1"/>
  <c r="U17" i="126"/>
  <c r="V17" i="126"/>
  <c r="W17" i="126"/>
  <c r="Z17" i="126"/>
  <c r="AA17" i="126"/>
  <c r="Y17" i="126" s="1"/>
  <c r="X17" i="126" s="1"/>
  <c r="AB17" i="126"/>
  <c r="AC17" i="126"/>
  <c r="AD17" i="126"/>
  <c r="AD33" i="126" s="1"/>
  <c r="AE17" i="126"/>
  <c r="T18" i="126"/>
  <c r="S18" i="126" s="1"/>
  <c r="R18" i="126" s="1"/>
  <c r="U18" i="126"/>
  <c r="V18" i="126"/>
  <c r="W18" i="126"/>
  <c r="Z18" i="126"/>
  <c r="Y18" i="126" s="1"/>
  <c r="X18" i="126" s="1"/>
  <c r="AA18" i="126"/>
  <c r="AB18" i="126"/>
  <c r="AC18" i="126"/>
  <c r="AD18" i="126"/>
  <c r="AE18" i="126"/>
  <c r="T19" i="126"/>
  <c r="U19" i="126"/>
  <c r="S19" i="126" s="1"/>
  <c r="R19" i="126" s="1"/>
  <c r="Q19" i="126" s="1"/>
  <c r="V19" i="126"/>
  <c r="W19" i="126"/>
  <c r="Y19" i="126"/>
  <c r="X19" i="126" s="1"/>
  <c r="Z19" i="126"/>
  <c r="AA19" i="126"/>
  <c r="AB19" i="126"/>
  <c r="AC19" i="126"/>
  <c r="AD19" i="126"/>
  <c r="AE19" i="126"/>
  <c r="T20" i="126"/>
  <c r="S20" i="126" s="1"/>
  <c r="R20" i="126" s="1"/>
  <c r="Q20" i="126" s="1"/>
  <c r="U20" i="126"/>
  <c r="V20" i="126"/>
  <c r="W20" i="126"/>
  <c r="Z20" i="126"/>
  <c r="Y20" i="126" s="1"/>
  <c r="X20" i="126" s="1"/>
  <c r="AA20" i="126"/>
  <c r="AB20" i="126"/>
  <c r="AC20" i="126"/>
  <c r="AD20" i="126"/>
  <c r="AE20" i="126"/>
  <c r="S21" i="126"/>
  <c r="R21" i="126" s="1"/>
  <c r="T21" i="126"/>
  <c r="U21" i="126"/>
  <c r="V21" i="126"/>
  <c r="W21" i="126"/>
  <c r="Z21" i="126"/>
  <c r="Y21" i="126" s="1"/>
  <c r="X21" i="126" s="1"/>
  <c r="AA21" i="126"/>
  <c r="AB21" i="126"/>
  <c r="AC21" i="126"/>
  <c r="AD21" i="126"/>
  <c r="AE21" i="126"/>
  <c r="T22" i="126"/>
  <c r="S22" i="126" s="1"/>
  <c r="R22" i="126" s="1"/>
  <c r="U22" i="126"/>
  <c r="V22" i="126"/>
  <c r="W22" i="126"/>
  <c r="Z22" i="126"/>
  <c r="Y22" i="126" s="1"/>
  <c r="X22" i="126" s="1"/>
  <c r="AA22" i="126"/>
  <c r="AB22" i="126"/>
  <c r="AC22" i="126"/>
  <c r="AD22" i="126"/>
  <c r="AE22" i="126"/>
  <c r="T23" i="126"/>
  <c r="S23" i="126" s="1"/>
  <c r="R23" i="126" s="1"/>
  <c r="Q23" i="126" s="1"/>
  <c r="U23" i="126"/>
  <c r="V23" i="126"/>
  <c r="W23" i="126"/>
  <c r="Z23" i="126"/>
  <c r="Y23" i="126" s="1"/>
  <c r="X23" i="126" s="1"/>
  <c r="AA23" i="126"/>
  <c r="AB23" i="126"/>
  <c r="AC23" i="126"/>
  <c r="AD23" i="126"/>
  <c r="AE23" i="126"/>
  <c r="T24" i="126"/>
  <c r="S24" i="126" s="1"/>
  <c r="R24" i="126" s="1"/>
  <c r="Q24" i="126" s="1"/>
  <c r="U24" i="126"/>
  <c r="V24" i="126"/>
  <c r="W24" i="126"/>
  <c r="Z24" i="126"/>
  <c r="Y24" i="126" s="1"/>
  <c r="X24" i="126" s="1"/>
  <c r="AA24" i="126"/>
  <c r="AB24" i="126"/>
  <c r="AC24" i="126"/>
  <c r="AD24" i="126"/>
  <c r="AE24" i="126"/>
  <c r="T25" i="126"/>
  <c r="S25" i="126" s="1"/>
  <c r="R25" i="126" s="1"/>
  <c r="Q25" i="126" s="1"/>
  <c r="U25" i="126"/>
  <c r="V25" i="126"/>
  <c r="W25" i="126"/>
  <c r="Z25" i="126"/>
  <c r="AA25" i="126"/>
  <c r="Y25" i="126" s="1"/>
  <c r="X25" i="126" s="1"/>
  <c r="AB25" i="126"/>
  <c r="AC25" i="126"/>
  <c r="AD25" i="126"/>
  <c r="AE25" i="126"/>
  <c r="AE33" i="126" s="1"/>
  <c r="T26" i="126"/>
  <c r="S26" i="126" s="1"/>
  <c r="R26" i="126" s="1"/>
  <c r="U26" i="126"/>
  <c r="V26" i="126"/>
  <c r="W26" i="126"/>
  <c r="Z26" i="126"/>
  <c r="AA26" i="126"/>
  <c r="AB26" i="126"/>
  <c r="Y26" i="126" s="1"/>
  <c r="X26" i="126" s="1"/>
  <c r="AC26" i="126"/>
  <c r="AD26" i="126"/>
  <c r="AE26" i="126"/>
  <c r="T27" i="126"/>
  <c r="U27" i="126"/>
  <c r="S27" i="126" s="1"/>
  <c r="R27" i="126" s="1"/>
  <c r="V27" i="126"/>
  <c r="W27" i="126"/>
  <c r="Y27" i="126"/>
  <c r="X27" i="126" s="1"/>
  <c r="Z27" i="126"/>
  <c r="AA27" i="126"/>
  <c r="AB27" i="126"/>
  <c r="AC27" i="126"/>
  <c r="AD27" i="126"/>
  <c r="AE27" i="126"/>
  <c r="T28" i="126"/>
  <c r="U28" i="126"/>
  <c r="V28" i="126"/>
  <c r="S28" i="126" s="1"/>
  <c r="R28" i="126" s="1"/>
  <c r="W28" i="126"/>
  <c r="Z28" i="126"/>
  <c r="Y28" i="126" s="1"/>
  <c r="X28" i="126" s="1"/>
  <c r="AA28" i="126"/>
  <c r="AB28" i="126"/>
  <c r="AC28" i="126"/>
  <c r="AD28" i="126"/>
  <c r="AE28" i="126"/>
  <c r="S29" i="126"/>
  <c r="R29" i="126" s="1"/>
  <c r="T29" i="126"/>
  <c r="U29" i="126"/>
  <c r="V29" i="126"/>
  <c r="W29" i="126"/>
  <c r="Z29" i="126"/>
  <c r="Y29" i="126" s="1"/>
  <c r="X29" i="126" s="1"/>
  <c r="AA29" i="126"/>
  <c r="AB29" i="126"/>
  <c r="AC29" i="126"/>
  <c r="AD29" i="126"/>
  <c r="AE29" i="126"/>
  <c r="T30" i="126"/>
  <c r="S30" i="126" s="1"/>
  <c r="R30" i="126" s="1"/>
  <c r="Q30" i="126" s="1"/>
  <c r="U30" i="126"/>
  <c r="V30" i="126"/>
  <c r="W30" i="126"/>
  <c r="Z30" i="126"/>
  <c r="Y30" i="126" s="1"/>
  <c r="X30" i="126" s="1"/>
  <c r="AA30" i="126"/>
  <c r="AB30" i="126"/>
  <c r="AC30" i="126"/>
  <c r="AD30" i="126"/>
  <c r="AE30" i="126"/>
  <c r="T31" i="126"/>
  <c r="S31" i="126" s="1"/>
  <c r="R31" i="126" s="1"/>
  <c r="Q31" i="126" s="1"/>
  <c r="U31" i="126"/>
  <c r="V31" i="126"/>
  <c r="W31" i="126"/>
  <c r="Z31" i="126"/>
  <c r="Y31" i="126" s="1"/>
  <c r="X31" i="126" s="1"/>
  <c r="AA31" i="126"/>
  <c r="AB31" i="126"/>
  <c r="AC31" i="126"/>
  <c r="AD31" i="126"/>
  <c r="AE31" i="126"/>
  <c r="T32" i="126"/>
  <c r="S32" i="126" s="1"/>
  <c r="R32" i="126" s="1"/>
  <c r="U32" i="126"/>
  <c r="V32" i="126"/>
  <c r="W32" i="126"/>
  <c r="Z32" i="126"/>
  <c r="Y32" i="126" s="1"/>
  <c r="X32" i="126" s="1"/>
  <c r="AA32" i="126"/>
  <c r="AB32" i="126"/>
  <c r="AC32" i="126"/>
  <c r="AD32" i="126"/>
  <c r="AE32" i="126"/>
  <c r="H33" i="126"/>
  <c r="P34" i="126" s="1"/>
  <c r="N34" i="126" s="1"/>
  <c r="P33" i="126"/>
  <c r="B1" i="126"/>
  <c r="AF1" i="126"/>
  <c r="M6" i="126"/>
  <c r="M7" i="126"/>
  <c r="F129" i="66"/>
  <c r="F128" i="66"/>
  <c r="F127" i="66"/>
  <c r="F123" i="66"/>
  <c r="F136" i="66"/>
  <c r="F134" i="66"/>
  <c r="F132" i="66"/>
  <c r="F131" i="66"/>
  <c r="F126" i="66"/>
  <c r="F124" i="66"/>
  <c r="X33" i="126" l="1"/>
  <c r="Q26" i="126"/>
  <c r="Q22" i="126"/>
  <c r="Q15" i="126"/>
  <c r="Q29" i="126"/>
  <c r="Q28" i="126"/>
  <c r="Q32" i="126"/>
  <c r="Q18" i="126"/>
  <c r="Q21" i="126"/>
  <c r="R33" i="126"/>
  <c r="Q14" i="126"/>
  <c r="Q17" i="126"/>
  <c r="Q27" i="126"/>
  <c r="T43" i="5" l="1"/>
  <c r="F5" i="66" l="1"/>
  <c r="F6" i="66"/>
  <c r="B7" i="105"/>
  <c r="G7" i="105"/>
  <c r="K7" i="17"/>
  <c r="K8" i="17"/>
  <c r="H11" i="35"/>
  <c r="G37" i="17"/>
  <c r="E23" i="32"/>
  <c r="F260" i="66" a="1"/>
  <c r="F260" i="66" s="1"/>
  <c r="G122" i="125"/>
  <c r="G104" i="125"/>
  <c r="G132" i="125"/>
  <c r="G123" i="125"/>
  <c r="G133" i="125" s="1"/>
  <c r="G136" i="125" s="1"/>
  <c r="G74" i="125"/>
  <c r="G65" i="125"/>
  <c r="G59" i="125"/>
  <c r="G36" i="125"/>
  <c r="G40" i="125" s="1"/>
  <c r="H6" i="125"/>
  <c r="I8" i="125"/>
  <c r="A1" i="125"/>
  <c r="L1" i="125"/>
  <c r="G76" i="125" l="1"/>
  <c r="M70" i="57"/>
  <c r="M68" i="113" l="1"/>
  <c r="M67" i="113"/>
  <c r="N32" i="3"/>
  <c r="L8" i="123"/>
  <c r="L7" i="123"/>
  <c r="N8" i="122"/>
  <c r="N7" i="122"/>
  <c r="O8" i="11"/>
  <c r="O7" i="11"/>
  <c r="H24" i="123"/>
  <c r="F24" i="123"/>
  <c r="F37" i="68" l="1"/>
  <c r="D47" i="105"/>
  <c r="F31" i="90"/>
  <c r="F50" i="90"/>
  <c r="F50" i="72"/>
  <c r="F31" i="72"/>
  <c r="D31" i="80"/>
  <c r="D50" i="80"/>
  <c r="AI19" i="80"/>
  <c r="AI20" i="80"/>
  <c r="AI21" i="80"/>
  <c r="AI22" i="80"/>
  <c r="AI23" i="80"/>
  <c r="AI24" i="80"/>
  <c r="AI25" i="80"/>
  <c r="AI26" i="80"/>
  <c r="AI27" i="80"/>
  <c r="AI28" i="80"/>
  <c r="AI29" i="80"/>
  <c r="AI30" i="80"/>
  <c r="AI32" i="80"/>
  <c r="AI33" i="80"/>
  <c r="AI34" i="80"/>
  <c r="AI35" i="80"/>
  <c r="AI36" i="80"/>
  <c r="AI37" i="80"/>
  <c r="AI39" i="80"/>
  <c r="AI40" i="80"/>
  <c r="T1" i="123"/>
  <c r="M61" i="121" s="1"/>
  <c r="AJ1" i="122"/>
  <c r="H48" i="123"/>
  <c r="F48" i="123"/>
  <c r="H34" i="123"/>
  <c r="F34" i="123"/>
  <c r="A1" i="123"/>
  <c r="Q42" i="122"/>
  <c r="O42" i="122"/>
  <c r="O44" i="122" s="1"/>
  <c r="M42" i="122"/>
  <c r="K42" i="122"/>
  <c r="K44" i="122" s="1"/>
  <c r="I42" i="122"/>
  <c r="G42" i="122"/>
  <c r="G44" i="122" s="1"/>
  <c r="AI27" i="122"/>
  <c r="AH27" i="122"/>
  <c r="AG27" i="122"/>
  <c r="AF27" i="122"/>
  <c r="AE27" i="122"/>
  <c r="AD27" i="122"/>
  <c r="AC27" i="122"/>
  <c r="AB27" i="122"/>
  <c r="AA27" i="122"/>
  <c r="Z27" i="122"/>
  <c r="Y27" i="122"/>
  <c r="X27" i="122"/>
  <c r="W27" i="122"/>
  <c r="V27" i="122"/>
  <c r="U27" i="122"/>
  <c r="AH26" i="122"/>
  <c r="AG26" i="122"/>
  <c r="AF26" i="122"/>
  <c r="AE26" i="122"/>
  <c r="AD26" i="122"/>
  <c r="AC26" i="122"/>
  <c r="AB26" i="122"/>
  <c r="AA26" i="122"/>
  <c r="Z26" i="122"/>
  <c r="Y26" i="122"/>
  <c r="X26" i="122"/>
  <c r="W26" i="122"/>
  <c r="V26" i="122"/>
  <c r="U26" i="122"/>
  <c r="D26" i="122"/>
  <c r="D27" i="122" s="1"/>
  <c r="D28" i="122" s="1"/>
  <c r="D29" i="122" s="1"/>
  <c r="D30" i="122" s="1"/>
  <c r="C31" i="122" s="1"/>
  <c r="C1" i="122"/>
  <c r="B90" i="11"/>
  <c r="AL81" i="11"/>
  <c r="AL74" i="11"/>
  <c r="AL69" i="11"/>
  <c r="AL60" i="11"/>
  <c r="AL53" i="11"/>
  <c r="R44" i="11"/>
  <c r="P44" i="11"/>
  <c r="P45" i="11" s="1"/>
  <c r="N44" i="11"/>
  <c r="L44" i="11"/>
  <c r="L45" i="11" s="1"/>
  <c r="J44" i="11"/>
  <c r="H44" i="11"/>
  <c r="H45" i="11" s="1"/>
  <c r="AJ29" i="11"/>
  <c r="AI29" i="11"/>
  <c r="AH29" i="11"/>
  <c r="AG29" i="11"/>
  <c r="AF29" i="11"/>
  <c r="AE29" i="11"/>
  <c r="AD29" i="11"/>
  <c r="AC29" i="11"/>
  <c r="AB29" i="11"/>
  <c r="AA29" i="11"/>
  <c r="Z29" i="11"/>
  <c r="Y29" i="11"/>
  <c r="X29" i="11"/>
  <c r="W29" i="11"/>
  <c r="V29" i="11"/>
  <c r="AI28" i="11"/>
  <c r="AH28" i="11"/>
  <c r="AG28" i="11"/>
  <c r="AF28" i="11"/>
  <c r="AE28" i="11"/>
  <c r="AD28" i="11"/>
  <c r="AC28" i="11"/>
  <c r="AB28" i="11"/>
  <c r="AA28" i="11"/>
  <c r="Z28" i="11"/>
  <c r="Y28" i="11"/>
  <c r="X28" i="11"/>
  <c r="W28" i="11"/>
  <c r="V28" i="11"/>
  <c r="T28" i="11"/>
  <c r="T29" i="11" s="1"/>
  <c r="D28" i="11"/>
  <c r="D29" i="11" s="1"/>
  <c r="D30" i="11" s="1"/>
  <c r="D31" i="11" s="1"/>
  <c r="D32" i="11" s="1"/>
  <c r="C33" i="11" s="1"/>
  <c r="AK1" i="11"/>
  <c r="C1" i="11"/>
  <c r="M63" i="121" l="1"/>
  <c r="C32" i="122"/>
  <c r="D31" i="122"/>
  <c r="D33" i="11"/>
  <c r="C34" i="11"/>
  <c r="D32" i="122" l="1"/>
  <c r="C33" i="122"/>
  <c r="C35" i="11"/>
  <c r="D34" i="11"/>
  <c r="C34" i="122" l="1"/>
  <c r="D33" i="122"/>
  <c r="C36" i="11"/>
  <c r="D35" i="11"/>
  <c r="D34" i="122" l="1"/>
  <c r="C35" i="122"/>
  <c r="C37" i="11"/>
  <c r="D36" i="11"/>
  <c r="C36" i="122" l="1"/>
  <c r="D35" i="122"/>
  <c r="C38" i="11"/>
  <c r="D37" i="11"/>
  <c r="C37" i="122" l="1"/>
  <c r="D36" i="122"/>
  <c r="D38" i="11"/>
  <c r="C39" i="11"/>
  <c r="D37" i="122" l="1"/>
  <c r="C38" i="122"/>
  <c r="C40" i="11"/>
  <c r="D39" i="11"/>
  <c r="C39" i="122" l="1"/>
  <c r="D38" i="122"/>
  <c r="C41" i="11"/>
  <c r="D40" i="11"/>
  <c r="D39" i="122" l="1"/>
  <c r="C40" i="122"/>
  <c r="D40" i="122" s="1"/>
  <c r="D41" i="11"/>
  <c r="C42" i="11"/>
  <c r="D42" i="11" s="1"/>
  <c r="O6" i="108" l="1"/>
  <c r="M7" i="107"/>
  <c r="M7" i="106"/>
  <c r="M7" i="110"/>
  <c r="I8" i="120"/>
  <c r="I7" i="120"/>
  <c r="D47" i="80" l="1"/>
  <c r="Q249" i="80" l="1"/>
  <c r="D24" i="80"/>
  <c r="I333" i="80"/>
  <c r="H318" i="80"/>
  <c r="I318" i="80"/>
  <c r="AI151" i="80" l="1"/>
  <c r="AI125" i="80"/>
  <c r="F126" i="68"/>
  <c r="F125" i="90" s="1"/>
  <c r="F83" i="68"/>
  <c r="T83" i="68" s="1"/>
  <c r="F82" i="90" l="1"/>
  <c r="D305" i="80"/>
  <c r="D304" i="80"/>
  <c r="D277" i="80"/>
  <c r="D278" i="80"/>
  <c r="D81" i="80" l="1"/>
  <c r="D82" i="80"/>
  <c r="F82" i="66"/>
  <c r="F82" i="72" s="1"/>
  <c r="F125" i="66"/>
  <c r="F125" i="72" s="1"/>
  <c r="D125" i="80"/>
  <c r="D151" i="80"/>
  <c r="M62" i="121" l="1"/>
  <c r="F152" i="68" l="1"/>
  <c r="F151" i="66"/>
  <c r="F151" i="72" s="1"/>
  <c r="Z152" i="80"/>
  <c r="Z126" i="80"/>
  <c r="F151" i="90" l="1"/>
  <c r="T152" i="68"/>
  <c r="Y152" i="80"/>
  <c r="Y126" i="80"/>
  <c r="U126" i="80" l="1"/>
  <c r="R152" i="80" l="1"/>
  <c r="R126" i="80"/>
  <c r="M70" i="18" l="1"/>
  <c r="P126" i="80"/>
  <c r="O34" i="8"/>
  <c r="M34" i="8"/>
  <c r="K34" i="8"/>
  <c r="I34" i="8"/>
  <c r="I319" i="80"/>
  <c r="G318" i="80"/>
  <c r="D253" i="80" l="1"/>
  <c r="D254" i="80"/>
  <c r="D255" i="80"/>
  <c r="D257" i="80"/>
  <c r="D258" i="80"/>
  <c r="D61" i="80"/>
  <c r="D45" i="80"/>
  <c r="D46" i="80"/>
  <c r="D48" i="80"/>
  <c r="D44" i="29"/>
  <c r="L38" i="80"/>
  <c r="R44" i="5" l="1"/>
  <c r="P44" i="5"/>
  <c r="N44" i="5"/>
  <c r="L44" i="5"/>
  <c r="J44" i="5"/>
  <c r="H44" i="5"/>
  <c r="F44" i="5"/>
  <c r="G44" i="5"/>
  <c r="I44" i="5"/>
  <c r="K44" i="5"/>
  <c r="M44" i="5"/>
  <c r="O44" i="5"/>
  <c r="Q44" i="5"/>
  <c r="R42" i="64"/>
  <c r="R41" i="64"/>
  <c r="R40" i="64"/>
  <c r="M81" i="121" l="1"/>
  <c r="M27" i="121"/>
  <c r="E44" i="29"/>
  <c r="F44" i="29"/>
  <c r="G44" i="29"/>
  <c r="H44" i="29"/>
  <c r="T58" i="113"/>
  <c r="M59" i="121"/>
  <c r="M58" i="121"/>
  <c r="M54" i="121"/>
  <c r="M53" i="121"/>
  <c r="M80" i="121" l="1"/>
  <c r="M24" i="121" l="1"/>
  <c r="M17" i="121"/>
  <c r="M16" i="121"/>
  <c r="M15" i="121"/>
  <c r="M55" i="121" l="1"/>
  <c r="M57" i="121"/>
  <c r="M52" i="121"/>
  <c r="M56" i="121"/>
  <c r="M51" i="121"/>
  <c r="F338" i="80" l="1"/>
  <c r="G338" i="80"/>
  <c r="H338" i="80"/>
  <c r="I338" i="80"/>
  <c r="J338" i="80"/>
  <c r="K338" i="80"/>
  <c r="L338" i="80"/>
  <c r="M338" i="80"/>
  <c r="N338" i="80"/>
  <c r="O338" i="80"/>
  <c r="P338" i="80"/>
  <c r="Q338" i="80"/>
  <c r="R338" i="80"/>
  <c r="S338" i="80"/>
  <c r="T338" i="80"/>
  <c r="U338" i="80"/>
  <c r="V338" i="80"/>
  <c r="W338" i="80"/>
  <c r="X338" i="80"/>
  <c r="Y338" i="80"/>
  <c r="Z338" i="80"/>
  <c r="AA338" i="80"/>
  <c r="AB338" i="80"/>
  <c r="AC338" i="80"/>
  <c r="AD338" i="80"/>
  <c r="AE338" i="80"/>
  <c r="AF338" i="80"/>
  <c r="AG338" i="80"/>
  <c r="E338" i="80"/>
  <c r="Z334" i="80"/>
  <c r="Y334" i="80"/>
  <c r="V334" i="80"/>
  <c r="U334" i="80"/>
  <c r="R334" i="80"/>
  <c r="Q334" i="80"/>
  <c r="P334" i="80"/>
  <c r="F284" i="80"/>
  <c r="D235" i="80"/>
  <c r="E247" i="80"/>
  <c r="D190" i="80"/>
  <c r="F190" i="72"/>
  <c r="G190" i="66"/>
  <c r="F192" i="66"/>
  <c r="D273" i="80"/>
  <c r="D274" i="80"/>
  <c r="D275" i="80"/>
  <c r="D276" i="80"/>
  <c r="D244" i="80"/>
  <c r="D176" i="80"/>
  <c r="D75" i="80"/>
  <c r="D76" i="80"/>
  <c r="D77" i="80"/>
  <c r="D78" i="80"/>
  <c r="D49" i="80"/>
  <c r="D30" i="80"/>
  <c r="M32" i="28"/>
  <c r="M33" i="28"/>
  <c r="M34" i="28"/>
  <c r="M31" i="28"/>
  <c r="M30" i="28"/>
  <c r="H33" i="118" l="1"/>
  <c r="A2" i="121"/>
  <c r="A2" i="2"/>
  <c r="B2" i="126" s="1"/>
  <c r="A2" i="1"/>
  <c r="A2" i="123" l="1"/>
  <c r="A2" i="125"/>
  <c r="C2" i="11"/>
  <c r="C2" i="122"/>
  <c r="N31" i="3"/>
  <c r="M73" i="113" l="1"/>
  <c r="F244" i="72"/>
  <c r="F176" i="72"/>
  <c r="F49" i="72"/>
  <c r="F30" i="72"/>
  <c r="F244" i="68"/>
  <c r="F243" i="90" s="1"/>
  <c r="F177" i="68"/>
  <c r="F176" i="90" s="1"/>
  <c r="F50" i="68"/>
  <c r="F49" i="90" s="1"/>
  <c r="F31" i="68"/>
  <c r="F30" i="90" s="1"/>
  <c r="Y63" i="101" l="1"/>
  <c r="T34" i="8" l="1"/>
  <c r="M70" i="121"/>
  <c r="M22" i="121"/>
  <c r="M21" i="121"/>
  <c r="M18" i="121"/>
  <c r="M19" i="121"/>
  <c r="M14" i="121"/>
  <c r="R12" i="36" l="1"/>
  <c r="M12" i="121" l="1"/>
  <c r="M73" i="121" l="1"/>
  <c r="M72" i="121"/>
  <c r="M71" i="121"/>
  <c r="M69" i="121"/>
  <c r="M68" i="121"/>
  <c r="M23" i="121"/>
  <c r="M20" i="121"/>
  <c r="M13" i="121"/>
  <c r="M26" i="121" l="1"/>
  <c r="M25" i="121"/>
  <c r="H44" i="31" l="1"/>
  <c r="G44" i="31"/>
  <c r="F44" i="31"/>
  <c r="E44" i="31"/>
  <c r="D44" i="31"/>
  <c r="H36" i="31"/>
  <c r="G36" i="31"/>
  <c r="F36" i="31"/>
  <c r="E36" i="31"/>
  <c r="D36" i="31"/>
  <c r="M21" i="31"/>
  <c r="F235" i="72"/>
  <c r="F235" i="68"/>
  <c r="F234" i="90" s="1"/>
  <c r="T63" i="112"/>
  <c r="T55" i="112"/>
  <c r="L58" i="55"/>
  <c r="L39" i="55"/>
  <c r="M22" i="32"/>
  <c r="M21" i="32"/>
  <c r="M20" i="32"/>
  <c r="M19" i="32"/>
  <c r="M1" i="32"/>
  <c r="AK60" i="101" l="1"/>
  <c r="AK59" i="101"/>
  <c r="AK58" i="101"/>
  <c r="AK57" i="101"/>
  <c r="AK56" i="101"/>
  <c r="AK55" i="101"/>
  <c r="Y30" i="61"/>
  <c r="Y29" i="61"/>
  <c r="AK47" i="101"/>
  <c r="AK46" i="101"/>
  <c r="AK45" i="101"/>
  <c r="R43" i="64" l="1"/>
  <c r="R39" i="64"/>
  <c r="R38" i="64"/>
  <c r="R37" i="64"/>
  <c r="R36" i="64"/>
  <c r="R35" i="64"/>
  <c r="R34" i="64"/>
  <c r="R33" i="64"/>
  <c r="R32" i="64"/>
  <c r="R31" i="64"/>
  <c r="R30" i="64"/>
  <c r="R29" i="64"/>
  <c r="R28" i="64"/>
  <c r="R27" i="64"/>
  <c r="R26" i="64"/>
  <c r="R25" i="64"/>
  <c r="R24" i="64"/>
  <c r="R23" i="64"/>
  <c r="R22" i="64"/>
  <c r="R21" i="64"/>
  <c r="R20" i="64"/>
  <c r="R19" i="64"/>
  <c r="R18" i="64"/>
  <c r="R17" i="64"/>
  <c r="M34" i="31"/>
  <c r="M33" i="31"/>
  <c r="M32" i="31"/>
  <c r="M30" i="31"/>
  <c r="M29" i="31"/>
  <c r="M28" i="31"/>
  <c r="M26" i="31"/>
  <c r="M25" i="31"/>
  <c r="M24" i="31"/>
  <c r="M34" i="29"/>
  <c r="M33" i="29"/>
  <c r="M32" i="29"/>
  <c r="M30" i="29"/>
  <c r="M29" i="29"/>
  <c r="M28" i="29"/>
  <c r="M26" i="29"/>
  <c r="M25" i="29"/>
  <c r="M24" i="29"/>
  <c r="M23" i="29"/>
  <c r="M36" i="28"/>
  <c r="M37" i="28"/>
  <c r="M28" i="28"/>
  <c r="M27" i="28"/>
  <c r="M26" i="28"/>
  <c r="W27" i="15"/>
  <c r="W25" i="15"/>
  <c r="W23" i="15"/>
  <c r="W21" i="15"/>
  <c r="W19" i="15"/>
  <c r="W17" i="15"/>
  <c r="W15" i="15"/>
  <c r="W27" i="14"/>
  <c r="W25" i="14"/>
  <c r="W23" i="14"/>
  <c r="W21" i="14"/>
  <c r="W19" i="14"/>
  <c r="W17" i="14"/>
  <c r="W15" i="14"/>
  <c r="V33" i="12"/>
  <c r="V32" i="12"/>
  <c r="V30" i="12"/>
  <c r="V26" i="12"/>
  <c r="V25" i="12"/>
  <c r="V24" i="12"/>
  <c r="E10" i="83" l="1"/>
  <c r="B10" i="83"/>
  <c r="C10" i="83" s="1"/>
  <c r="E9" i="83"/>
  <c r="B9" i="83"/>
  <c r="C9" i="83" s="1"/>
  <c r="E8" i="83"/>
  <c r="B8" i="83"/>
  <c r="C8" i="83" s="1"/>
  <c r="E7" i="83"/>
  <c r="B7" i="83"/>
  <c r="C7" i="83" s="1"/>
  <c r="E6" i="83"/>
  <c r="B6" i="83"/>
  <c r="C6" i="83" s="1"/>
  <c r="D5" i="83"/>
  <c r="E5" i="83" s="1"/>
  <c r="D4" i="83"/>
  <c r="E4" i="83" s="1"/>
  <c r="C4" i="83"/>
  <c r="E3" i="83"/>
  <c r="B3" i="83"/>
  <c r="C3" i="83" s="1"/>
  <c r="G50" i="82"/>
  <c r="G49" i="82"/>
  <c r="H48" i="82"/>
  <c r="R48" i="82" s="1"/>
  <c r="G48" i="82"/>
  <c r="G47" i="82"/>
  <c r="H46" i="82"/>
  <c r="R46" i="82" s="1"/>
  <c r="G46" i="82"/>
  <c r="H45" i="82"/>
  <c r="R45" i="82" s="1"/>
  <c r="G45" i="82"/>
  <c r="H44" i="82"/>
  <c r="R44" i="82" s="1"/>
  <c r="G44" i="82"/>
  <c r="H43" i="82"/>
  <c r="R43" i="82" s="1"/>
  <c r="G43" i="82"/>
  <c r="L42" i="82"/>
  <c r="K42" i="82"/>
  <c r="J42" i="82"/>
  <c r="I42" i="82"/>
  <c r="H42" i="82"/>
  <c r="G42" i="82"/>
  <c r="D42" i="82" s="1"/>
  <c r="H41" i="82"/>
  <c r="R41" i="82" s="1"/>
  <c r="G41" i="82"/>
  <c r="D41" i="82" s="1"/>
  <c r="H40" i="82"/>
  <c r="R40" i="82" s="1"/>
  <c r="G40" i="82"/>
  <c r="D40" i="82" s="1"/>
  <c r="H39" i="82"/>
  <c r="R39" i="82" s="1"/>
  <c r="G39" i="82"/>
  <c r="G38" i="82"/>
  <c r="G37" i="82"/>
  <c r="G36" i="82"/>
  <c r="H35" i="82"/>
  <c r="R35" i="82" s="1"/>
  <c r="G35" i="82"/>
  <c r="H34" i="82"/>
  <c r="R34" i="82" s="1"/>
  <c r="G34" i="82"/>
  <c r="H33" i="82"/>
  <c r="R33" i="82" s="1"/>
  <c r="G33" i="82"/>
  <c r="H32" i="82"/>
  <c r="R32" i="82" s="1"/>
  <c r="G32" i="82"/>
  <c r="H31" i="82"/>
  <c r="R31" i="82" s="1"/>
  <c r="G31" i="82"/>
  <c r="H30" i="82"/>
  <c r="R30" i="82" s="1"/>
  <c r="G30" i="82"/>
  <c r="H29" i="82"/>
  <c r="R29" i="82" s="1"/>
  <c r="G29" i="82"/>
  <c r="H28" i="82"/>
  <c r="R28" i="82" s="1"/>
  <c r="G28" i="82"/>
  <c r="G27" i="82"/>
  <c r="L26" i="82"/>
  <c r="K26" i="82"/>
  <c r="J26" i="82"/>
  <c r="I26" i="82"/>
  <c r="H26" i="82"/>
  <c r="G26" i="82"/>
  <c r="K25" i="82"/>
  <c r="J25" i="82"/>
  <c r="I25" i="82"/>
  <c r="H25" i="82"/>
  <c r="G25" i="82"/>
  <c r="M24" i="82"/>
  <c r="L24" i="82"/>
  <c r="V24" i="82" s="1"/>
  <c r="K24" i="82"/>
  <c r="J24" i="82"/>
  <c r="I24" i="82"/>
  <c r="H24" i="82"/>
  <c r="G24" i="82"/>
  <c r="H23" i="82"/>
  <c r="R23" i="82" s="1"/>
  <c r="G23" i="82"/>
  <c r="I22" i="82"/>
  <c r="H22" i="82"/>
  <c r="G22" i="82"/>
  <c r="I21" i="82"/>
  <c r="H21" i="82"/>
  <c r="G21" i="82"/>
  <c r="I20" i="82"/>
  <c r="H20" i="82"/>
  <c r="G20" i="82"/>
  <c r="I19" i="82"/>
  <c r="H19" i="82"/>
  <c r="G19" i="82"/>
  <c r="Q18" i="82"/>
  <c r="O18" i="82"/>
  <c r="N18" i="82"/>
  <c r="M18" i="82"/>
  <c r="L18" i="82"/>
  <c r="K18" i="82"/>
  <c r="J18" i="82"/>
  <c r="I18" i="82"/>
  <c r="H18" i="82"/>
  <c r="G18" i="82"/>
  <c r="I17" i="82"/>
  <c r="H17" i="82"/>
  <c r="G17" i="82"/>
  <c r="I16" i="82"/>
  <c r="R16" i="82" s="1"/>
  <c r="H16" i="82"/>
  <c r="G16" i="82"/>
  <c r="I15" i="82"/>
  <c r="H15" i="82"/>
  <c r="G15" i="82"/>
  <c r="I14" i="82"/>
  <c r="H14" i="82"/>
  <c r="G14" i="82"/>
  <c r="I13" i="82"/>
  <c r="H13" i="82"/>
  <c r="G13" i="82"/>
  <c r="O12" i="82"/>
  <c r="N12" i="82"/>
  <c r="M12" i="82"/>
  <c r="L12" i="82"/>
  <c r="K12" i="82"/>
  <c r="J12" i="82"/>
  <c r="I12" i="82"/>
  <c r="H12" i="82"/>
  <c r="G12" i="82"/>
  <c r="I11" i="82"/>
  <c r="H11" i="82"/>
  <c r="G11" i="82"/>
  <c r="H10" i="82"/>
  <c r="R10" i="82" s="1"/>
  <c r="G10" i="82"/>
  <c r="K9" i="82"/>
  <c r="J9" i="82"/>
  <c r="G9" i="82"/>
  <c r="H8" i="82"/>
  <c r="R8" i="82" s="1"/>
  <c r="G8" i="82"/>
  <c r="K7" i="82"/>
  <c r="J7" i="82"/>
  <c r="H7" i="82"/>
  <c r="G7" i="82"/>
  <c r="G6" i="82"/>
  <c r="H5" i="82"/>
  <c r="R5" i="82" s="1"/>
  <c r="G5" i="82"/>
  <c r="G4" i="82"/>
  <c r="H3" i="82"/>
  <c r="R3" i="82" s="1"/>
  <c r="G3" i="82"/>
  <c r="H2" i="82"/>
  <c r="L150" i="77"/>
  <c r="A150" i="77"/>
  <c r="A135" i="77"/>
  <c r="A134" i="77"/>
  <c r="A133" i="77"/>
  <c r="A132" i="77"/>
  <c r="A131" i="77"/>
  <c r="A130" i="77"/>
  <c r="A129" i="77"/>
  <c r="A128" i="77"/>
  <c r="A127" i="77"/>
  <c r="A126" i="77"/>
  <c r="A125" i="77"/>
  <c r="A124" i="77"/>
  <c r="A123" i="77"/>
  <c r="A122" i="77"/>
  <c r="A121" i="77"/>
  <c r="A120" i="77"/>
  <c r="A119" i="77"/>
  <c r="A118" i="77"/>
  <c r="A117" i="77"/>
  <c r="A116" i="77"/>
  <c r="A115" i="77"/>
  <c r="A114" i="77"/>
  <c r="A113" i="77"/>
  <c r="A112" i="77"/>
  <c r="A111" i="77"/>
  <c r="A110" i="77"/>
  <c r="A109" i="77"/>
  <c r="A108" i="77"/>
  <c r="A107" i="77"/>
  <c r="A106" i="77"/>
  <c r="A105" i="77"/>
  <c r="A104" i="77"/>
  <c r="A103" i="77"/>
  <c r="A102" i="77"/>
  <c r="A101" i="77"/>
  <c r="A100" i="77"/>
  <c r="A99" i="77"/>
  <c r="A98" i="77"/>
  <c r="A97" i="77"/>
  <c r="A96" i="77"/>
  <c r="A95" i="77"/>
  <c r="A94" i="77"/>
  <c r="A93" i="77"/>
  <c r="A92" i="77"/>
  <c r="A91" i="77"/>
  <c r="A90" i="77"/>
  <c r="A89" i="77"/>
  <c r="A88" i="77"/>
  <c r="A87" i="77"/>
  <c r="A86" i="77"/>
  <c r="A85" i="77"/>
  <c r="A84" i="77"/>
  <c r="A83" i="77"/>
  <c r="A82" i="77"/>
  <c r="A81" i="77"/>
  <c r="A80" i="77"/>
  <c r="A79" i="77"/>
  <c r="A78" i="77"/>
  <c r="C77" i="77"/>
  <c r="C76" i="77"/>
  <c r="C75" i="77"/>
  <c r="C74" i="77"/>
  <c r="N74" i="77" s="1"/>
  <c r="C73" i="77"/>
  <c r="C72" i="77"/>
  <c r="C71" i="77"/>
  <c r="C70" i="77"/>
  <c r="C69" i="77"/>
  <c r="N69" i="77" s="1"/>
  <c r="C68" i="77"/>
  <c r="N68" i="77" s="1"/>
  <c r="C67" i="77"/>
  <c r="N67" i="77" s="1"/>
  <c r="C66" i="77"/>
  <c r="N66" i="77" s="1"/>
  <c r="C65" i="77"/>
  <c r="N65" i="77" s="1"/>
  <c r="C64" i="77"/>
  <c r="N64" i="77" s="1"/>
  <c r="C63" i="77"/>
  <c r="N63" i="77" s="1"/>
  <c r="C62" i="77"/>
  <c r="N62" i="77" s="1"/>
  <c r="C61" i="77"/>
  <c r="N61" i="77" s="1"/>
  <c r="C60" i="77"/>
  <c r="N60" i="77" s="1"/>
  <c r="C59" i="77"/>
  <c r="N59" i="77" s="1"/>
  <c r="C58" i="77"/>
  <c r="N58" i="77" s="1"/>
  <c r="C57" i="77"/>
  <c r="N57" i="77" s="1"/>
  <c r="C56" i="77"/>
  <c r="C55" i="77"/>
  <c r="C54" i="77"/>
  <c r="N54" i="77" s="1"/>
  <c r="C53" i="77"/>
  <c r="N53" i="77" s="1"/>
  <c r="C52" i="77"/>
  <c r="N52" i="77" s="1"/>
  <c r="C51" i="77"/>
  <c r="N51" i="77" s="1"/>
  <c r="C50" i="77"/>
  <c r="N50" i="77" s="1"/>
  <c r="C49" i="77"/>
  <c r="N49" i="77" s="1"/>
  <c r="C48" i="77"/>
  <c r="N48" i="77" s="1"/>
  <c r="C47" i="77"/>
  <c r="N47" i="77" s="1"/>
  <c r="C46" i="77"/>
  <c r="N46" i="77" s="1"/>
  <c r="C45" i="77"/>
  <c r="N45" i="77" s="1"/>
  <c r="C44" i="77"/>
  <c r="C43" i="77"/>
  <c r="C42" i="77"/>
  <c r="C41" i="77"/>
  <c r="C40" i="77"/>
  <c r="C38" i="77"/>
  <c r="C37" i="77"/>
  <c r="N37" i="77" s="1"/>
  <c r="C36" i="77"/>
  <c r="C35" i="77"/>
  <c r="C34" i="77"/>
  <c r="L33" i="77"/>
  <c r="C33" i="77"/>
  <c r="N33" i="77" s="1"/>
  <c r="L32" i="77"/>
  <c r="C32" i="77"/>
  <c r="L31" i="77"/>
  <c r="C31" i="77"/>
  <c r="L30" i="77"/>
  <c r="C30" i="77"/>
  <c r="N30" i="77" s="1"/>
  <c r="L29" i="77"/>
  <c r="C29" i="77"/>
  <c r="L28" i="77"/>
  <c r="C28" i="77"/>
  <c r="L27" i="77"/>
  <c r="C27" i="77"/>
  <c r="L26" i="77"/>
  <c r="C26" i="77"/>
  <c r="N26" i="77" s="1"/>
  <c r="L25" i="77"/>
  <c r="C25" i="77"/>
  <c r="N25" i="77" s="1"/>
  <c r="L24" i="77"/>
  <c r="C24" i="77"/>
  <c r="N24" i="77" s="1"/>
  <c r="L23" i="77"/>
  <c r="C23" i="77"/>
  <c r="N23" i="77" s="1"/>
  <c r="L22" i="77"/>
  <c r="C22" i="77"/>
  <c r="N22" i="77" s="1"/>
  <c r="L21" i="77"/>
  <c r="C21" i="77"/>
  <c r="N21" i="77" s="1"/>
  <c r="L20" i="77"/>
  <c r="C20" i="77"/>
  <c r="N20" i="77" s="1"/>
  <c r="L19" i="77"/>
  <c r="C19" i="77"/>
  <c r="L18" i="77"/>
  <c r="C18" i="77"/>
  <c r="N18" i="77" s="1"/>
  <c r="L17" i="77"/>
  <c r="C17" i="77"/>
  <c r="N17" i="77" s="1"/>
  <c r="L16" i="77"/>
  <c r="C16" i="77"/>
  <c r="N16" i="77" s="1"/>
  <c r="L15" i="77"/>
  <c r="C15" i="77"/>
  <c r="N15" i="77" s="1"/>
  <c r="L14" i="77"/>
  <c r="C14" i="77"/>
  <c r="N14" i="77" s="1"/>
  <c r="L13" i="77"/>
  <c r="C13" i="77"/>
  <c r="N13" i="77" s="1"/>
  <c r="L12" i="77"/>
  <c r="C12" i="77"/>
  <c r="L11" i="77"/>
  <c r="C11" i="77"/>
  <c r="N11" i="77" s="1"/>
  <c r="L10" i="77"/>
  <c r="C10" i="77"/>
  <c r="N10" i="77" s="1"/>
  <c r="L9" i="77"/>
  <c r="C9" i="77"/>
  <c r="N9" i="77" s="1"/>
  <c r="L8" i="77"/>
  <c r="C8" i="77"/>
  <c r="N8" i="77" s="1"/>
  <c r="C7" i="77"/>
  <c r="N7" i="77" s="1"/>
  <c r="C6" i="77"/>
  <c r="N6" i="77" s="1"/>
  <c r="C5" i="77"/>
  <c r="N5" i="77" s="1"/>
  <c r="C4" i="77"/>
  <c r="N4" i="77" s="1"/>
  <c r="C3" i="77"/>
  <c r="K83" i="85"/>
  <c r="J83" i="85"/>
  <c r="K75" i="85"/>
  <c r="J75" i="85"/>
  <c r="K70" i="85"/>
  <c r="J70" i="85"/>
  <c r="K66" i="85"/>
  <c r="J66" i="85"/>
  <c r="K60" i="85"/>
  <c r="J60" i="85"/>
  <c r="K56" i="85"/>
  <c r="J56" i="85"/>
  <c r="K51" i="85"/>
  <c r="J51" i="85"/>
  <c r="K39" i="85"/>
  <c r="J39" i="85"/>
  <c r="K8" i="85"/>
  <c r="J8" i="85"/>
  <c r="G7" i="85"/>
  <c r="H5" i="85"/>
  <c r="K1" i="85"/>
  <c r="B1" i="85"/>
  <c r="AG346" i="80"/>
  <c r="AF346" i="80"/>
  <c r="AE346" i="80"/>
  <c r="AD346" i="80"/>
  <c r="AC346" i="80"/>
  <c r="AB346" i="80"/>
  <c r="AA346" i="80"/>
  <c r="Z346" i="80"/>
  <c r="Y346" i="80"/>
  <c r="X346" i="80"/>
  <c r="W346" i="80"/>
  <c r="V346" i="80"/>
  <c r="U346" i="80"/>
  <c r="T346" i="80"/>
  <c r="S346" i="80"/>
  <c r="R346" i="80"/>
  <c r="Q346" i="80"/>
  <c r="P346" i="80"/>
  <c r="O346" i="80"/>
  <c r="N346" i="80"/>
  <c r="M346" i="80"/>
  <c r="L346" i="80"/>
  <c r="K346" i="80"/>
  <c r="J346" i="80"/>
  <c r="I346" i="80"/>
  <c r="H346" i="80"/>
  <c r="G346" i="80"/>
  <c r="F346" i="80"/>
  <c r="E346" i="80"/>
  <c r="AG345" i="80"/>
  <c r="AF345" i="80"/>
  <c r="AE345" i="80"/>
  <c r="AD345" i="80"/>
  <c r="AC345" i="80"/>
  <c r="AB345" i="80"/>
  <c r="AA345" i="80"/>
  <c r="Z345" i="80"/>
  <c r="Y345" i="80"/>
  <c r="X345" i="80"/>
  <c r="W345" i="80"/>
  <c r="V345" i="80"/>
  <c r="U345" i="80"/>
  <c r="T345" i="80"/>
  <c r="S345" i="80"/>
  <c r="R345" i="80"/>
  <c r="Q345" i="80"/>
  <c r="P345" i="80"/>
  <c r="O345" i="80"/>
  <c r="N345" i="80"/>
  <c r="M345" i="80"/>
  <c r="L345" i="80"/>
  <c r="K345" i="80"/>
  <c r="J345" i="80"/>
  <c r="I345" i="80"/>
  <c r="H345" i="80"/>
  <c r="G345" i="80"/>
  <c r="F345" i="80"/>
  <c r="E345" i="80"/>
  <c r="AG344" i="80"/>
  <c r="AF344" i="80"/>
  <c r="AE344" i="80"/>
  <c r="AD344" i="80"/>
  <c r="AC344" i="80"/>
  <c r="AB344" i="80"/>
  <c r="AA344" i="80"/>
  <c r="Z344" i="80"/>
  <c r="Y344" i="80"/>
  <c r="X344" i="80"/>
  <c r="W344" i="80"/>
  <c r="V344" i="80"/>
  <c r="U344" i="80"/>
  <c r="T344" i="80"/>
  <c r="S344" i="80"/>
  <c r="R344" i="80"/>
  <c r="Q344" i="80"/>
  <c r="P344" i="80"/>
  <c r="O344" i="80"/>
  <c r="N344" i="80"/>
  <c r="M344" i="80"/>
  <c r="L344" i="80"/>
  <c r="K344" i="80"/>
  <c r="J344" i="80"/>
  <c r="I344" i="80"/>
  <c r="H344" i="80"/>
  <c r="G344" i="80"/>
  <c r="F344" i="80"/>
  <c r="E344" i="80"/>
  <c r="AG343" i="80"/>
  <c r="AF343" i="80"/>
  <c r="AE343" i="80"/>
  <c r="AD343" i="80"/>
  <c r="AC343" i="80"/>
  <c r="AB343" i="80"/>
  <c r="AA343" i="80"/>
  <c r="Z343" i="80"/>
  <c r="Y343" i="80"/>
  <c r="X343" i="80"/>
  <c r="W343" i="80"/>
  <c r="V343" i="80"/>
  <c r="U343" i="80"/>
  <c r="T343" i="80"/>
  <c r="S343" i="80"/>
  <c r="R343" i="80"/>
  <c r="Q343" i="80"/>
  <c r="P343" i="80"/>
  <c r="O343" i="80"/>
  <c r="N343" i="80"/>
  <c r="M343" i="80"/>
  <c r="L343" i="80"/>
  <c r="K343" i="80"/>
  <c r="J343" i="80"/>
  <c r="I343" i="80"/>
  <c r="H343" i="80"/>
  <c r="G343" i="80"/>
  <c r="F343" i="80"/>
  <c r="E343" i="80"/>
  <c r="AG342" i="80"/>
  <c r="AF342" i="80"/>
  <c r="AE342" i="80"/>
  <c r="AD342" i="80"/>
  <c r="AC342" i="80"/>
  <c r="AB342" i="80"/>
  <c r="AA342" i="80"/>
  <c r="Z342" i="80"/>
  <c r="Y342" i="80"/>
  <c r="X342" i="80"/>
  <c r="W342" i="80"/>
  <c r="V342" i="80"/>
  <c r="U342" i="80"/>
  <c r="T342" i="80"/>
  <c r="S342" i="80"/>
  <c r="R342" i="80"/>
  <c r="Q342" i="80"/>
  <c r="P342" i="80"/>
  <c r="O342" i="80"/>
  <c r="N342" i="80"/>
  <c r="M342" i="80"/>
  <c r="L342" i="80"/>
  <c r="K342" i="80"/>
  <c r="J342" i="80"/>
  <c r="I342" i="80"/>
  <c r="H342" i="80"/>
  <c r="G342" i="80"/>
  <c r="F342" i="80"/>
  <c r="E342" i="80"/>
  <c r="AG341" i="80"/>
  <c r="AF341" i="80"/>
  <c r="AE341" i="80"/>
  <c r="AD341" i="80"/>
  <c r="AC341" i="80"/>
  <c r="AB341" i="80"/>
  <c r="AA341" i="80"/>
  <c r="Z341" i="80"/>
  <c r="Y341" i="80"/>
  <c r="X341" i="80"/>
  <c r="W341" i="80"/>
  <c r="V341" i="80"/>
  <c r="U341" i="80"/>
  <c r="T341" i="80"/>
  <c r="S341" i="80"/>
  <c r="R341" i="80"/>
  <c r="Q341" i="80"/>
  <c r="P341" i="80"/>
  <c r="O341" i="80"/>
  <c r="N341" i="80"/>
  <c r="M341" i="80"/>
  <c r="L341" i="80"/>
  <c r="K341" i="80"/>
  <c r="J341" i="80"/>
  <c r="I341" i="80"/>
  <c r="H341" i="80"/>
  <c r="G341" i="80"/>
  <c r="F341" i="80"/>
  <c r="E341" i="80"/>
  <c r="AG340" i="80"/>
  <c r="AF340" i="80"/>
  <c r="AE340" i="80"/>
  <c r="AD340" i="80"/>
  <c r="AC340" i="80"/>
  <c r="AB340" i="80"/>
  <c r="AA340" i="80"/>
  <c r="Z340" i="80"/>
  <c r="Y340" i="80"/>
  <c r="X340" i="80"/>
  <c r="W340" i="80"/>
  <c r="V340" i="80"/>
  <c r="U340" i="80"/>
  <c r="T340" i="80"/>
  <c r="S340" i="80"/>
  <c r="R340" i="80"/>
  <c r="Q340" i="80"/>
  <c r="P340" i="80"/>
  <c r="O340" i="80"/>
  <c r="N340" i="80"/>
  <c r="M340" i="80"/>
  <c r="L340" i="80"/>
  <c r="K340" i="80"/>
  <c r="J340" i="80"/>
  <c r="I340" i="80"/>
  <c r="H340" i="80"/>
  <c r="G340" i="80"/>
  <c r="F340" i="80"/>
  <c r="E340" i="80"/>
  <c r="AG339" i="80"/>
  <c r="AF339" i="80"/>
  <c r="AE339" i="80"/>
  <c r="AD339" i="80"/>
  <c r="AC339" i="80"/>
  <c r="AB339" i="80"/>
  <c r="AA339" i="80"/>
  <c r="Z339" i="80"/>
  <c r="Y339" i="80"/>
  <c r="X339" i="80"/>
  <c r="W339" i="80"/>
  <c r="V339" i="80"/>
  <c r="U339" i="80"/>
  <c r="T339" i="80"/>
  <c r="S339" i="80"/>
  <c r="R339" i="80"/>
  <c r="Q339" i="80"/>
  <c r="P339" i="80"/>
  <c r="O339" i="80"/>
  <c r="N339" i="80"/>
  <c r="M339" i="80"/>
  <c r="L339" i="80"/>
  <c r="K339" i="80"/>
  <c r="J339" i="80"/>
  <c r="I339" i="80"/>
  <c r="H339" i="80"/>
  <c r="G339" i="80"/>
  <c r="F339" i="80"/>
  <c r="E339" i="80"/>
  <c r="AG337" i="80"/>
  <c r="AF337" i="80"/>
  <c r="AE337" i="80"/>
  <c r="AD337" i="80"/>
  <c r="AC337" i="80"/>
  <c r="AB337" i="80"/>
  <c r="AA337" i="80"/>
  <c r="Z337" i="80"/>
  <c r="Y337" i="80"/>
  <c r="X337" i="80"/>
  <c r="W337" i="80"/>
  <c r="V337" i="80"/>
  <c r="U337" i="80"/>
  <c r="T337" i="80"/>
  <c r="S337" i="80"/>
  <c r="R337" i="80"/>
  <c r="Q337" i="80"/>
  <c r="P337" i="80"/>
  <c r="O337" i="80"/>
  <c r="N337" i="80"/>
  <c r="M337" i="80"/>
  <c r="L337" i="80"/>
  <c r="K337" i="80"/>
  <c r="J337" i="80"/>
  <c r="I337" i="80"/>
  <c r="H337" i="80"/>
  <c r="G337" i="80"/>
  <c r="F337" i="80"/>
  <c r="E337" i="80"/>
  <c r="AG336" i="80"/>
  <c r="AF336" i="80"/>
  <c r="AE336" i="80"/>
  <c r="AD336" i="80"/>
  <c r="AC336" i="80"/>
  <c r="AB336" i="80"/>
  <c r="AA336" i="80"/>
  <c r="Z336" i="80"/>
  <c r="Y336" i="80"/>
  <c r="X336" i="80"/>
  <c r="W336" i="80"/>
  <c r="V336" i="80"/>
  <c r="U336" i="80"/>
  <c r="T336" i="80"/>
  <c r="S336" i="80"/>
  <c r="R336" i="80"/>
  <c r="Q336" i="80"/>
  <c r="P336" i="80"/>
  <c r="O336" i="80"/>
  <c r="N336" i="80"/>
  <c r="M336" i="80"/>
  <c r="L336" i="80"/>
  <c r="K336" i="80"/>
  <c r="J336" i="80"/>
  <c r="I336" i="80"/>
  <c r="H336" i="80"/>
  <c r="G336" i="80"/>
  <c r="F336" i="80"/>
  <c r="E336" i="80"/>
  <c r="AG335" i="80"/>
  <c r="AF335" i="80"/>
  <c r="AE335" i="80"/>
  <c r="AD335" i="80"/>
  <c r="AC335" i="80"/>
  <c r="AB335" i="80"/>
  <c r="AA335" i="80"/>
  <c r="Z335" i="80"/>
  <c r="Y335" i="80"/>
  <c r="X335" i="80"/>
  <c r="W335" i="80"/>
  <c r="V335" i="80"/>
  <c r="U335" i="80"/>
  <c r="T335" i="80"/>
  <c r="S335" i="80"/>
  <c r="R335" i="80"/>
  <c r="Q335" i="80"/>
  <c r="P335" i="80"/>
  <c r="O335" i="80"/>
  <c r="N335" i="80"/>
  <c r="M335" i="80"/>
  <c r="L335" i="80"/>
  <c r="K335" i="80"/>
  <c r="J335" i="80"/>
  <c r="I335" i="80"/>
  <c r="H335" i="80"/>
  <c r="G335" i="80"/>
  <c r="F335" i="80"/>
  <c r="E335" i="80"/>
  <c r="AG334" i="80"/>
  <c r="AF334" i="80"/>
  <c r="AE334" i="80"/>
  <c r="AD334" i="80"/>
  <c r="AC334" i="80"/>
  <c r="AB334" i="80"/>
  <c r="AA334" i="80"/>
  <c r="X334" i="80"/>
  <c r="W334" i="80"/>
  <c r="T334" i="80"/>
  <c r="S334" i="80"/>
  <c r="O334" i="80"/>
  <c r="N334" i="80"/>
  <c r="M334" i="80"/>
  <c r="L334" i="80"/>
  <c r="K334" i="80"/>
  <c r="J334" i="80"/>
  <c r="I334" i="80"/>
  <c r="H334" i="80"/>
  <c r="G334" i="80"/>
  <c r="F334" i="80"/>
  <c r="E334" i="80"/>
  <c r="AG333" i="80"/>
  <c r="AF333" i="80"/>
  <c r="AE333" i="80"/>
  <c r="AD333" i="80"/>
  <c r="AC333" i="80"/>
  <c r="AB333" i="80"/>
  <c r="AA333" i="80"/>
  <c r="Z333" i="80"/>
  <c r="Y333" i="80"/>
  <c r="X333" i="80"/>
  <c r="W333" i="80"/>
  <c r="V333" i="80"/>
  <c r="U333" i="80"/>
  <c r="T333" i="80"/>
  <c r="S333" i="80"/>
  <c r="R333" i="80"/>
  <c r="Q333" i="80"/>
  <c r="P333" i="80"/>
  <c r="O333" i="80"/>
  <c r="N333" i="80"/>
  <c r="M333" i="80"/>
  <c r="L333" i="80"/>
  <c r="K333" i="80"/>
  <c r="J333" i="80"/>
  <c r="H333" i="80"/>
  <c r="G333" i="80"/>
  <c r="F333" i="80"/>
  <c r="E333" i="80"/>
  <c r="AG327" i="80"/>
  <c r="AG328" i="80" s="1"/>
  <c r="AF327" i="80"/>
  <c r="AF328" i="80" s="1"/>
  <c r="AE327" i="80"/>
  <c r="AE328" i="80" s="1"/>
  <c r="AD327" i="80"/>
  <c r="AD328" i="80" s="1"/>
  <c r="AC327" i="80"/>
  <c r="AC328" i="80" s="1"/>
  <c r="AB327" i="80"/>
  <c r="AB328" i="80" s="1"/>
  <c r="AA327" i="80"/>
  <c r="AA328" i="80" s="1"/>
  <c r="Z327" i="80"/>
  <c r="Z328" i="80" s="1"/>
  <c r="Y327" i="80"/>
  <c r="Y328" i="80" s="1"/>
  <c r="X327" i="80"/>
  <c r="X328" i="80" s="1"/>
  <c r="W327" i="80"/>
  <c r="W328" i="80" s="1"/>
  <c r="V327" i="80"/>
  <c r="V328" i="80" s="1"/>
  <c r="U327" i="80"/>
  <c r="U328" i="80" s="1"/>
  <c r="T327" i="80"/>
  <c r="T328" i="80" s="1"/>
  <c r="S327" i="80"/>
  <c r="S328" i="80" s="1"/>
  <c r="R327" i="80"/>
  <c r="R328" i="80" s="1"/>
  <c r="Q327" i="80"/>
  <c r="Q328" i="80" s="1"/>
  <c r="P327" i="80"/>
  <c r="P328" i="80" s="1"/>
  <c r="O327" i="80"/>
  <c r="O328" i="80" s="1"/>
  <c r="N327" i="80"/>
  <c r="N328" i="80" s="1"/>
  <c r="M327" i="80"/>
  <c r="M328" i="80" s="1"/>
  <c r="L327" i="80"/>
  <c r="L328" i="80" s="1"/>
  <c r="K327" i="80"/>
  <c r="K328" i="80" s="1"/>
  <c r="J327" i="80"/>
  <c r="J328" i="80" s="1"/>
  <c r="I327" i="80"/>
  <c r="I328" i="80" s="1"/>
  <c r="H327" i="80"/>
  <c r="H328" i="80" s="1"/>
  <c r="G327" i="80"/>
  <c r="G328" i="80" s="1"/>
  <c r="F327" i="80"/>
  <c r="F328" i="80" s="1"/>
  <c r="E327" i="80"/>
  <c r="D326" i="80"/>
  <c r="D325" i="80"/>
  <c r="D324" i="80"/>
  <c r="D323" i="80"/>
  <c r="D322" i="80"/>
  <c r="AG319" i="80"/>
  <c r="AF319" i="80"/>
  <c r="AE319" i="80"/>
  <c r="AD319" i="80"/>
  <c r="AC319" i="80"/>
  <c r="AB319" i="80"/>
  <c r="AA319" i="80"/>
  <c r="Z319" i="80"/>
  <c r="Y319" i="80"/>
  <c r="X319" i="80"/>
  <c r="W319" i="80"/>
  <c r="V319" i="80"/>
  <c r="U319" i="80"/>
  <c r="T319" i="80"/>
  <c r="S319" i="80"/>
  <c r="R319" i="80"/>
  <c r="Q319" i="80"/>
  <c r="P319" i="80"/>
  <c r="O319" i="80"/>
  <c r="N319" i="80"/>
  <c r="M319" i="80"/>
  <c r="L319" i="80"/>
  <c r="K319" i="80"/>
  <c r="J319" i="80"/>
  <c r="H319" i="80"/>
  <c r="G319" i="80"/>
  <c r="F319" i="80"/>
  <c r="E319" i="80"/>
  <c r="AG318" i="80"/>
  <c r="AF318" i="80"/>
  <c r="AE318" i="80"/>
  <c r="AD318" i="80"/>
  <c r="AC318" i="80"/>
  <c r="AB318" i="80"/>
  <c r="AA318" i="80"/>
  <c r="Z318" i="80"/>
  <c r="Y318" i="80"/>
  <c r="X318" i="80"/>
  <c r="W318" i="80"/>
  <c r="V318" i="80"/>
  <c r="U318" i="80"/>
  <c r="T318" i="80"/>
  <c r="S318" i="80"/>
  <c r="R318" i="80"/>
  <c r="Q318" i="80"/>
  <c r="P318" i="80"/>
  <c r="O318" i="80"/>
  <c r="N318" i="80"/>
  <c r="M318" i="80"/>
  <c r="L318" i="80"/>
  <c r="K318" i="80"/>
  <c r="J318" i="80"/>
  <c r="F318" i="80"/>
  <c r="E318" i="80"/>
  <c r="AG315" i="80"/>
  <c r="AF315" i="80"/>
  <c r="AE315" i="80"/>
  <c r="AD315" i="80"/>
  <c r="AC315" i="80"/>
  <c r="AB315" i="80"/>
  <c r="AA315" i="80"/>
  <c r="Z315" i="80"/>
  <c r="Y315" i="80"/>
  <c r="X315" i="80"/>
  <c r="W315" i="80"/>
  <c r="V315" i="80"/>
  <c r="U315" i="80"/>
  <c r="T315" i="80"/>
  <c r="S315" i="80"/>
  <c r="R315" i="80"/>
  <c r="Q315" i="80"/>
  <c r="P315" i="80"/>
  <c r="O315" i="80"/>
  <c r="N315" i="80"/>
  <c r="M315" i="80"/>
  <c r="L315" i="80"/>
  <c r="K315" i="80"/>
  <c r="J315" i="80"/>
  <c r="I315" i="80"/>
  <c r="H315" i="80"/>
  <c r="G315" i="80"/>
  <c r="F315" i="80"/>
  <c r="E315" i="80"/>
  <c r="D314" i="80"/>
  <c r="D313" i="80"/>
  <c r="D312" i="80"/>
  <c r="D311" i="80"/>
  <c r="D310" i="80"/>
  <c r="D309" i="80"/>
  <c r="D308" i="80"/>
  <c r="D307" i="80"/>
  <c r="D306" i="80"/>
  <c r="D303" i="80"/>
  <c r="D302" i="80"/>
  <c r="D301" i="80"/>
  <c r="D300" i="80"/>
  <c r="D299" i="80"/>
  <c r="D298" i="80"/>
  <c r="D297" i="80"/>
  <c r="D296" i="80"/>
  <c r="D295" i="80"/>
  <c r="AG294" i="80"/>
  <c r="AF294" i="80"/>
  <c r="AE294" i="80"/>
  <c r="AD294" i="80"/>
  <c r="AC294" i="80"/>
  <c r="AB294" i="80"/>
  <c r="AA294" i="80"/>
  <c r="Z294" i="80"/>
  <c r="Y294" i="80"/>
  <c r="X294" i="80"/>
  <c r="W294" i="80"/>
  <c r="V294" i="80"/>
  <c r="U294" i="80"/>
  <c r="T294" i="80"/>
  <c r="S294" i="80"/>
  <c r="R294" i="80"/>
  <c r="Q294" i="80"/>
  <c r="P294" i="80"/>
  <c r="O294" i="80"/>
  <c r="N294" i="80"/>
  <c r="M294" i="80"/>
  <c r="L294" i="80"/>
  <c r="K294" i="80"/>
  <c r="J294" i="80"/>
  <c r="I294" i="80"/>
  <c r="H294" i="80"/>
  <c r="G294" i="80"/>
  <c r="F294" i="80"/>
  <c r="E294" i="80"/>
  <c r="AG284" i="80"/>
  <c r="AG286" i="80" s="1"/>
  <c r="AF284" i="80"/>
  <c r="AF286" i="80" s="1"/>
  <c r="AE284" i="80"/>
  <c r="AE286" i="80" s="1"/>
  <c r="AD284" i="80"/>
  <c r="AD286" i="80" s="1"/>
  <c r="AC284" i="80"/>
  <c r="AC286" i="80" s="1"/>
  <c r="AB284" i="80"/>
  <c r="AB286" i="80" s="1"/>
  <c r="AA284" i="80"/>
  <c r="AA286" i="80" s="1"/>
  <c r="Z284" i="80"/>
  <c r="Z286" i="80" s="1"/>
  <c r="Y284" i="80"/>
  <c r="Y286" i="80" s="1"/>
  <c r="X284" i="80"/>
  <c r="X286" i="80" s="1"/>
  <c r="W284" i="80"/>
  <c r="W286" i="80" s="1"/>
  <c r="V284" i="80"/>
  <c r="V286" i="80" s="1"/>
  <c r="U284" i="80"/>
  <c r="U286" i="80" s="1"/>
  <c r="T284" i="80"/>
  <c r="T286" i="80" s="1"/>
  <c r="S284" i="80"/>
  <c r="S286" i="80" s="1"/>
  <c r="R284" i="80"/>
  <c r="R286" i="80" s="1"/>
  <c r="Q284" i="80"/>
  <c r="Q286" i="80" s="1"/>
  <c r="P284" i="80"/>
  <c r="P286" i="80" s="1"/>
  <c r="O284" i="80"/>
  <c r="O286" i="80" s="1"/>
  <c r="N284" i="80"/>
  <c r="N286" i="80" s="1"/>
  <c r="M284" i="80"/>
  <c r="M286" i="80" s="1"/>
  <c r="L284" i="80"/>
  <c r="L286" i="80" s="1"/>
  <c r="K284" i="80"/>
  <c r="K286" i="80" s="1"/>
  <c r="J284" i="80"/>
  <c r="J286" i="80" s="1"/>
  <c r="I284" i="80"/>
  <c r="I286" i="80" s="1"/>
  <c r="H284" i="80"/>
  <c r="H286" i="80" s="1"/>
  <c r="G284" i="80"/>
  <c r="G286" i="80" s="1"/>
  <c r="F286" i="80"/>
  <c r="E284" i="80"/>
  <c r="D283" i="80"/>
  <c r="D282" i="80"/>
  <c r="D281" i="80"/>
  <c r="D280" i="80"/>
  <c r="D279" i="80"/>
  <c r="D272" i="80"/>
  <c r="D271" i="80"/>
  <c r="D270" i="80"/>
  <c r="D269" i="80"/>
  <c r="AG268" i="80"/>
  <c r="AF268" i="80"/>
  <c r="AE268" i="80"/>
  <c r="AD268" i="80"/>
  <c r="AC268" i="80"/>
  <c r="AB268" i="80"/>
  <c r="AA268" i="80"/>
  <c r="Z268" i="80"/>
  <c r="Y268" i="80"/>
  <c r="X268" i="80"/>
  <c r="W268" i="80"/>
  <c r="V268" i="80"/>
  <c r="U268" i="80"/>
  <c r="T268" i="80"/>
  <c r="S268" i="80"/>
  <c r="R268" i="80"/>
  <c r="Q268" i="80"/>
  <c r="P268" i="80"/>
  <c r="O268" i="80"/>
  <c r="N268" i="80"/>
  <c r="M268" i="80"/>
  <c r="L268" i="80"/>
  <c r="K268" i="80"/>
  <c r="J268" i="80"/>
  <c r="I268" i="80"/>
  <c r="H268" i="80"/>
  <c r="G268" i="80"/>
  <c r="F268" i="80"/>
  <c r="E268" i="80"/>
  <c r="AI258" i="80"/>
  <c r="AI257" i="80"/>
  <c r="AI255" i="80"/>
  <c r="AI254" i="80"/>
  <c r="AI253" i="80"/>
  <c r="AI252" i="80"/>
  <c r="D252" i="80"/>
  <c r="AI251" i="80"/>
  <c r="D251" i="80"/>
  <c r="AI250" i="80"/>
  <c r="D250" i="80"/>
  <c r="AI249" i="80"/>
  <c r="D249" i="80"/>
  <c r="AG247" i="80"/>
  <c r="AF247" i="80"/>
  <c r="AE247" i="80"/>
  <c r="AD247" i="80"/>
  <c r="AC247" i="80"/>
  <c r="AB247" i="80"/>
  <c r="AA247" i="80"/>
  <c r="Z247" i="80"/>
  <c r="Y247" i="80"/>
  <c r="X247" i="80"/>
  <c r="W247" i="80"/>
  <c r="V247" i="80"/>
  <c r="U247" i="80"/>
  <c r="T247" i="80"/>
  <c r="S247" i="80"/>
  <c r="R247" i="80"/>
  <c r="Q247" i="80"/>
  <c r="P247" i="80"/>
  <c r="O247" i="80"/>
  <c r="N247" i="80"/>
  <c r="M247" i="80"/>
  <c r="L247" i="80"/>
  <c r="K247" i="80"/>
  <c r="J247" i="80"/>
  <c r="I247" i="80"/>
  <c r="H247" i="80"/>
  <c r="G247" i="80"/>
  <c r="F247" i="80"/>
  <c r="AI246" i="80"/>
  <c r="D246" i="80"/>
  <c r="AI245" i="80"/>
  <c r="D245" i="80"/>
  <c r="AI243" i="80"/>
  <c r="D243" i="80"/>
  <c r="AI242" i="80"/>
  <c r="D242" i="80"/>
  <c r="AI241" i="80"/>
  <c r="D241" i="80"/>
  <c r="AI240" i="80"/>
  <c r="D240" i="80"/>
  <c r="AI239" i="80"/>
  <c r="D239" i="80"/>
  <c r="AI238" i="80"/>
  <c r="D238" i="80"/>
  <c r="AI237" i="80"/>
  <c r="D237" i="80"/>
  <c r="AI236" i="80"/>
  <c r="D236" i="80"/>
  <c r="AI234" i="80"/>
  <c r="D234" i="80"/>
  <c r="AI233" i="80"/>
  <c r="D233" i="80"/>
  <c r="AI232" i="80"/>
  <c r="D232" i="80"/>
  <c r="AI231" i="80"/>
  <c r="D231" i="80"/>
  <c r="AI230" i="80"/>
  <c r="D230" i="80"/>
  <c r="AI229" i="80"/>
  <c r="D229" i="80"/>
  <c r="AI228" i="80"/>
  <c r="D228" i="80"/>
  <c r="AI227" i="80"/>
  <c r="AI226" i="80"/>
  <c r="AG224" i="80"/>
  <c r="AF224" i="80"/>
  <c r="AE224" i="80"/>
  <c r="AD224" i="80"/>
  <c r="AC224" i="80"/>
  <c r="AB224" i="80"/>
  <c r="AA224" i="80"/>
  <c r="Z224" i="80"/>
  <c r="Y224" i="80"/>
  <c r="X224" i="80"/>
  <c r="W224" i="80"/>
  <c r="V224" i="80"/>
  <c r="U224" i="80"/>
  <c r="T224" i="80"/>
  <c r="S224" i="80"/>
  <c r="R224" i="80"/>
  <c r="Q224" i="80"/>
  <c r="P224" i="80"/>
  <c r="O224" i="80"/>
  <c r="N224" i="80"/>
  <c r="M224" i="80"/>
  <c r="L224" i="80"/>
  <c r="K224" i="80"/>
  <c r="J224" i="80"/>
  <c r="I224" i="80"/>
  <c r="H224" i="80"/>
  <c r="G224" i="80"/>
  <c r="F224" i="80"/>
  <c r="E224" i="80"/>
  <c r="AI223" i="80"/>
  <c r="D223" i="80"/>
  <c r="AI222" i="80"/>
  <c r="D222" i="80"/>
  <c r="AI221" i="80"/>
  <c r="D221" i="80"/>
  <c r="AI220" i="80"/>
  <c r="AI219" i="80"/>
  <c r="D219" i="80"/>
  <c r="AI218" i="80"/>
  <c r="D218" i="80"/>
  <c r="AI217" i="80"/>
  <c r="D217" i="80"/>
  <c r="AI216" i="80"/>
  <c r="D216" i="80"/>
  <c r="AI215" i="80"/>
  <c r="D215" i="80"/>
  <c r="AI214" i="80"/>
  <c r="D214" i="80"/>
  <c r="AI213" i="80"/>
  <c r="D213" i="80"/>
  <c r="AI212" i="80"/>
  <c r="D212" i="80"/>
  <c r="AI211" i="80"/>
  <c r="AI210" i="80"/>
  <c r="AG209" i="80"/>
  <c r="AF209" i="80"/>
  <c r="AE209" i="80"/>
  <c r="AD209" i="80"/>
  <c r="AC209" i="80"/>
  <c r="AB209" i="80"/>
  <c r="AA209" i="80"/>
  <c r="Z209" i="80"/>
  <c r="Y209" i="80"/>
  <c r="X209" i="80"/>
  <c r="W209" i="80"/>
  <c r="V209" i="80"/>
  <c r="U209" i="80"/>
  <c r="T209" i="80"/>
  <c r="S209" i="80"/>
  <c r="R209" i="80"/>
  <c r="Q209" i="80"/>
  <c r="P209" i="80"/>
  <c r="O209" i="80"/>
  <c r="N209" i="80"/>
  <c r="M209" i="80"/>
  <c r="L209" i="80"/>
  <c r="K209" i="80"/>
  <c r="J209" i="80"/>
  <c r="I209" i="80"/>
  <c r="H209" i="80"/>
  <c r="G209" i="80"/>
  <c r="F209" i="80"/>
  <c r="E209" i="80"/>
  <c r="AI208" i="80"/>
  <c r="D208" i="80"/>
  <c r="AI207" i="80"/>
  <c r="D207" i="80"/>
  <c r="AI206" i="80"/>
  <c r="D206" i="80"/>
  <c r="AI205" i="80"/>
  <c r="D205" i="80"/>
  <c r="AI204" i="80"/>
  <c r="D204" i="80"/>
  <c r="AI203" i="80"/>
  <c r="D203" i="80"/>
  <c r="AI202" i="80"/>
  <c r="D202" i="80"/>
  <c r="AI201" i="80"/>
  <c r="D201" i="80"/>
  <c r="AI200" i="80"/>
  <c r="D200" i="80"/>
  <c r="AI199" i="80"/>
  <c r="D199" i="80"/>
  <c r="AI198" i="80"/>
  <c r="D198" i="80"/>
  <c r="AI197" i="80"/>
  <c r="AG196" i="80"/>
  <c r="AF196" i="80"/>
  <c r="AE196" i="80"/>
  <c r="AD196" i="80"/>
  <c r="AC196" i="80"/>
  <c r="AB196" i="80"/>
  <c r="AA196" i="80"/>
  <c r="Z196" i="80"/>
  <c r="Y196" i="80"/>
  <c r="X196" i="80"/>
  <c r="W196" i="80"/>
  <c r="V196" i="80"/>
  <c r="U196" i="80"/>
  <c r="T196" i="80"/>
  <c r="S196" i="80"/>
  <c r="R196" i="80"/>
  <c r="Q196" i="80"/>
  <c r="P196" i="80"/>
  <c r="O196" i="80"/>
  <c r="N196" i="80"/>
  <c r="M196" i="80"/>
  <c r="L196" i="80"/>
  <c r="K196" i="80"/>
  <c r="J196" i="80"/>
  <c r="I196" i="80"/>
  <c r="H196" i="80"/>
  <c r="G196" i="80"/>
  <c r="F196" i="80"/>
  <c r="E196" i="80"/>
  <c r="AG192" i="80"/>
  <c r="AF192" i="80"/>
  <c r="AE192" i="80"/>
  <c r="AD192" i="80"/>
  <c r="AC192" i="80"/>
  <c r="AB192" i="80"/>
  <c r="AA192" i="80"/>
  <c r="Z192" i="80"/>
  <c r="Y192" i="80"/>
  <c r="X192" i="80"/>
  <c r="W192" i="80"/>
  <c r="V192" i="80"/>
  <c r="U192" i="80"/>
  <c r="T192" i="80"/>
  <c r="S192" i="80"/>
  <c r="R192" i="80"/>
  <c r="Q192" i="80"/>
  <c r="P192" i="80"/>
  <c r="O192" i="80"/>
  <c r="N192" i="80"/>
  <c r="M192" i="80"/>
  <c r="L192" i="80"/>
  <c r="K192" i="80"/>
  <c r="J192" i="80"/>
  <c r="I192" i="80"/>
  <c r="H192" i="80"/>
  <c r="G192" i="80"/>
  <c r="F192" i="80"/>
  <c r="E192" i="80"/>
  <c r="AI191" i="80"/>
  <c r="D191" i="80"/>
  <c r="AI189" i="80"/>
  <c r="D189" i="80"/>
  <c r="AI188" i="80"/>
  <c r="D188" i="80"/>
  <c r="AI187" i="80"/>
  <c r="D187" i="80"/>
  <c r="AI186" i="80"/>
  <c r="AI185" i="80"/>
  <c r="D185" i="80"/>
  <c r="AI184" i="80"/>
  <c r="D184" i="80"/>
  <c r="AI183" i="80"/>
  <c r="D183" i="80"/>
  <c r="AI182" i="80"/>
  <c r="AI181" i="80"/>
  <c r="D181" i="80"/>
  <c r="AI180" i="80"/>
  <c r="AI179" i="80"/>
  <c r="AG178" i="80"/>
  <c r="AF178" i="80"/>
  <c r="AE178" i="80"/>
  <c r="AD178" i="80"/>
  <c r="AC178" i="80"/>
  <c r="AB178" i="80"/>
  <c r="AA178" i="80"/>
  <c r="Z178" i="80"/>
  <c r="Y178" i="80"/>
  <c r="X178" i="80"/>
  <c r="W178" i="80"/>
  <c r="V178" i="80"/>
  <c r="U178" i="80"/>
  <c r="T178" i="80"/>
  <c r="S178" i="80"/>
  <c r="R178" i="80"/>
  <c r="Q178" i="80"/>
  <c r="P178" i="80"/>
  <c r="O178" i="80"/>
  <c r="N178" i="80"/>
  <c r="M178" i="80"/>
  <c r="L178" i="80"/>
  <c r="K178" i="80"/>
  <c r="J178" i="80"/>
  <c r="I178" i="80"/>
  <c r="H178" i="80"/>
  <c r="G178" i="80"/>
  <c r="F178" i="80"/>
  <c r="E178" i="80"/>
  <c r="AI177" i="80"/>
  <c r="D177" i="80"/>
  <c r="AI175" i="80"/>
  <c r="D175" i="80"/>
  <c r="AI174" i="80"/>
  <c r="D174" i="80"/>
  <c r="AI173" i="80"/>
  <c r="D173" i="80"/>
  <c r="AI172" i="80"/>
  <c r="D172" i="80"/>
  <c r="AI171" i="80"/>
  <c r="D171" i="80"/>
  <c r="AI170" i="80"/>
  <c r="D170" i="80"/>
  <c r="AI169" i="80"/>
  <c r="D169" i="80"/>
  <c r="AI168" i="80"/>
  <c r="D168" i="80"/>
  <c r="AI167" i="80"/>
  <c r="AI166" i="80"/>
  <c r="AI164" i="80"/>
  <c r="AG163" i="80"/>
  <c r="AF163" i="80"/>
  <c r="AE163" i="80"/>
  <c r="AD163" i="80"/>
  <c r="AC163" i="80"/>
  <c r="AB163" i="80"/>
  <c r="AA163" i="80"/>
  <c r="Z163" i="80"/>
  <c r="Y163" i="80"/>
  <c r="X163" i="80"/>
  <c r="W163" i="80"/>
  <c r="V163" i="80"/>
  <c r="U163" i="80"/>
  <c r="T163" i="80"/>
  <c r="S163" i="80"/>
  <c r="R163" i="80"/>
  <c r="Q163" i="80"/>
  <c r="P163" i="80"/>
  <c r="O163" i="80"/>
  <c r="N163" i="80"/>
  <c r="M163" i="80"/>
  <c r="L163" i="80"/>
  <c r="K163" i="80"/>
  <c r="J163" i="80"/>
  <c r="I163" i="80"/>
  <c r="H163" i="80"/>
  <c r="G163" i="80"/>
  <c r="F163" i="80"/>
  <c r="E163" i="80"/>
  <c r="AI162" i="80"/>
  <c r="D162" i="80"/>
  <c r="AI161" i="80"/>
  <c r="D161" i="80"/>
  <c r="AI160" i="80"/>
  <c r="D160" i="80"/>
  <c r="AI159" i="80"/>
  <c r="D159" i="80"/>
  <c r="AI158" i="80"/>
  <c r="D158" i="80"/>
  <c r="AI157" i="80"/>
  <c r="D157" i="80"/>
  <c r="AI156" i="80"/>
  <c r="D156" i="80"/>
  <c r="AI155" i="80"/>
  <c r="D155" i="80"/>
  <c r="AI154" i="80"/>
  <c r="D154" i="80"/>
  <c r="AI153" i="80"/>
  <c r="D153" i="80"/>
  <c r="AI152" i="80"/>
  <c r="D152" i="80"/>
  <c r="AI150" i="80"/>
  <c r="D150" i="80"/>
  <c r="AI149" i="80"/>
  <c r="D149" i="80"/>
  <c r="AI148" i="80"/>
  <c r="D148" i="80"/>
  <c r="AI147" i="80"/>
  <c r="D147" i="80"/>
  <c r="AI146" i="80"/>
  <c r="D146" i="80"/>
  <c r="AI145" i="80"/>
  <c r="D145" i="80"/>
  <c r="AI144" i="80"/>
  <c r="D144" i="80"/>
  <c r="AI143" i="80"/>
  <c r="D143" i="80"/>
  <c r="AI142" i="80"/>
  <c r="D142" i="80"/>
  <c r="AI141" i="80"/>
  <c r="D141" i="80"/>
  <c r="AI140" i="80"/>
  <c r="AI139" i="80"/>
  <c r="AI138" i="80"/>
  <c r="AG137" i="80"/>
  <c r="AF137" i="80"/>
  <c r="AE137" i="80"/>
  <c r="AD137" i="80"/>
  <c r="AC137" i="80"/>
  <c r="AB137" i="80"/>
  <c r="AA137" i="80"/>
  <c r="Z137" i="80"/>
  <c r="Y137" i="80"/>
  <c r="X137" i="80"/>
  <c r="W137" i="80"/>
  <c r="V137" i="80"/>
  <c r="U137" i="80"/>
  <c r="T137" i="80"/>
  <c r="S137" i="80"/>
  <c r="R137" i="80"/>
  <c r="Q137" i="80"/>
  <c r="P137" i="80"/>
  <c r="O137" i="80"/>
  <c r="N137" i="80"/>
  <c r="M137" i="80"/>
  <c r="L137" i="80"/>
  <c r="K137" i="80"/>
  <c r="J137" i="80"/>
  <c r="I137" i="80"/>
  <c r="H137" i="80"/>
  <c r="G137" i="80"/>
  <c r="F137" i="80"/>
  <c r="E137" i="80"/>
  <c r="AI136" i="80"/>
  <c r="D136" i="80"/>
  <c r="AI135" i="80"/>
  <c r="D135" i="80"/>
  <c r="AI134" i="80"/>
  <c r="D134" i="80"/>
  <c r="AI133" i="80"/>
  <c r="D133" i="80"/>
  <c r="AI132" i="80"/>
  <c r="D132" i="80"/>
  <c r="AI131" i="80"/>
  <c r="D131" i="80"/>
  <c r="AI130" i="80"/>
  <c r="D130" i="80"/>
  <c r="AI129" i="80"/>
  <c r="D129" i="80"/>
  <c r="AI128" i="80"/>
  <c r="D128" i="80"/>
  <c r="AI127" i="80"/>
  <c r="D127" i="80"/>
  <c r="AI126" i="80"/>
  <c r="D126" i="80"/>
  <c r="AI124" i="80"/>
  <c r="D124" i="80"/>
  <c r="AI123" i="80"/>
  <c r="D123" i="80"/>
  <c r="AI122" i="80"/>
  <c r="D122" i="80"/>
  <c r="AI121" i="80"/>
  <c r="D121" i="80"/>
  <c r="AI120" i="80"/>
  <c r="D120" i="80"/>
  <c r="AI119" i="80"/>
  <c r="D119" i="80"/>
  <c r="AI118" i="80"/>
  <c r="D118" i="80"/>
  <c r="AI117" i="80"/>
  <c r="D117" i="80"/>
  <c r="AI116" i="80"/>
  <c r="D116" i="80"/>
  <c r="AI115" i="80"/>
  <c r="D115" i="80"/>
  <c r="AI114" i="80"/>
  <c r="D114" i="80"/>
  <c r="AI113" i="80"/>
  <c r="D113" i="80"/>
  <c r="AI112" i="80"/>
  <c r="D112" i="80"/>
  <c r="AI111" i="80"/>
  <c r="D111" i="80"/>
  <c r="AI110" i="80"/>
  <c r="D110" i="80"/>
  <c r="AI109" i="80"/>
  <c r="D109" i="80"/>
  <c r="AI108" i="80"/>
  <c r="AI107" i="80"/>
  <c r="D107" i="80"/>
  <c r="AI106" i="80"/>
  <c r="D106" i="80"/>
  <c r="AI105" i="80"/>
  <c r="D105" i="80"/>
  <c r="AI104" i="80"/>
  <c r="D104" i="80"/>
  <c r="AI103" i="80"/>
  <c r="D103" i="80"/>
  <c r="AG98" i="80"/>
  <c r="AF98" i="80"/>
  <c r="AE98" i="80"/>
  <c r="AD98" i="80"/>
  <c r="AC98" i="80"/>
  <c r="AB98" i="80"/>
  <c r="AA98" i="80"/>
  <c r="Z98" i="80"/>
  <c r="Y98" i="80"/>
  <c r="X98" i="80"/>
  <c r="W98" i="80"/>
  <c r="V98" i="80"/>
  <c r="U98" i="80"/>
  <c r="T98" i="80"/>
  <c r="S98" i="80"/>
  <c r="R98" i="80"/>
  <c r="Q98" i="80"/>
  <c r="P98" i="80"/>
  <c r="O98" i="80"/>
  <c r="N98" i="80"/>
  <c r="M98" i="80"/>
  <c r="L98" i="80"/>
  <c r="K98" i="80"/>
  <c r="J98" i="80"/>
  <c r="I98" i="80"/>
  <c r="H98" i="80"/>
  <c r="G98" i="80"/>
  <c r="F98" i="80"/>
  <c r="E98" i="80"/>
  <c r="AI97" i="80"/>
  <c r="D97" i="80"/>
  <c r="AI96" i="80"/>
  <c r="D96" i="80"/>
  <c r="AI95" i="80"/>
  <c r="D95" i="80"/>
  <c r="AI94" i="80"/>
  <c r="D94" i="80"/>
  <c r="AI93" i="80"/>
  <c r="AI92" i="80"/>
  <c r="D92" i="80"/>
  <c r="AI91" i="80"/>
  <c r="D91"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AI84" i="80"/>
  <c r="D84" i="80"/>
  <c r="AI83" i="80"/>
  <c r="D83" i="80"/>
  <c r="AI80" i="80"/>
  <c r="D80" i="80"/>
  <c r="AI79" i="80"/>
  <c r="D79" i="80"/>
  <c r="AI74" i="80"/>
  <c r="D74" i="80"/>
  <c r="AI73" i="80"/>
  <c r="D73" i="80"/>
  <c r="AI72" i="80"/>
  <c r="D72" i="80"/>
  <c r="AI71" i="80"/>
  <c r="D71" i="80"/>
  <c r="AG69" i="80"/>
  <c r="AF69" i="80"/>
  <c r="AE69" i="80"/>
  <c r="AD69" i="80"/>
  <c r="AC69" i="80"/>
  <c r="AB69" i="80"/>
  <c r="AA69" i="80"/>
  <c r="Z69" i="80"/>
  <c r="Y69" i="80"/>
  <c r="X69" i="80"/>
  <c r="W69" i="80"/>
  <c r="V69" i="80"/>
  <c r="U69" i="80"/>
  <c r="T69" i="80"/>
  <c r="S69" i="80"/>
  <c r="R69" i="80"/>
  <c r="Q69" i="80"/>
  <c r="P69" i="80"/>
  <c r="O69" i="80"/>
  <c r="N69" i="80"/>
  <c r="M69" i="80"/>
  <c r="L69" i="80"/>
  <c r="K69" i="80"/>
  <c r="J69" i="80"/>
  <c r="I69" i="80"/>
  <c r="H69" i="80"/>
  <c r="G69" i="80"/>
  <c r="F69" i="80"/>
  <c r="E69" i="80"/>
  <c r="AI68" i="80"/>
  <c r="D68" i="80"/>
  <c r="AI67" i="80"/>
  <c r="D67" i="80"/>
  <c r="AI66" i="80"/>
  <c r="D66" i="80"/>
  <c r="AI65" i="80"/>
  <c r="D65" i="80"/>
  <c r="AI64" i="80"/>
  <c r="D64" i="80"/>
  <c r="AI63" i="80"/>
  <c r="D63" i="80"/>
  <c r="AI62" i="80"/>
  <c r="AI61" i="80"/>
  <c r="AI60" i="80"/>
  <c r="D60" i="80"/>
  <c r="AI59" i="80"/>
  <c r="D59" i="80"/>
  <c r="AI58" i="80"/>
  <c r="D58" i="80"/>
  <c r="AI57" i="80"/>
  <c r="D57" i="80"/>
  <c r="AI56" i="80"/>
  <c r="D56" i="80"/>
  <c r="AI55" i="80"/>
  <c r="D55" i="80"/>
  <c r="AI54" i="80"/>
  <c r="D54" i="80"/>
  <c r="AI53" i="80"/>
  <c r="D53" i="80"/>
  <c r="AI52" i="80"/>
  <c r="D52" i="80"/>
  <c r="AI51" i="80"/>
  <c r="D51" i="80"/>
  <c r="AI48" i="80"/>
  <c r="AI47" i="80"/>
  <c r="AI46" i="80"/>
  <c r="AI45" i="80"/>
  <c r="AI44" i="80"/>
  <c r="D44" i="80"/>
  <c r="AI43" i="80"/>
  <c r="AI42" i="80"/>
  <c r="D42" i="80"/>
  <c r="AI41" i="80"/>
  <c r="D41" i="80"/>
  <c r="AG38" i="80"/>
  <c r="AF38" i="80"/>
  <c r="AE38" i="80"/>
  <c r="AD38" i="80"/>
  <c r="AC38" i="80"/>
  <c r="AB38" i="80"/>
  <c r="AA38" i="80"/>
  <c r="Z38" i="80"/>
  <c r="Y38" i="80"/>
  <c r="X38" i="80"/>
  <c r="W38" i="80"/>
  <c r="V38" i="80"/>
  <c r="U38" i="80"/>
  <c r="T38" i="80"/>
  <c r="S38" i="80"/>
  <c r="R38" i="80"/>
  <c r="Q38" i="80"/>
  <c r="P38" i="80"/>
  <c r="O38" i="80"/>
  <c r="N38" i="80"/>
  <c r="M38" i="80"/>
  <c r="K38" i="80"/>
  <c r="J38" i="80"/>
  <c r="I38" i="80"/>
  <c r="H38" i="80"/>
  <c r="G38" i="80"/>
  <c r="F38" i="80"/>
  <c r="E38" i="80"/>
  <c r="D37" i="80"/>
  <c r="D36" i="80"/>
  <c r="AH35" i="80"/>
  <c r="D35" i="80"/>
  <c r="D34" i="80"/>
  <c r="D33" i="80"/>
  <c r="D32" i="80"/>
  <c r="D29" i="80"/>
  <c r="D28" i="80"/>
  <c r="D27" i="80"/>
  <c r="D26" i="80"/>
  <c r="D25" i="80"/>
  <c r="D23" i="80"/>
  <c r="D22" i="80"/>
  <c r="D21" i="80"/>
  <c r="D20" i="80"/>
  <c r="D19" i="80"/>
  <c r="D17" i="80"/>
  <c r="D16" i="80"/>
  <c r="D15" i="80"/>
  <c r="D14" i="80"/>
  <c r="D13" i="80"/>
  <c r="AG11" i="80"/>
  <c r="AF11" i="80"/>
  <c r="AE11" i="80"/>
  <c r="AD11" i="80"/>
  <c r="AC11" i="80"/>
  <c r="AB11" i="80"/>
  <c r="AA11" i="80"/>
  <c r="Z11" i="80"/>
  <c r="Y11" i="80"/>
  <c r="X11" i="80"/>
  <c r="W11" i="80"/>
  <c r="V11" i="80"/>
  <c r="U11" i="80"/>
  <c r="T11" i="80"/>
  <c r="S11" i="80"/>
  <c r="R11" i="80"/>
  <c r="Q11" i="80"/>
  <c r="P11" i="80"/>
  <c r="O11" i="80"/>
  <c r="N11" i="80"/>
  <c r="M11" i="80"/>
  <c r="L11" i="80"/>
  <c r="K11" i="80"/>
  <c r="J11" i="80"/>
  <c r="I11" i="80"/>
  <c r="H11" i="80"/>
  <c r="G11" i="80"/>
  <c r="F11" i="80"/>
  <c r="E11" i="80"/>
  <c r="G6" i="80"/>
  <c r="F5" i="80"/>
  <c r="B1" i="80"/>
  <c r="A1" i="78"/>
  <c r="A66" i="96"/>
  <c r="A65"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8" i="96"/>
  <c r="A37" i="96"/>
  <c r="A36" i="96"/>
  <c r="A35" i="96"/>
  <c r="A34" i="96"/>
  <c r="A33" i="96"/>
  <c r="A32" i="96"/>
  <c r="A31" i="96"/>
  <c r="A30" i="96"/>
  <c r="A29" i="96"/>
  <c r="A28" i="96"/>
  <c r="A27" i="96"/>
  <c r="A26" i="96"/>
  <c r="A25" i="96"/>
  <c r="A24" i="96"/>
  <c r="A23" i="96"/>
  <c r="A22" i="96"/>
  <c r="A21" i="96"/>
  <c r="A20" i="96"/>
  <c r="A19" i="96"/>
  <c r="A18" i="96"/>
  <c r="A17" i="96"/>
  <c r="A16" i="96"/>
  <c r="A15" i="96"/>
  <c r="A14" i="96"/>
  <c r="A13" i="96"/>
  <c r="A12" i="96"/>
  <c r="A11" i="96"/>
  <c r="A10" i="96"/>
  <c r="A9" i="96"/>
  <c r="A8" i="96"/>
  <c r="A7" i="96"/>
  <c r="A6" i="96"/>
  <c r="A5" i="96"/>
  <c r="A4" i="96"/>
  <c r="A3" i="96"/>
  <c r="J7" i="76"/>
  <c r="N1" i="76"/>
  <c r="A1" i="76"/>
  <c r="J7" i="75"/>
  <c r="N1" i="75"/>
  <c r="A1" i="75"/>
  <c r="F88" i="92"/>
  <c r="J88" i="92" s="1"/>
  <c r="D88" i="92"/>
  <c r="F87" i="92"/>
  <c r="F84" i="92"/>
  <c r="J84" i="92" s="1"/>
  <c r="D84" i="92"/>
  <c r="F83" i="92"/>
  <c r="D83" i="92"/>
  <c r="F82" i="92"/>
  <c r="J82" i="92" s="1"/>
  <c r="D82" i="92"/>
  <c r="F81" i="92"/>
  <c r="D81" i="92"/>
  <c r="F76" i="92"/>
  <c r="D76" i="92"/>
  <c r="F75" i="92"/>
  <c r="D75" i="92"/>
  <c r="F74" i="92"/>
  <c r="J74" i="92" s="1"/>
  <c r="D74" i="92"/>
  <c r="F71" i="92"/>
  <c r="D71" i="92"/>
  <c r="F70" i="92"/>
  <c r="D70" i="92"/>
  <c r="F67" i="92"/>
  <c r="J67" i="92" s="1"/>
  <c r="D67" i="92"/>
  <c r="F66" i="92"/>
  <c r="J66" i="92" s="1"/>
  <c r="D66" i="92"/>
  <c r="F65" i="92"/>
  <c r="D65" i="92"/>
  <c r="F64" i="92"/>
  <c r="D64" i="92"/>
  <c r="F62" i="92"/>
  <c r="D62" i="92"/>
  <c r="F57" i="92"/>
  <c r="D57" i="92"/>
  <c r="D58" i="92" s="1"/>
  <c r="F52" i="92"/>
  <c r="J52" i="92" s="1"/>
  <c r="D52" i="92"/>
  <c r="F51" i="92"/>
  <c r="J51" i="92" s="1"/>
  <c r="D51" i="92"/>
  <c r="F50" i="92"/>
  <c r="J50" i="92" s="1"/>
  <c r="D50" i="92"/>
  <c r="F49" i="92"/>
  <c r="J49" i="92" s="1"/>
  <c r="D49" i="92"/>
  <c r="F48" i="92"/>
  <c r="J48" i="92" s="1"/>
  <c r="D48" i="92"/>
  <c r="F47" i="92"/>
  <c r="J47" i="92" s="1"/>
  <c r="D47" i="92"/>
  <c r="F46" i="92"/>
  <c r="J46" i="92" s="1"/>
  <c r="D46" i="92"/>
  <c r="F45" i="92"/>
  <c r="D45" i="92"/>
  <c r="F40" i="92"/>
  <c r="J40" i="92" s="1"/>
  <c r="D40" i="92"/>
  <c r="F39" i="92"/>
  <c r="J39" i="92" s="1"/>
  <c r="D39" i="92"/>
  <c r="F38" i="92"/>
  <c r="J38" i="92" s="1"/>
  <c r="D38" i="92"/>
  <c r="F37" i="92"/>
  <c r="J37" i="92" s="1"/>
  <c r="D37" i="92"/>
  <c r="F36" i="92"/>
  <c r="D36" i="92"/>
  <c r="F35" i="92"/>
  <c r="D35" i="92"/>
  <c r="F34" i="92"/>
  <c r="J34" i="92" s="1"/>
  <c r="D34" i="92"/>
  <c r="F33" i="92"/>
  <c r="D33" i="92"/>
  <c r="F32" i="92"/>
  <c r="F31" i="92"/>
  <c r="J31" i="92" s="1"/>
  <c r="D31" i="92"/>
  <c r="F30" i="92"/>
  <c r="D30" i="92"/>
  <c r="F29" i="92"/>
  <c r="D29" i="92"/>
  <c r="F28" i="92"/>
  <c r="D28" i="92"/>
  <c r="F27" i="92"/>
  <c r="J27" i="92" s="1"/>
  <c r="D27" i="92"/>
  <c r="F26" i="92"/>
  <c r="D26" i="92"/>
  <c r="F25" i="92"/>
  <c r="J25" i="92" s="1"/>
  <c r="D25" i="92"/>
  <c r="F24" i="92"/>
  <c r="J24" i="92" s="1"/>
  <c r="D24" i="92"/>
  <c r="F23" i="92"/>
  <c r="J23" i="92" s="1"/>
  <c r="D23" i="92"/>
  <c r="F22" i="92"/>
  <c r="J22" i="92" s="1"/>
  <c r="D22" i="92"/>
  <c r="F21" i="92"/>
  <c r="J21" i="92" s="1"/>
  <c r="D21" i="92"/>
  <c r="F20" i="92"/>
  <c r="J20" i="92" s="1"/>
  <c r="D20" i="92"/>
  <c r="F19" i="92"/>
  <c r="J19" i="92" s="1"/>
  <c r="D19" i="92"/>
  <c r="F18" i="92"/>
  <c r="J18" i="92" s="1"/>
  <c r="D18" i="92"/>
  <c r="F17" i="92"/>
  <c r="J17" i="92" s="1"/>
  <c r="D17" i="92"/>
  <c r="F16" i="92"/>
  <c r="J16" i="92" s="1"/>
  <c r="D16" i="92"/>
  <c r="F15" i="92"/>
  <c r="J15" i="92" s="1"/>
  <c r="D15" i="92"/>
  <c r="F13" i="92"/>
  <c r="J13" i="92" s="1"/>
  <c r="D13" i="92"/>
  <c r="F10" i="92"/>
  <c r="D10" i="92"/>
  <c r="H7" i="92"/>
  <c r="G5" i="92"/>
  <c r="B2" i="92"/>
  <c r="L1" i="92"/>
  <c r="B1" i="92"/>
  <c r="F88" i="74"/>
  <c r="J88" i="74" s="1"/>
  <c r="D88" i="74"/>
  <c r="F87" i="74"/>
  <c r="F84" i="74"/>
  <c r="J84" i="74" s="1"/>
  <c r="D84" i="74"/>
  <c r="F83" i="74"/>
  <c r="D83" i="74"/>
  <c r="F82" i="74"/>
  <c r="J82" i="74" s="1"/>
  <c r="D82" i="74"/>
  <c r="F81" i="74"/>
  <c r="D81" i="74"/>
  <c r="F76" i="74"/>
  <c r="D76" i="74"/>
  <c r="F75" i="74"/>
  <c r="D75" i="74"/>
  <c r="F74" i="74"/>
  <c r="J74" i="74" s="1"/>
  <c r="D74" i="74"/>
  <c r="F71" i="74"/>
  <c r="D71" i="74"/>
  <c r="F70" i="74"/>
  <c r="D70" i="74"/>
  <c r="F67" i="74"/>
  <c r="J67" i="74" s="1"/>
  <c r="D67" i="74"/>
  <c r="F66" i="74"/>
  <c r="J66" i="74" s="1"/>
  <c r="D66" i="74"/>
  <c r="F65" i="74"/>
  <c r="D65" i="74"/>
  <c r="F64" i="74"/>
  <c r="D64" i="74"/>
  <c r="F62" i="74"/>
  <c r="D62" i="74"/>
  <c r="F57" i="74"/>
  <c r="F58" i="74" s="1"/>
  <c r="D57" i="74"/>
  <c r="D58" i="74" s="1"/>
  <c r="F52" i="74"/>
  <c r="J52" i="74" s="1"/>
  <c r="D52" i="74"/>
  <c r="F51" i="74"/>
  <c r="J51" i="74" s="1"/>
  <c r="D51" i="74"/>
  <c r="F50" i="74"/>
  <c r="J50" i="74" s="1"/>
  <c r="D50" i="74"/>
  <c r="F49" i="74"/>
  <c r="J49" i="74" s="1"/>
  <c r="D49" i="74"/>
  <c r="F48" i="74"/>
  <c r="J48" i="74" s="1"/>
  <c r="D48" i="74"/>
  <c r="F47" i="74"/>
  <c r="J47" i="74" s="1"/>
  <c r="D47" i="74"/>
  <c r="F46" i="74"/>
  <c r="J46" i="74" s="1"/>
  <c r="D46" i="74"/>
  <c r="F45" i="74"/>
  <c r="D45" i="74"/>
  <c r="F40" i="74"/>
  <c r="J40" i="74" s="1"/>
  <c r="D40" i="74"/>
  <c r="F39" i="74"/>
  <c r="J39" i="74" s="1"/>
  <c r="D39" i="74"/>
  <c r="F38" i="74"/>
  <c r="J38" i="74" s="1"/>
  <c r="D38" i="74"/>
  <c r="F37" i="74"/>
  <c r="J37" i="74" s="1"/>
  <c r="D37" i="74"/>
  <c r="F36" i="74"/>
  <c r="D36" i="74"/>
  <c r="F35" i="74"/>
  <c r="D35" i="74"/>
  <c r="F34" i="74"/>
  <c r="J34" i="74" s="1"/>
  <c r="D34" i="74"/>
  <c r="F33" i="74"/>
  <c r="D33" i="74"/>
  <c r="F32" i="74"/>
  <c r="F31" i="74"/>
  <c r="J31" i="74" s="1"/>
  <c r="D31" i="74"/>
  <c r="F30" i="74"/>
  <c r="D30" i="74"/>
  <c r="F29" i="74"/>
  <c r="D29" i="74"/>
  <c r="F28" i="74"/>
  <c r="D28" i="74"/>
  <c r="F27" i="74"/>
  <c r="J27" i="74" s="1"/>
  <c r="D27" i="74"/>
  <c r="F26" i="74"/>
  <c r="D26" i="74"/>
  <c r="F25" i="74"/>
  <c r="J25" i="74" s="1"/>
  <c r="D25" i="74"/>
  <c r="F24" i="74"/>
  <c r="J24" i="74" s="1"/>
  <c r="D24" i="74"/>
  <c r="F23" i="74"/>
  <c r="J23" i="74" s="1"/>
  <c r="D23" i="74"/>
  <c r="F22" i="74"/>
  <c r="D22" i="74"/>
  <c r="F21" i="74"/>
  <c r="D21" i="74"/>
  <c r="F20" i="74"/>
  <c r="D20" i="74"/>
  <c r="F19" i="74"/>
  <c r="J19" i="74" s="1"/>
  <c r="D19" i="74"/>
  <c r="F18" i="74"/>
  <c r="D18" i="74"/>
  <c r="F17" i="74"/>
  <c r="J17" i="74" s="1"/>
  <c r="D17" i="74"/>
  <c r="F16" i="74"/>
  <c r="J16" i="74" s="1"/>
  <c r="D16" i="74"/>
  <c r="F15" i="74"/>
  <c r="J15" i="74" s="1"/>
  <c r="D15" i="74"/>
  <c r="F13" i="74"/>
  <c r="J13" i="74" s="1"/>
  <c r="D13" i="74"/>
  <c r="F10" i="74"/>
  <c r="D10" i="74"/>
  <c r="H7" i="74"/>
  <c r="G5" i="74"/>
  <c r="L1" i="74"/>
  <c r="B1" i="74"/>
  <c r="H196" i="90"/>
  <c r="F196" i="90"/>
  <c r="L56" i="90"/>
  <c r="H10" i="90"/>
  <c r="F10" i="90"/>
  <c r="J6" i="90"/>
  <c r="I5" i="90"/>
  <c r="A2" i="90"/>
  <c r="N1" i="90"/>
  <c r="A1" i="90"/>
  <c r="F258" i="72"/>
  <c r="F255" i="72"/>
  <c r="F254" i="72"/>
  <c r="F252" i="72"/>
  <c r="F251" i="72"/>
  <c r="F250" i="72"/>
  <c r="F249" i="72"/>
  <c r="F246" i="72"/>
  <c r="F245" i="72"/>
  <c r="F243" i="72"/>
  <c r="F242" i="72"/>
  <c r="F241" i="72"/>
  <c r="F240" i="72"/>
  <c r="F239" i="72"/>
  <c r="F238" i="72"/>
  <c r="F237" i="72"/>
  <c r="F236" i="72"/>
  <c r="F234" i="72"/>
  <c r="F233" i="72"/>
  <c r="F232" i="72"/>
  <c r="F231" i="72"/>
  <c r="F230" i="72"/>
  <c r="F229" i="72"/>
  <c r="F228" i="72"/>
  <c r="F223" i="72"/>
  <c r="F222" i="72"/>
  <c r="F221" i="72"/>
  <c r="F219" i="72"/>
  <c r="F218" i="72"/>
  <c r="F217" i="72"/>
  <c r="F216" i="72"/>
  <c r="F215" i="72"/>
  <c r="F214" i="72"/>
  <c r="F213" i="72"/>
  <c r="F212" i="72"/>
  <c r="F208" i="72"/>
  <c r="F207" i="72"/>
  <c r="F206" i="72"/>
  <c r="F205" i="72"/>
  <c r="F204" i="72"/>
  <c r="F203" i="72"/>
  <c r="F202" i="72"/>
  <c r="F201" i="72"/>
  <c r="F200" i="72"/>
  <c r="F199" i="72"/>
  <c r="F198" i="72"/>
  <c r="H197" i="72"/>
  <c r="F197" i="72"/>
  <c r="F191" i="72"/>
  <c r="F189" i="72"/>
  <c r="F188" i="72"/>
  <c r="F187" i="72"/>
  <c r="F185" i="72"/>
  <c r="F184" i="72"/>
  <c r="F183" i="72"/>
  <c r="F181" i="72"/>
  <c r="F177" i="72"/>
  <c r="F175" i="72"/>
  <c r="F174" i="72"/>
  <c r="F173" i="72"/>
  <c r="F172" i="72"/>
  <c r="F171" i="72"/>
  <c r="F170" i="72"/>
  <c r="F169" i="72"/>
  <c r="F168" i="72"/>
  <c r="F148" i="72"/>
  <c r="F147" i="72"/>
  <c r="F146" i="72"/>
  <c r="F145" i="72"/>
  <c r="F143" i="72"/>
  <c r="F142" i="72"/>
  <c r="F141" i="72"/>
  <c r="F122" i="72"/>
  <c r="F121" i="72"/>
  <c r="F120" i="72"/>
  <c r="F119" i="72"/>
  <c r="F118" i="72"/>
  <c r="F117" i="72"/>
  <c r="F107" i="72"/>
  <c r="F106" i="72"/>
  <c r="F105" i="72"/>
  <c r="F104" i="72"/>
  <c r="F103" i="72"/>
  <c r="F97" i="72"/>
  <c r="F96" i="72"/>
  <c r="F95" i="72"/>
  <c r="F94" i="72"/>
  <c r="F93" i="72"/>
  <c r="F92" i="72"/>
  <c r="F91" i="72"/>
  <c r="F61" i="72"/>
  <c r="F60" i="72"/>
  <c r="F59" i="72"/>
  <c r="F56" i="72"/>
  <c r="F55" i="72"/>
  <c r="F54" i="72"/>
  <c r="F53" i="72"/>
  <c r="F52" i="72"/>
  <c r="F51" i="72"/>
  <c r="F48" i="72"/>
  <c r="F47" i="72"/>
  <c r="F46" i="72"/>
  <c r="F45" i="72"/>
  <c r="F44" i="72"/>
  <c r="F42" i="72"/>
  <c r="F41" i="72"/>
  <c r="F37" i="72"/>
  <c r="F36" i="72"/>
  <c r="F35" i="72"/>
  <c r="F34" i="72"/>
  <c r="F33" i="72"/>
  <c r="F32" i="72"/>
  <c r="F29" i="72"/>
  <c r="F28" i="72"/>
  <c r="F27" i="72"/>
  <c r="F22" i="72"/>
  <c r="F21" i="72"/>
  <c r="F20" i="72"/>
  <c r="F19" i="72"/>
  <c r="F17" i="72"/>
  <c r="F16" i="72"/>
  <c r="F15" i="72"/>
  <c r="F14" i="72"/>
  <c r="F13" i="72"/>
  <c r="H10" i="72"/>
  <c r="F10" i="72"/>
  <c r="J6" i="72"/>
  <c r="A2" i="72"/>
  <c r="N1" i="72"/>
  <c r="A1" i="72"/>
  <c r="G57" i="70"/>
  <c r="G50" i="70"/>
  <c r="G51" i="70" s="1"/>
  <c r="G58" i="70" s="1"/>
  <c r="G61" i="70" s="1"/>
  <c r="G42" i="70"/>
  <c r="G34" i="70"/>
  <c r="I8" i="70"/>
  <c r="H6" i="70"/>
  <c r="A2" i="70"/>
  <c r="L1" i="70"/>
  <c r="A1" i="70"/>
  <c r="M87" i="88"/>
  <c r="L87" i="88"/>
  <c r="M83" i="88"/>
  <c r="L83" i="88"/>
  <c r="J83" i="88" s="1"/>
  <c r="M82" i="88"/>
  <c r="L82" i="88"/>
  <c r="M81" i="88"/>
  <c r="J81" i="88" s="1"/>
  <c r="L81" i="88"/>
  <c r="M80" i="88"/>
  <c r="L80" i="88"/>
  <c r="J80" i="88" s="1"/>
  <c r="M75" i="88"/>
  <c r="M76" i="88" s="1"/>
  <c r="L75" i="88"/>
  <c r="M74" i="88"/>
  <c r="L74" i="88"/>
  <c r="J74" i="88" s="1"/>
  <c r="M73" i="88"/>
  <c r="L73" i="88"/>
  <c r="M70" i="88"/>
  <c r="L70" i="88"/>
  <c r="J70" i="88" s="1"/>
  <c r="M69" i="88"/>
  <c r="M71" i="88" s="1"/>
  <c r="L69" i="88"/>
  <c r="M66" i="88"/>
  <c r="L66" i="88"/>
  <c r="M65" i="88"/>
  <c r="L65" i="88"/>
  <c r="M64" i="88"/>
  <c r="L64" i="88"/>
  <c r="J64" i="88" s="1"/>
  <c r="M63" i="88"/>
  <c r="L63" i="88"/>
  <c r="M61" i="88"/>
  <c r="L61" i="88"/>
  <c r="J61" i="88"/>
  <c r="L56" i="88"/>
  <c r="L57" i="88" s="1"/>
  <c r="J56" i="88"/>
  <c r="M55" i="88"/>
  <c r="M50" i="88"/>
  <c r="J50" i="88" s="1"/>
  <c r="L50" i="88"/>
  <c r="M49" i="88"/>
  <c r="L49" i="88"/>
  <c r="M48" i="88"/>
  <c r="L48" i="88"/>
  <c r="J48" i="88"/>
  <c r="M47" i="88"/>
  <c r="L47" i="88"/>
  <c r="M46" i="88"/>
  <c r="L46" i="88"/>
  <c r="J46" i="88" s="1"/>
  <c r="M45" i="88"/>
  <c r="L45" i="88"/>
  <c r="M44" i="88"/>
  <c r="L44" i="88"/>
  <c r="J44" i="88" s="1"/>
  <c r="M43" i="88"/>
  <c r="L43" i="88"/>
  <c r="M38" i="88"/>
  <c r="L38" i="88"/>
  <c r="M37" i="88"/>
  <c r="L37" i="88"/>
  <c r="J37" i="88" s="1"/>
  <c r="M36" i="88"/>
  <c r="L36" i="88"/>
  <c r="M35" i="88"/>
  <c r="L35" i="88"/>
  <c r="M34" i="88"/>
  <c r="L34" i="88"/>
  <c r="M33" i="88"/>
  <c r="L33" i="88"/>
  <c r="M32" i="88"/>
  <c r="L32" i="88"/>
  <c r="J32" i="88" s="1"/>
  <c r="M31" i="88"/>
  <c r="L31" i="88"/>
  <c r="M30" i="88"/>
  <c r="L30" i="88"/>
  <c r="M29" i="88"/>
  <c r="L29" i="88"/>
  <c r="M28" i="88"/>
  <c r="L28" i="88"/>
  <c r="J28" i="88" s="1"/>
  <c r="M27" i="88"/>
  <c r="L27" i="88"/>
  <c r="M26" i="88"/>
  <c r="L26" i="88"/>
  <c r="J26" i="88" s="1"/>
  <c r="M25" i="88"/>
  <c r="L25" i="88"/>
  <c r="M24" i="88"/>
  <c r="L24" i="88"/>
  <c r="M23" i="88"/>
  <c r="J23" i="88" s="1"/>
  <c r="L23" i="88"/>
  <c r="M22" i="88"/>
  <c r="J22" i="88" s="1"/>
  <c r="L22" i="88"/>
  <c r="M21" i="88"/>
  <c r="L21" i="88"/>
  <c r="M20" i="88"/>
  <c r="J20" i="88" s="1"/>
  <c r="L20" i="88"/>
  <c r="M19" i="88"/>
  <c r="L19" i="88"/>
  <c r="J19" i="88" s="1"/>
  <c r="M18" i="88"/>
  <c r="L18" i="88"/>
  <c r="M17" i="88"/>
  <c r="L17" i="88"/>
  <c r="M16" i="88"/>
  <c r="L16" i="88"/>
  <c r="M15" i="88"/>
  <c r="L15" i="88"/>
  <c r="J15" i="88" s="1"/>
  <c r="M14" i="88"/>
  <c r="J14" i="88" s="1"/>
  <c r="L14" i="88"/>
  <c r="M13" i="88"/>
  <c r="L13" i="88"/>
  <c r="M11" i="88"/>
  <c r="L11" i="88"/>
  <c r="J11" i="88" s="1"/>
  <c r="M10" i="88"/>
  <c r="L10" i="88"/>
  <c r="J10" i="88"/>
  <c r="G7" i="88"/>
  <c r="H5" i="88"/>
  <c r="K1" i="88"/>
  <c r="B1" i="88"/>
  <c r="M86" i="87"/>
  <c r="M85" i="87"/>
  <c r="J85" i="87"/>
  <c r="D87" i="92" s="1"/>
  <c r="J83" i="87"/>
  <c r="M82" i="87"/>
  <c r="M81" i="87"/>
  <c r="M80" i="87"/>
  <c r="M79" i="87"/>
  <c r="J75" i="87"/>
  <c r="M74" i="87"/>
  <c r="M73" i="87"/>
  <c r="M72" i="87"/>
  <c r="J70" i="87"/>
  <c r="M69" i="87"/>
  <c r="M68" i="87"/>
  <c r="J66" i="87"/>
  <c r="M65" i="87"/>
  <c r="M64" i="87"/>
  <c r="M63" i="87"/>
  <c r="M62" i="87"/>
  <c r="M60" i="87"/>
  <c r="J60" i="87"/>
  <c r="J56" i="87"/>
  <c r="M55" i="87"/>
  <c r="M56" i="87" s="1"/>
  <c r="J51" i="87"/>
  <c r="M50" i="87"/>
  <c r="M49" i="87"/>
  <c r="M48" i="87"/>
  <c r="M47" i="87"/>
  <c r="M46" i="87"/>
  <c r="M45" i="87"/>
  <c r="M44" i="87"/>
  <c r="M43" i="87"/>
  <c r="M38" i="87"/>
  <c r="M37" i="87"/>
  <c r="M36" i="87"/>
  <c r="M35" i="87"/>
  <c r="M34" i="87"/>
  <c r="M33" i="87"/>
  <c r="M32" i="87"/>
  <c r="M31" i="87"/>
  <c r="M30" i="87"/>
  <c r="M29" i="87"/>
  <c r="M28" i="87"/>
  <c r="M27" i="87"/>
  <c r="M26" i="87"/>
  <c r="M25" i="87"/>
  <c r="M24" i="87"/>
  <c r="M23" i="87"/>
  <c r="M22" i="87"/>
  <c r="M21" i="87"/>
  <c r="M20" i="87"/>
  <c r="M19" i="87"/>
  <c r="M18" i="87"/>
  <c r="M17" i="87"/>
  <c r="M16" i="87"/>
  <c r="M15" i="87"/>
  <c r="M14" i="87"/>
  <c r="M13" i="87"/>
  <c r="M11" i="87"/>
  <c r="M10" i="87"/>
  <c r="J10" i="87"/>
  <c r="J39" i="87" s="1"/>
  <c r="G7" i="87"/>
  <c r="D7" i="87"/>
  <c r="H5" i="87"/>
  <c r="K1" i="87"/>
  <c r="B1" i="87"/>
  <c r="M86" i="69"/>
  <c r="M85" i="69"/>
  <c r="J85" i="69"/>
  <c r="D87" i="74" s="1"/>
  <c r="J83" i="69"/>
  <c r="M82" i="69"/>
  <c r="M81" i="69"/>
  <c r="M80" i="69"/>
  <c r="M79" i="69"/>
  <c r="J75" i="69"/>
  <c r="M74" i="69"/>
  <c r="M73" i="69"/>
  <c r="M72" i="69"/>
  <c r="J70" i="69"/>
  <c r="M69" i="69"/>
  <c r="M68" i="69"/>
  <c r="J66" i="69"/>
  <c r="M65" i="69"/>
  <c r="M64" i="69"/>
  <c r="M63" i="69"/>
  <c r="M62" i="69"/>
  <c r="M60" i="69"/>
  <c r="J60" i="69"/>
  <c r="J56" i="69"/>
  <c r="M55" i="69"/>
  <c r="M56" i="69" s="1"/>
  <c r="J51" i="69"/>
  <c r="M50" i="69"/>
  <c r="M49" i="69"/>
  <c r="M48" i="69"/>
  <c r="M47" i="69"/>
  <c r="M46" i="69"/>
  <c r="M45" i="69"/>
  <c r="M44" i="69"/>
  <c r="M43" i="69"/>
  <c r="M38" i="69"/>
  <c r="M37" i="69"/>
  <c r="M36" i="69"/>
  <c r="M35" i="69"/>
  <c r="M34" i="69"/>
  <c r="M33" i="69"/>
  <c r="M32" i="69"/>
  <c r="M31" i="69"/>
  <c r="M30" i="69"/>
  <c r="M29" i="69"/>
  <c r="M28" i="69"/>
  <c r="M27" i="69"/>
  <c r="M26" i="69"/>
  <c r="M25" i="69"/>
  <c r="M24" i="69"/>
  <c r="M23" i="69"/>
  <c r="M22" i="69"/>
  <c r="M21" i="69"/>
  <c r="M20" i="69"/>
  <c r="M19" i="69"/>
  <c r="M18" i="69"/>
  <c r="M17" i="69"/>
  <c r="M16" i="69"/>
  <c r="M15" i="69"/>
  <c r="M14" i="69"/>
  <c r="M13" i="69"/>
  <c r="M11" i="69"/>
  <c r="M10" i="69"/>
  <c r="J10" i="69"/>
  <c r="J39" i="69" s="1"/>
  <c r="G7" i="69"/>
  <c r="D7" i="69"/>
  <c r="H5" i="69"/>
  <c r="K1" i="69"/>
  <c r="B1" i="69"/>
  <c r="F258" i="68"/>
  <c r="F257" i="90" s="1"/>
  <c r="F255" i="68"/>
  <c r="F254" i="90" s="1"/>
  <c r="F254" i="68"/>
  <c r="F253" i="90" s="1"/>
  <c r="F252" i="68"/>
  <c r="F251" i="90" s="1"/>
  <c r="F251" i="68"/>
  <c r="F250" i="90" s="1"/>
  <c r="F250" i="68"/>
  <c r="F249" i="90" s="1"/>
  <c r="F249" i="68"/>
  <c r="F248" i="90" s="1"/>
  <c r="S247" i="68"/>
  <c r="R247" i="68"/>
  <c r="Q247" i="68"/>
  <c r="P247" i="68"/>
  <c r="O247" i="68"/>
  <c r="N247" i="68"/>
  <c r="M247" i="68"/>
  <c r="L247" i="68"/>
  <c r="K247" i="68"/>
  <c r="J247" i="68"/>
  <c r="I247" i="68"/>
  <c r="H247" i="68"/>
  <c r="F246" i="68"/>
  <c r="G246" i="68" s="1"/>
  <c r="F245" i="68"/>
  <c r="F244" i="90" s="1"/>
  <c r="F243" i="68"/>
  <c r="F242" i="90" s="1"/>
  <c r="F242" i="68"/>
  <c r="F241" i="90" s="1"/>
  <c r="F241" i="68"/>
  <c r="F240" i="90" s="1"/>
  <c r="F240" i="68"/>
  <c r="F239" i="90" s="1"/>
  <c r="F239" i="68"/>
  <c r="F238" i="90" s="1"/>
  <c r="F238" i="68"/>
  <c r="F237" i="90" s="1"/>
  <c r="F237" i="68"/>
  <c r="G237" i="68" s="1"/>
  <c r="F236" i="68"/>
  <c r="G236" i="68" s="1"/>
  <c r="F234" i="68"/>
  <c r="F233" i="90" s="1"/>
  <c r="F233" i="68"/>
  <c r="F232" i="90" s="1"/>
  <c r="F232" i="68"/>
  <c r="F231" i="90" s="1"/>
  <c r="F231" i="68"/>
  <c r="F230" i="90" s="1"/>
  <c r="F230" i="68"/>
  <c r="F229" i="90" s="1"/>
  <c r="F229" i="68"/>
  <c r="F228" i="90" s="1"/>
  <c r="F228" i="68"/>
  <c r="F227" i="90" s="1"/>
  <c r="S224" i="68"/>
  <c r="R224" i="68"/>
  <c r="Q224" i="68"/>
  <c r="P224" i="68"/>
  <c r="O224" i="68"/>
  <c r="N224" i="68"/>
  <c r="M224" i="68"/>
  <c r="L224" i="68"/>
  <c r="K224" i="68"/>
  <c r="J224" i="68"/>
  <c r="I224" i="68"/>
  <c r="H224" i="68"/>
  <c r="F223" i="68"/>
  <c r="F222" i="90" s="1"/>
  <c r="F222" i="68"/>
  <c r="F221" i="90" s="1"/>
  <c r="F221" i="68"/>
  <c r="F220" i="90" s="1"/>
  <c r="F219" i="68"/>
  <c r="F218" i="90" s="1"/>
  <c r="F218" i="68"/>
  <c r="F217" i="90" s="1"/>
  <c r="F217" i="68"/>
  <c r="F216" i="68"/>
  <c r="F215" i="90" s="1"/>
  <c r="F215" i="68"/>
  <c r="F214" i="90" s="1"/>
  <c r="F214" i="68"/>
  <c r="F213" i="90" s="1"/>
  <c r="F213" i="68"/>
  <c r="F212" i="90" s="1"/>
  <c r="F212" i="68"/>
  <c r="S209" i="68"/>
  <c r="R209" i="68"/>
  <c r="Q209" i="68"/>
  <c r="P209" i="68"/>
  <c r="O209" i="68"/>
  <c r="N209" i="68"/>
  <c r="M209" i="68"/>
  <c r="L209" i="68"/>
  <c r="K209" i="68"/>
  <c r="J209" i="68"/>
  <c r="I209" i="68"/>
  <c r="H209" i="68"/>
  <c r="F208" i="68"/>
  <c r="F207" i="90" s="1"/>
  <c r="F207" i="68"/>
  <c r="F206" i="90" s="1"/>
  <c r="F206" i="68"/>
  <c r="F205" i="90" s="1"/>
  <c r="F205" i="68"/>
  <c r="F204" i="90" s="1"/>
  <c r="F204" i="68"/>
  <c r="F203" i="90" s="1"/>
  <c r="F203" i="68"/>
  <c r="F202" i="90" s="1"/>
  <c r="F202" i="68"/>
  <c r="F201" i="90" s="1"/>
  <c r="F201" i="68"/>
  <c r="F200" i="90" s="1"/>
  <c r="F200" i="68"/>
  <c r="F199" i="90" s="1"/>
  <c r="F199" i="68"/>
  <c r="F198" i="90" s="1"/>
  <c r="F198" i="68"/>
  <c r="F197" i="90" s="1"/>
  <c r="S192" i="68"/>
  <c r="R192" i="68"/>
  <c r="Q192" i="68"/>
  <c r="P192" i="68"/>
  <c r="O192" i="68"/>
  <c r="N192" i="68"/>
  <c r="M192" i="68"/>
  <c r="L192" i="68"/>
  <c r="K192" i="68"/>
  <c r="J192" i="68"/>
  <c r="I192" i="68"/>
  <c r="H192" i="68"/>
  <c r="F191" i="68"/>
  <c r="F190" i="90" s="1"/>
  <c r="F190" i="68"/>
  <c r="F189" i="68"/>
  <c r="F188" i="90" s="1"/>
  <c r="F188" i="68"/>
  <c r="G188" i="68" s="1"/>
  <c r="F186" i="68"/>
  <c r="F185" i="90" s="1"/>
  <c r="F185" i="68"/>
  <c r="F184" i="68"/>
  <c r="F183" i="90" s="1"/>
  <c r="F182" i="68"/>
  <c r="S179" i="68"/>
  <c r="R179" i="68"/>
  <c r="Q179" i="68"/>
  <c r="P179" i="68"/>
  <c r="O179" i="68"/>
  <c r="N179" i="68"/>
  <c r="M179" i="68"/>
  <c r="L179" i="68"/>
  <c r="K179" i="68"/>
  <c r="J179" i="68"/>
  <c r="I179" i="68"/>
  <c r="H179" i="68"/>
  <c r="F178" i="68"/>
  <c r="F177" i="90" s="1"/>
  <c r="F176" i="68"/>
  <c r="F175" i="90" s="1"/>
  <c r="F175" i="68"/>
  <c r="F174" i="90" s="1"/>
  <c r="F174" i="68"/>
  <c r="F173" i="90" s="1"/>
  <c r="F173" i="68"/>
  <c r="F172" i="90" s="1"/>
  <c r="F172" i="68"/>
  <c r="F171" i="90" s="1"/>
  <c r="F171" i="68"/>
  <c r="F170" i="90" s="1"/>
  <c r="F170" i="68"/>
  <c r="F169" i="90" s="1"/>
  <c r="F169" i="68"/>
  <c r="F168" i="90" s="1"/>
  <c r="S164" i="68"/>
  <c r="R164" i="68"/>
  <c r="Q164" i="68"/>
  <c r="P164" i="68"/>
  <c r="O164" i="68"/>
  <c r="N164" i="68"/>
  <c r="M164" i="68"/>
  <c r="L164" i="68"/>
  <c r="K164" i="68"/>
  <c r="J164" i="68"/>
  <c r="I164" i="68"/>
  <c r="H164" i="68"/>
  <c r="F149" i="68"/>
  <c r="F148" i="90" s="1"/>
  <c r="F148" i="68"/>
  <c r="F147" i="90" s="1"/>
  <c r="F147" i="68"/>
  <c r="F146" i="90" s="1"/>
  <c r="F146" i="68"/>
  <c r="F145" i="90" s="1"/>
  <c r="F144" i="68"/>
  <c r="F143" i="90" s="1"/>
  <c r="F143" i="68"/>
  <c r="F142" i="90" s="1"/>
  <c r="F142" i="68"/>
  <c r="F141" i="90" s="1"/>
  <c r="S138" i="68"/>
  <c r="R138" i="68"/>
  <c r="Q138" i="68"/>
  <c r="Q166" i="68" s="1"/>
  <c r="P138" i="68"/>
  <c r="O138" i="68"/>
  <c r="N138" i="68"/>
  <c r="M138" i="68"/>
  <c r="L138" i="68"/>
  <c r="K138" i="68"/>
  <c r="J138" i="68"/>
  <c r="I138" i="68"/>
  <c r="I166" i="68" s="1"/>
  <c r="H138" i="68"/>
  <c r="F137" i="68"/>
  <c r="F136" i="90" s="1"/>
  <c r="F136" i="68"/>
  <c r="T136" i="68" s="1"/>
  <c r="F135" i="68"/>
  <c r="F134" i="68"/>
  <c r="F133" i="90" s="1"/>
  <c r="F133" i="68"/>
  <c r="F132" i="90" s="1"/>
  <c r="F132" i="68"/>
  <c r="F131" i="68"/>
  <c r="F130" i="90" s="1"/>
  <c r="F130" i="68"/>
  <c r="T130" i="68" s="1"/>
  <c r="F129" i="68"/>
  <c r="F128" i="90" s="1"/>
  <c r="F128" i="68"/>
  <c r="F127" i="90" s="1"/>
  <c r="F127" i="68"/>
  <c r="F125" i="68"/>
  <c r="F124" i="90" s="1"/>
  <c r="F124" i="68"/>
  <c r="F123" i="90" s="1"/>
  <c r="F123" i="68"/>
  <c r="F122" i="90" s="1"/>
  <c r="F122" i="68"/>
  <c r="F121" i="90" s="1"/>
  <c r="F121" i="68"/>
  <c r="F120" i="90" s="1"/>
  <c r="F120" i="68"/>
  <c r="F119" i="90" s="1"/>
  <c r="F119" i="68"/>
  <c r="F118" i="90" s="1"/>
  <c r="F118" i="68"/>
  <c r="F117" i="90" s="1"/>
  <c r="F108" i="68"/>
  <c r="F107" i="90" s="1"/>
  <c r="F107" i="68"/>
  <c r="F106" i="90" s="1"/>
  <c r="F106" i="68"/>
  <c r="F105" i="90" s="1"/>
  <c r="F105" i="68"/>
  <c r="F104" i="90" s="1"/>
  <c r="F104" i="68"/>
  <c r="F103" i="90" s="1"/>
  <c r="S99" i="68"/>
  <c r="R99" i="68"/>
  <c r="Q99" i="68"/>
  <c r="P99" i="68"/>
  <c r="O99" i="68"/>
  <c r="N99" i="68"/>
  <c r="M99" i="68"/>
  <c r="L99" i="68"/>
  <c r="K99" i="68"/>
  <c r="J99" i="68"/>
  <c r="I99" i="68"/>
  <c r="H99" i="68"/>
  <c r="F98" i="68"/>
  <c r="F97" i="90" s="1"/>
  <c r="F97" i="68"/>
  <c r="F96" i="90" s="1"/>
  <c r="F96" i="68"/>
  <c r="F95" i="90" s="1"/>
  <c r="F95" i="68"/>
  <c r="F94" i="90" s="1"/>
  <c r="F94" i="68"/>
  <c r="F93" i="90" s="1"/>
  <c r="F93" i="68"/>
  <c r="F92" i="90" s="1"/>
  <c r="F92" i="68"/>
  <c r="F91" i="90" s="1"/>
  <c r="S86" i="68"/>
  <c r="R86" i="68"/>
  <c r="Q86" i="68"/>
  <c r="P86" i="68"/>
  <c r="O86" i="68"/>
  <c r="N86" i="68"/>
  <c r="M86" i="68"/>
  <c r="L86" i="68"/>
  <c r="K86" i="68"/>
  <c r="J86" i="68"/>
  <c r="I86" i="68"/>
  <c r="H86" i="68"/>
  <c r="S70" i="68"/>
  <c r="R70" i="68"/>
  <c r="Q70" i="68"/>
  <c r="P70" i="68"/>
  <c r="O70" i="68"/>
  <c r="N70" i="68"/>
  <c r="M70" i="68"/>
  <c r="L70" i="68"/>
  <c r="K70" i="68"/>
  <c r="J70" i="68"/>
  <c r="I70" i="68"/>
  <c r="H70" i="68"/>
  <c r="F62" i="68"/>
  <c r="F61" i="90" s="1"/>
  <c r="F61" i="68"/>
  <c r="F60" i="90" s="1"/>
  <c r="F60" i="68"/>
  <c r="F59" i="90" s="1"/>
  <c r="F57" i="68"/>
  <c r="F56" i="90" s="1"/>
  <c r="J56" i="90" s="1"/>
  <c r="F56" i="68"/>
  <c r="F55" i="90" s="1"/>
  <c r="F55" i="68"/>
  <c r="F54" i="90" s="1"/>
  <c r="F54" i="68"/>
  <c r="F53" i="90" s="1"/>
  <c r="F53" i="68"/>
  <c r="F52" i="90" s="1"/>
  <c r="F52" i="68"/>
  <c r="F51" i="90" s="1"/>
  <c r="F49" i="68"/>
  <c r="F48" i="90" s="1"/>
  <c r="F48" i="68"/>
  <c r="F47" i="90" s="1"/>
  <c r="F47" i="68"/>
  <c r="F46" i="90" s="1"/>
  <c r="F46" i="68"/>
  <c r="F45" i="90" s="1"/>
  <c r="F45" i="68"/>
  <c r="F44" i="90" s="1"/>
  <c r="F43" i="68"/>
  <c r="F42" i="90" s="1"/>
  <c r="F42" i="68"/>
  <c r="F41" i="90" s="1"/>
  <c r="S39" i="68"/>
  <c r="R39" i="68"/>
  <c r="Q39" i="68"/>
  <c r="P39" i="68"/>
  <c r="O39" i="68"/>
  <c r="N39" i="68"/>
  <c r="M39" i="68"/>
  <c r="L39" i="68"/>
  <c r="K39" i="68"/>
  <c r="J39" i="68"/>
  <c r="I39" i="68"/>
  <c r="H39" i="68"/>
  <c r="F38" i="68"/>
  <c r="F37" i="90" s="1"/>
  <c r="F36" i="90"/>
  <c r="F36" i="68"/>
  <c r="F35" i="90" s="1"/>
  <c r="F35" i="68"/>
  <c r="F34" i="90" s="1"/>
  <c r="F34" i="68"/>
  <c r="F33" i="90" s="1"/>
  <c r="F32" i="90"/>
  <c r="F30" i="68"/>
  <c r="F29" i="90" s="1"/>
  <c r="F29" i="68"/>
  <c r="F28" i="90" s="1"/>
  <c r="F28" i="68"/>
  <c r="F27" i="90" s="1"/>
  <c r="F23" i="90"/>
  <c r="F23" i="68"/>
  <c r="F22" i="90" s="1"/>
  <c r="F22" i="68"/>
  <c r="F21" i="90" s="1"/>
  <c r="F21" i="68"/>
  <c r="F20" i="90" s="1"/>
  <c r="F20" i="68"/>
  <c r="F19" i="90" s="1"/>
  <c r="F18" i="68"/>
  <c r="F17" i="90" s="1"/>
  <c r="F17" i="68"/>
  <c r="F16" i="90" s="1"/>
  <c r="F16" i="68"/>
  <c r="F15" i="90" s="1"/>
  <c r="F15" i="68"/>
  <c r="F14" i="90" s="1"/>
  <c r="F14" i="68"/>
  <c r="F13" i="90" s="1"/>
  <c r="F6" i="68"/>
  <c r="F5" i="68"/>
  <c r="H1" i="68"/>
  <c r="A1" i="68"/>
  <c r="G257" i="66"/>
  <c r="G256" i="66"/>
  <c r="F249" i="66"/>
  <c r="G248" i="66"/>
  <c r="G247" i="66"/>
  <c r="G244" i="66"/>
  <c r="G240" i="66"/>
  <c r="G239" i="66"/>
  <c r="G238" i="66"/>
  <c r="F226" i="66"/>
  <c r="F211" i="66"/>
  <c r="I198" i="66"/>
  <c r="F198" i="66"/>
  <c r="G189" i="66"/>
  <c r="G188" i="66"/>
  <c r="G187" i="66"/>
  <c r="G185" i="66"/>
  <c r="G184" i="66"/>
  <c r="G183" i="66"/>
  <c r="F178" i="66"/>
  <c r="F136" i="72"/>
  <c r="F135" i="66"/>
  <c r="G135" i="66" s="1"/>
  <c r="F134" i="72"/>
  <c r="F133" i="66"/>
  <c r="F132" i="72"/>
  <c r="G131" i="66"/>
  <c r="F130" i="66"/>
  <c r="F129" i="72"/>
  <c r="F128" i="72"/>
  <c r="G127" i="66"/>
  <c r="G126" i="66"/>
  <c r="F123" i="72"/>
  <c r="F98" i="66"/>
  <c r="I11" i="66"/>
  <c r="F11" i="66"/>
  <c r="A2" i="66"/>
  <c r="H1" i="66"/>
  <c r="M101" i="121" s="1"/>
  <c r="A1" i="66"/>
  <c r="G11" i="99"/>
  <c r="G10" i="99"/>
  <c r="J1" i="99"/>
  <c r="M97" i="121" s="1"/>
  <c r="A1" i="99"/>
  <c r="K32" i="100"/>
  <c r="M11" i="100"/>
  <c r="M10" i="100"/>
  <c r="S1" i="100"/>
  <c r="B1" i="100"/>
  <c r="M10" i="58"/>
  <c r="M9" i="58"/>
  <c r="B2" i="58"/>
  <c r="S1" i="58"/>
  <c r="B1" i="58"/>
  <c r="S83" i="101"/>
  <c r="P83" i="101"/>
  <c r="S80" i="101"/>
  <c r="P80" i="101"/>
  <c r="AI77" i="101"/>
  <c r="AH77" i="101"/>
  <c r="AG77" i="101"/>
  <c r="AF77" i="101"/>
  <c r="AI74" i="101"/>
  <c r="AH74" i="101"/>
  <c r="AG74" i="101"/>
  <c r="AF74" i="101"/>
  <c r="K74" i="101"/>
  <c r="AI73" i="101"/>
  <c r="AH73" i="101"/>
  <c r="AG73" i="101"/>
  <c r="AF73" i="101"/>
  <c r="K73" i="101"/>
  <c r="Y73" i="101" s="1"/>
  <c r="AI72" i="101"/>
  <c r="AH72" i="101"/>
  <c r="AG72" i="101"/>
  <c r="AF72" i="101"/>
  <c r="K72" i="101"/>
  <c r="Y72" i="101" s="1"/>
  <c r="AI71" i="101"/>
  <c r="AH71" i="101"/>
  <c r="AG71" i="101"/>
  <c r="AF71" i="101"/>
  <c r="K71" i="101"/>
  <c r="X71" i="101" s="1"/>
  <c r="W71" i="101" s="1"/>
  <c r="AI70" i="101"/>
  <c r="AH70" i="101"/>
  <c r="AG70" i="101"/>
  <c r="AF70" i="101"/>
  <c r="K70" i="101"/>
  <c r="X70" i="101" s="1"/>
  <c r="W70" i="101" s="1"/>
  <c r="AI69" i="101"/>
  <c r="AH69" i="101"/>
  <c r="AG69" i="101"/>
  <c r="AF69" i="101"/>
  <c r="K69" i="101"/>
  <c r="Y69" i="101" s="1"/>
  <c r="AI68" i="101"/>
  <c r="AH68" i="101"/>
  <c r="AG68" i="101"/>
  <c r="AF68" i="101"/>
  <c r="K68" i="101"/>
  <c r="X68" i="101" s="1"/>
  <c r="W68" i="101" s="1"/>
  <c r="AI67" i="101"/>
  <c r="AH67" i="101"/>
  <c r="AG67" i="101"/>
  <c r="AF67" i="101"/>
  <c r="K67" i="101"/>
  <c r="X67" i="101" s="1"/>
  <c r="W67" i="101" s="1"/>
  <c r="AI66" i="101"/>
  <c r="AH66" i="101"/>
  <c r="AG66" i="101"/>
  <c r="AF66" i="101"/>
  <c r="K66" i="101"/>
  <c r="X66" i="101" s="1"/>
  <c r="W66" i="101" s="1"/>
  <c r="AI63" i="101"/>
  <c r="AH63" i="101"/>
  <c r="AG63" i="101"/>
  <c r="K63" i="101"/>
  <c r="X63" i="101" s="1"/>
  <c r="AI60" i="101"/>
  <c r="AH60" i="101"/>
  <c r="AG60" i="101"/>
  <c r="AF60" i="101"/>
  <c r="AI56" i="101"/>
  <c r="AH56" i="101"/>
  <c r="AG56" i="101"/>
  <c r="AF56" i="101"/>
  <c r="AI55" i="101"/>
  <c r="AH55" i="101"/>
  <c r="AG55" i="101"/>
  <c r="AF55" i="101"/>
  <c r="AI54" i="101"/>
  <c r="AH54" i="101"/>
  <c r="AG54" i="101"/>
  <c r="AF54" i="101"/>
  <c r="K54" i="101"/>
  <c r="AI53" i="101"/>
  <c r="AH53" i="101"/>
  <c r="AG53" i="101"/>
  <c r="AF53" i="101"/>
  <c r="K53" i="101"/>
  <c r="AI52" i="101"/>
  <c r="AH52" i="101"/>
  <c r="U52" i="101" s="1"/>
  <c r="AG52" i="101"/>
  <c r="AF52" i="101"/>
  <c r="K52" i="101"/>
  <c r="AI51" i="101"/>
  <c r="AH51" i="101"/>
  <c r="AG51" i="101"/>
  <c r="AF51" i="101"/>
  <c r="K51" i="101"/>
  <c r="AI50" i="101"/>
  <c r="AH50" i="101"/>
  <c r="AG50" i="101"/>
  <c r="AF50" i="101"/>
  <c r="K50" i="101"/>
  <c r="AI47" i="101"/>
  <c r="AH47" i="101"/>
  <c r="AG47" i="101"/>
  <c r="AF47" i="101"/>
  <c r="Y47" i="101"/>
  <c r="X47" i="101"/>
  <c r="W47" i="101" s="1"/>
  <c r="AI46" i="101"/>
  <c r="AH46" i="101"/>
  <c r="AG46" i="101"/>
  <c r="AF46" i="101"/>
  <c r="Y46" i="101"/>
  <c r="X46" i="101"/>
  <c r="W46" i="101" s="1"/>
  <c r="AI45" i="101"/>
  <c r="AH45" i="101"/>
  <c r="AG45" i="101"/>
  <c r="AF45" i="101"/>
  <c r="Y45" i="101"/>
  <c r="X45" i="101"/>
  <c r="W45" i="101" s="1"/>
  <c r="K44" i="101"/>
  <c r="AI43" i="101"/>
  <c r="AH43" i="101"/>
  <c r="AG43" i="101"/>
  <c r="AF43" i="101"/>
  <c r="K43" i="101"/>
  <c r="Y43" i="101" s="1"/>
  <c r="AI42" i="101"/>
  <c r="AH42" i="101"/>
  <c r="AG42" i="101"/>
  <c r="AF42" i="101"/>
  <c r="AI41" i="101"/>
  <c r="AH41" i="101"/>
  <c r="AG41" i="101"/>
  <c r="AF41" i="101"/>
  <c r="AI40" i="101"/>
  <c r="AH40" i="101"/>
  <c r="AG40" i="101"/>
  <c r="AF40" i="101"/>
  <c r="AI39" i="101"/>
  <c r="AH39" i="101"/>
  <c r="AG39" i="101"/>
  <c r="AF39" i="101"/>
  <c r="AI38" i="101"/>
  <c r="AH38" i="101"/>
  <c r="AG38" i="101"/>
  <c r="AF38" i="101"/>
  <c r="AI37" i="101"/>
  <c r="AH37" i="101"/>
  <c r="AG37" i="101"/>
  <c r="AF37" i="101"/>
  <c r="K37" i="101"/>
  <c r="Y37" i="101" s="1"/>
  <c r="AI36" i="101"/>
  <c r="AH36" i="101"/>
  <c r="AG36" i="101"/>
  <c r="AF36" i="101"/>
  <c r="K36" i="101"/>
  <c r="X36" i="101" s="1"/>
  <c r="W36" i="101" s="1"/>
  <c r="AI35" i="101"/>
  <c r="AH35" i="101"/>
  <c r="AG35" i="101"/>
  <c r="AF35" i="101"/>
  <c r="K35" i="101"/>
  <c r="Y35" i="101" s="1"/>
  <c r="AI34" i="101"/>
  <c r="AH34" i="101"/>
  <c r="AG34" i="101"/>
  <c r="AF34" i="101"/>
  <c r="K34" i="101"/>
  <c r="Y34" i="101" s="1"/>
  <c r="AI33" i="101"/>
  <c r="AH33" i="101"/>
  <c r="AG33" i="101"/>
  <c r="AF33" i="101"/>
  <c r="K33" i="101"/>
  <c r="Y33" i="101" s="1"/>
  <c r="AI32" i="101"/>
  <c r="AH32" i="101"/>
  <c r="AG32" i="101"/>
  <c r="AF32" i="101"/>
  <c r="K32" i="101"/>
  <c r="X32" i="101" s="1"/>
  <c r="W32" i="101" s="1"/>
  <c r="AI31" i="101"/>
  <c r="AH31" i="101"/>
  <c r="AG31" i="101"/>
  <c r="AF31" i="101"/>
  <c r="K31" i="101"/>
  <c r="Y31" i="101" s="1"/>
  <c r="AI30" i="101"/>
  <c r="AH30" i="101"/>
  <c r="AG30" i="101"/>
  <c r="AF30" i="101"/>
  <c r="K30" i="101"/>
  <c r="Y30" i="101" s="1"/>
  <c r="AI29" i="101"/>
  <c r="AH29" i="101"/>
  <c r="AG29" i="101"/>
  <c r="AF29" i="101"/>
  <c r="AI28" i="101"/>
  <c r="AH28" i="101"/>
  <c r="AG28" i="101"/>
  <c r="AF28" i="101"/>
  <c r="AI27" i="101"/>
  <c r="AH27" i="101"/>
  <c r="AG27" i="101"/>
  <c r="AF27" i="101"/>
  <c r="AI26" i="101"/>
  <c r="AH26" i="101"/>
  <c r="AG26" i="101"/>
  <c r="AF26" i="101"/>
  <c r="AI25" i="101"/>
  <c r="AH25" i="101"/>
  <c r="AG25" i="101"/>
  <c r="AF25" i="101"/>
  <c r="AI24" i="101"/>
  <c r="AH24" i="101"/>
  <c r="AG24" i="101"/>
  <c r="AF24" i="101"/>
  <c r="AI23" i="101"/>
  <c r="AH23" i="101"/>
  <c r="AG23" i="101"/>
  <c r="AF23" i="101"/>
  <c r="AI22" i="101"/>
  <c r="AH22" i="101"/>
  <c r="AG22" i="101"/>
  <c r="AF22" i="101"/>
  <c r="AI21" i="101"/>
  <c r="AH21" i="101"/>
  <c r="AG21" i="101"/>
  <c r="AF21" i="101"/>
  <c r="AI20" i="101"/>
  <c r="AH20" i="101"/>
  <c r="AG20" i="101"/>
  <c r="AF20" i="101"/>
  <c r="M9" i="101"/>
  <c r="M8" i="101"/>
  <c r="B2" i="101"/>
  <c r="U1" i="101"/>
  <c r="B1" i="101"/>
  <c r="N8" i="65"/>
  <c r="N7" i="65"/>
  <c r="S1" i="65"/>
  <c r="C1" i="65"/>
  <c r="O44" i="64"/>
  <c r="M53" i="64" s="1"/>
  <c r="K8" i="64"/>
  <c r="K7" i="64"/>
  <c r="P1" i="64"/>
  <c r="C1" i="64"/>
  <c r="O32" i="63"/>
  <c r="K8" i="63"/>
  <c r="K7" i="63"/>
  <c r="P1" i="63"/>
  <c r="C1" i="63"/>
  <c r="L8" i="62"/>
  <c r="L7" i="62"/>
  <c r="B2" i="62"/>
  <c r="S1" i="62"/>
  <c r="B1" i="62"/>
  <c r="R31" i="61"/>
  <c r="P31" i="61"/>
  <c r="N31" i="61"/>
  <c r="L31" i="61"/>
  <c r="J31" i="61"/>
  <c r="H31" i="61"/>
  <c r="F31" i="61"/>
  <c r="N8" i="61"/>
  <c r="N7" i="61"/>
  <c r="R4" i="61"/>
  <c r="C1" i="61"/>
  <c r="Q35" i="60"/>
  <c r="O35" i="60"/>
  <c r="M35" i="60"/>
  <c r="K35" i="60"/>
  <c r="M9" i="60"/>
  <c r="M8" i="60"/>
  <c r="R1" i="60"/>
  <c r="C1" i="60"/>
  <c r="B41" i="59"/>
  <c r="O35" i="59"/>
  <c r="M35" i="59"/>
  <c r="K35" i="59"/>
  <c r="I35" i="59"/>
  <c r="G35" i="59"/>
  <c r="Q34" i="59"/>
  <c r="Q33" i="59"/>
  <c r="T33" i="59" s="1"/>
  <c r="Q32" i="59"/>
  <c r="S32" i="59" s="1"/>
  <c r="R32" i="59" s="1"/>
  <c r="O28" i="59"/>
  <c r="M28" i="59"/>
  <c r="K28" i="59"/>
  <c r="I28" i="59"/>
  <c r="G28" i="59"/>
  <c r="Q27" i="59"/>
  <c r="S27" i="59" s="1"/>
  <c r="R27" i="59" s="1"/>
  <c r="Q26" i="59"/>
  <c r="T26" i="59" s="1"/>
  <c r="Q25" i="59"/>
  <c r="Q24" i="59"/>
  <c r="T24" i="59" s="1"/>
  <c r="Q23" i="59"/>
  <c r="T23" i="59" s="1"/>
  <c r="Q22" i="59"/>
  <c r="Q21" i="59"/>
  <c r="T21" i="59" s="1"/>
  <c r="Q20" i="59"/>
  <c r="T20" i="59" s="1"/>
  <c r="Q19" i="59"/>
  <c r="T19" i="59" s="1"/>
  <c r="L8" i="59"/>
  <c r="L7" i="59"/>
  <c r="R1" i="59"/>
  <c r="C1" i="59"/>
  <c r="A75" i="57"/>
  <c r="K72" i="57"/>
  <c r="Q38" i="57"/>
  <c r="O38" i="57"/>
  <c r="M38" i="57"/>
  <c r="K37" i="57"/>
  <c r="U37" i="57" s="1"/>
  <c r="K36" i="57"/>
  <c r="U36" i="57" s="1"/>
  <c r="K35" i="57"/>
  <c r="K34" i="57"/>
  <c r="T34" i="57" s="1"/>
  <c r="S34" i="57" s="1"/>
  <c r="K33" i="57"/>
  <c r="K40" i="101" s="1"/>
  <c r="K32" i="57"/>
  <c r="T32" i="57" s="1"/>
  <c r="S32" i="57" s="1"/>
  <c r="K31" i="57"/>
  <c r="K30" i="57"/>
  <c r="K29" i="101" s="1"/>
  <c r="K29" i="57"/>
  <c r="U29" i="57" s="1"/>
  <c r="K28" i="57"/>
  <c r="K27" i="101" s="1"/>
  <c r="Y27" i="101" s="1"/>
  <c r="K27" i="57"/>
  <c r="U27" i="57" s="1"/>
  <c r="U26" i="57"/>
  <c r="K26" i="57"/>
  <c r="T26" i="57" s="1"/>
  <c r="S26" i="57" s="1"/>
  <c r="K25" i="57"/>
  <c r="K24" i="101" s="1"/>
  <c r="K24" i="57"/>
  <c r="T24" i="57" s="1"/>
  <c r="S24" i="57" s="1"/>
  <c r="U23" i="57"/>
  <c r="T23" i="57"/>
  <c r="S23" i="57" s="1"/>
  <c r="K23" i="57"/>
  <c r="K22" i="101" s="1"/>
  <c r="Y22" i="101" s="1"/>
  <c r="K22" i="57"/>
  <c r="K21" i="101" s="1"/>
  <c r="K21" i="57"/>
  <c r="M9" i="57"/>
  <c r="M8" i="57"/>
  <c r="S1" i="57"/>
  <c r="B1" i="57"/>
  <c r="B49" i="56"/>
  <c r="O45" i="56"/>
  <c r="M45" i="56"/>
  <c r="K45" i="56"/>
  <c r="I45" i="56"/>
  <c r="G45" i="56"/>
  <c r="Q44" i="56"/>
  <c r="S44" i="56" s="1"/>
  <c r="R44" i="56" s="1"/>
  <c r="Q43" i="56"/>
  <c r="S43" i="56" s="1"/>
  <c r="R43" i="56" s="1"/>
  <c r="Q42" i="56"/>
  <c r="S42" i="56" s="1"/>
  <c r="R42" i="56" s="1"/>
  <c r="R41" i="56"/>
  <c r="Q41" i="56"/>
  <c r="S41" i="56" s="1"/>
  <c r="Q40" i="56"/>
  <c r="S40" i="56" s="1"/>
  <c r="R40" i="56" s="1"/>
  <c r="Q39" i="56"/>
  <c r="S39" i="56" s="1"/>
  <c r="R39" i="56" s="1"/>
  <c r="O35" i="56"/>
  <c r="M35" i="56"/>
  <c r="K35" i="56"/>
  <c r="I35" i="56"/>
  <c r="G35" i="56"/>
  <c r="Q34" i="56"/>
  <c r="S34" i="56" s="1"/>
  <c r="R34" i="56" s="1"/>
  <c r="Q33" i="56"/>
  <c r="S33" i="56" s="1"/>
  <c r="R33" i="56" s="1"/>
  <c r="Q32" i="56"/>
  <c r="S32" i="56" s="1"/>
  <c r="R32" i="56" s="1"/>
  <c r="Q31" i="56"/>
  <c r="S31" i="56" s="1"/>
  <c r="R31" i="56" s="1"/>
  <c r="Q29" i="56"/>
  <c r="S29" i="56" s="1"/>
  <c r="R29" i="56" s="1"/>
  <c r="Q28" i="56"/>
  <c r="S28" i="56" s="1"/>
  <c r="R28" i="56" s="1"/>
  <c r="Q27" i="56"/>
  <c r="S27" i="56" s="1"/>
  <c r="R27" i="56" s="1"/>
  <c r="Q26" i="56"/>
  <c r="S26" i="56" s="1"/>
  <c r="R26" i="56" s="1"/>
  <c r="Q25" i="56"/>
  <c r="S25" i="56" s="1"/>
  <c r="R25" i="56" s="1"/>
  <c r="Q24" i="56"/>
  <c r="S24" i="56" s="1"/>
  <c r="R24" i="56" s="1"/>
  <c r="Q23" i="56"/>
  <c r="S23" i="56" s="1"/>
  <c r="R23" i="56" s="1"/>
  <c r="Q22" i="56"/>
  <c r="S22" i="56" s="1"/>
  <c r="R22" i="56" s="1"/>
  <c r="Q21" i="56"/>
  <c r="S21" i="56" s="1"/>
  <c r="R21" i="56" s="1"/>
  <c r="Q20" i="56"/>
  <c r="S20" i="56" s="1"/>
  <c r="R20" i="56" s="1"/>
  <c r="Q19" i="56"/>
  <c r="S19" i="56" s="1"/>
  <c r="L8" i="56"/>
  <c r="L7" i="56"/>
  <c r="R1" i="56"/>
  <c r="C1" i="56"/>
  <c r="I8" i="104"/>
  <c r="I7" i="104"/>
  <c r="M1" i="104"/>
  <c r="A1" i="104"/>
  <c r="A89" i="55"/>
  <c r="L73" i="55"/>
  <c r="L83" i="55" s="1"/>
  <c r="L85" i="55" s="1"/>
  <c r="L64" i="55"/>
  <c r="L46" i="55"/>
  <c r="L30" i="55"/>
  <c r="L7" i="55"/>
  <c r="L6" i="55"/>
  <c r="B2" i="55"/>
  <c r="P1" i="55"/>
  <c r="B1" i="55"/>
  <c r="A31" i="53"/>
  <c r="O7" i="53"/>
  <c r="O6" i="53"/>
  <c r="W1" i="53"/>
  <c r="B1" i="53"/>
  <c r="R29" i="52"/>
  <c r="P29" i="52"/>
  <c r="N29" i="52"/>
  <c r="L29" i="52"/>
  <c r="T27" i="52"/>
  <c r="T26" i="52"/>
  <c r="T25" i="52"/>
  <c r="T24" i="52"/>
  <c r="T23" i="52"/>
  <c r="T22" i="52"/>
  <c r="T21" i="52"/>
  <c r="T20" i="52"/>
  <c r="T19" i="52"/>
  <c r="T18" i="52"/>
  <c r="T17" i="52"/>
  <c r="T16" i="52"/>
  <c r="T15" i="52"/>
  <c r="T14" i="52"/>
  <c r="L14" i="52"/>
  <c r="P6" i="52"/>
  <c r="P5" i="52"/>
  <c r="A2" i="52"/>
  <c r="U1" i="52"/>
  <c r="A1" i="52"/>
  <c r="F116" i="68"/>
  <c r="D30" i="105"/>
  <c r="F26" i="68" s="1"/>
  <c r="K1" i="105"/>
  <c r="A1" i="105"/>
  <c r="G6" i="51"/>
  <c r="B6" i="51"/>
  <c r="A2" i="51"/>
  <c r="K1" i="51"/>
  <c r="A1" i="51"/>
  <c r="G46" i="50"/>
  <c r="J29" i="50"/>
  <c r="E9" i="50"/>
  <c r="E8" i="50"/>
  <c r="I1" i="50"/>
  <c r="M88" i="121" s="1"/>
  <c r="A1" i="50"/>
  <c r="A48" i="49"/>
  <c r="O35" i="49"/>
  <c r="M29" i="49"/>
  <c r="M25" i="49"/>
  <c r="E23" i="49"/>
  <c r="O42" i="49" s="1"/>
  <c r="E21" i="49"/>
  <c r="E15" i="49"/>
  <c r="M7" i="49"/>
  <c r="M6" i="49"/>
  <c r="P1" i="49"/>
  <c r="M87" i="121" s="1"/>
  <c r="B1" i="49"/>
  <c r="A48" i="117"/>
  <c r="M7" i="117"/>
  <c r="M6" i="117"/>
  <c r="P1" i="117"/>
  <c r="M86" i="121" s="1"/>
  <c r="B1" i="117"/>
  <c r="A31" i="47"/>
  <c r="J7" i="47"/>
  <c r="J6" i="47"/>
  <c r="M1" i="47"/>
  <c r="B1" i="47"/>
  <c r="A34" i="46"/>
  <c r="H29" i="46"/>
  <c r="F255" i="66" s="1"/>
  <c r="F253" i="72" s="1"/>
  <c r="X28" i="46"/>
  <c r="W28" i="46"/>
  <c r="V28" i="46"/>
  <c r="U28" i="46"/>
  <c r="T28" i="46"/>
  <c r="S28" i="46"/>
  <c r="R28" i="46"/>
  <c r="X27" i="46"/>
  <c r="W27" i="46"/>
  <c r="V27" i="46"/>
  <c r="U27" i="46"/>
  <c r="T27" i="46"/>
  <c r="S27" i="46"/>
  <c r="R27" i="46"/>
  <c r="X26" i="46"/>
  <c r="W26" i="46"/>
  <c r="V26" i="46"/>
  <c r="U26" i="46"/>
  <c r="T26" i="46"/>
  <c r="S26" i="46"/>
  <c r="R26" i="46"/>
  <c r="X25" i="46"/>
  <c r="W25" i="46"/>
  <c r="V25" i="46"/>
  <c r="U25" i="46"/>
  <c r="T25" i="46"/>
  <c r="S25" i="46"/>
  <c r="R25" i="46"/>
  <c r="X24" i="46"/>
  <c r="W24" i="46"/>
  <c r="V24" i="46"/>
  <c r="U24" i="46"/>
  <c r="T24" i="46"/>
  <c r="S24" i="46"/>
  <c r="R24" i="46"/>
  <c r="X23" i="46"/>
  <c r="W23" i="46"/>
  <c r="V23" i="46"/>
  <c r="U23" i="46"/>
  <c r="T23" i="46"/>
  <c r="S23" i="46"/>
  <c r="R23" i="46"/>
  <c r="X22" i="46"/>
  <c r="W22" i="46"/>
  <c r="V22" i="46"/>
  <c r="U22" i="46"/>
  <c r="T22" i="46"/>
  <c r="S22" i="46"/>
  <c r="R22" i="46"/>
  <c r="X21" i="46"/>
  <c r="W21" i="46"/>
  <c r="V21" i="46"/>
  <c r="U21" i="46"/>
  <c r="T21" i="46"/>
  <c r="S21" i="46"/>
  <c r="R21" i="46"/>
  <c r="X20" i="46"/>
  <c r="W20" i="46"/>
  <c r="V20" i="46"/>
  <c r="U20" i="46"/>
  <c r="T20" i="46"/>
  <c r="S20" i="46"/>
  <c r="R20" i="46"/>
  <c r="X19" i="46"/>
  <c r="W19" i="46"/>
  <c r="V19" i="46"/>
  <c r="U19" i="46"/>
  <c r="T19" i="46"/>
  <c r="S19" i="46"/>
  <c r="R19" i="46"/>
  <c r="X18" i="46"/>
  <c r="W18" i="46"/>
  <c r="V18" i="46"/>
  <c r="U18" i="46"/>
  <c r="T18" i="46"/>
  <c r="S18" i="46"/>
  <c r="R18" i="46"/>
  <c r="X17" i="46"/>
  <c r="W17" i="46"/>
  <c r="V17" i="46"/>
  <c r="U17" i="46"/>
  <c r="T17" i="46"/>
  <c r="S17" i="46"/>
  <c r="R17" i="46"/>
  <c r="X16" i="46"/>
  <c r="W16" i="46"/>
  <c r="V16" i="46"/>
  <c r="U16" i="46"/>
  <c r="T16" i="46"/>
  <c r="S16" i="46"/>
  <c r="R16" i="46"/>
  <c r="X15" i="46"/>
  <c r="W15" i="46"/>
  <c r="V15" i="46"/>
  <c r="U15" i="46"/>
  <c r="T15" i="46"/>
  <c r="S15" i="46"/>
  <c r="R15" i="46"/>
  <c r="X14" i="46"/>
  <c r="W14" i="46"/>
  <c r="V14" i="46"/>
  <c r="U14" i="46"/>
  <c r="T14" i="46"/>
  <c r="S14" i="46"/>
  <c r="R14" i="46"/>
  <c r="X13" i="46"/>
  <c r="W13" i="46"/>
  <c r="V13" i="46"/>
  <c r="U13" i="46"/>
  <c r="T13" i="46"/>
  <c r="S13" i="46"/>
  <c r="R13" i="46"/>
  <c r="X12" i="46"/>
  <c r="W12" i="46"/>
  <c r="V12" i="46"/>
  <c r="U12" i="46"/>
  <c r="T12" i="46"/>
  <c r="S12" i="46"/>
  <c r="R12" i="46"/>
  <c r="I6" i="46"/>
  <c r="I5" i="46"/>
  <c r="B2" i="46"/>
  <c r="O1" i="46"/>
  <c r="B1" i="46"/>
  <c r="A33" i="108"/>
  <c r="AF28" i="108"/>
  <c r="AE28" i="108"/>
  <c r="AD28" i="108"/>
  <c r="AC28" i="108"/>
  <c r="AB28" i="108"/>
  <c r="AA28" i="108"/>
  <c r="X28" i="108"/>
  <c r="W28" i="108"/>
  <c r="V28" i="108"/>
  <c r="U28" i="108"/>
  <c r="AF27" i="108"/>
  <c r="AE27" i="108"/>
  <c r="AD27" i="108"/>
  <c r="AC27" i="108"/>
  <c r="AB27" i="108"/>
  <c r="AA27" i="108"/>
  <c r="X27" i="108"/>
  <c r="W27" i="108"/>
  <c r="V27" i="108"/>
  <c r="U27" i="108"/>
  <c r="AF26" i="108"/>
  <c r="AE26" i="108"/>
  <c r="AD26" i="108"/>
  <c r="AC26" i="108"/>
  <c r="AB26" i="108"/>
  <c r="AA26" i="108"/>
  <c r="X26" i="108"/>
  <c r="W26" i="108"/>
  <c r="V26" i="108"/>
  <c r="U26" i="108"/>
  <c r="AF25" i="108"/>
  <c r="AE25" i="108"/>
  <c r="AD25" i="108"/>
  <c r="AC25" i="108"/>
  <c r="AB25" i="108"/>
  <c r="AA25" i="108"/>
  <c r="X25" i="108"/>
  <c r="W25" i="108"/>
  <c r="V25" i="108"/>
  <c r="U25" i="108"/>
  <c r="AF24" i="108"/>
  <c r="AE24" i="108"/>
  <c r="AD24" i="108"/>
  <c r="AC24" i="108"/>
  <c r="AB24" i="108"/>
  <c r="AA24" i="108"/>
  <c r="X24" i="108"/>
  <c r="W24" i="108"/>
  <c r="V24" i="108"/>
  <c r="U24" i="108"/>
  <c r="AF23" i="108"/>
  <c r="AE23" i="108"/>
  <c r="AD23" i="108"/>
  <c r="AC23" i="108"/>
  <c r="AB23" i="108"/>
  <c r="AA23" i="108"/>
  <c r="X23" i="108"/>
  <c r="W23" i="108"/>
  <c r="V23" i="108"/>
  <c r="U23" i="108"/>
  <c r="AF22" i="108"/>
  <c r="AE22" i="108"/>
  <c r="AD22" i="108"/>
  <c r="AC22" i="108"/>
  <c r="AB22" i="108"/>
  <c r="AA22" i="108"/>
  <c r="X22" i="108"/>
  <c r="W22" i="108"/>
  <c r="V22" i="108"/>
  <c r="U22" i="108"/>
  <c r="AF21" i="108"/>
  <c r="AE21" i="108"/>
  <c r="AD21" i="108"/>
  <c r="AC21" i="108"/>
  <c r="AB21" i="108"/>
  <c r="AA21" i="108"/>
  <c r="X21" i="108"/>
  <c r="W21" i="108"/>
  <c r="V21" i="108"/>
  <c r="U21" i="108"/>
  <c r="AF20" i="108"/>
  <c r="AE20" i="108"/>
  <c r="AD20" i="108"/>
  <c r="AC20" i="108"/>
  <c r="AB20" i="108"/>
  <c r="AA20" i="108"/>
  <c r="X20" i="108"/>
  <c r="W20" i="108"/>
  <c r="T20" i="108" s="1"/>
  <c r="S20" i="108" s="1"/>
  <c r="V20" i="108"/>
  <c r="U20" i="108"/>
  <c r="AF19" i="108"/>
  <c r="AE19" i="108"/>
  <c r="AD19" i="108"/>
  <c r="AC19" i="108"/>
  <c r="AB19" i="108"/>
  <c r="AA19" i="108"/>
  <c r="X19" i="108"/>
  <c r="W19" i="108"/>
  <c r="V19" i="108"/>
  <c r="U19" i="108"/>
  <c r="AF18" i="108"/>
  <c r="AE18" i="108"/>
  <c r="AD18" i="108"/>
  <c r="AC18" i="108"/>
  <c r="AB18" i="108"/>
  <c r="AA18" i="108"/>
  <c r="X18" i="108"/>
  <c r="W18" i="108"/>
  <c r="V18" i="108"/>
  <c r="U18" i="108"/>
  <c r="AF17" i="108"/>
  <c r="AE17" i="108"/>
  <c r="AD17" i="108"/>
  <c r="AC17" i="108"/>
  <c r="AB17" i="108"/>
  <c r="AA17" i="108"/>
  <c r="X17" i="108"/>
  <c r="W17" i="108"/>
  <c r="V17" i="108"/>
  <c r="U17" i="108"/>
  <c r="AF16" i="108"/>
  <c r="AE16" i="108"/>
  <c r="AD16" i="108"/>
  <c r="AC16" i="108"/>
  <c r="AB16" i="108"/>
  <c r="AA16" i="108"/>
  <c r="X16" i="108"/>
  <c r="W16" i="108"/>
  <c r="V16" i="108"/>
  <c r="U16" i="108"/>
  <c r="AF15" i="108"/>
  <c r="AE15" i="108"/>
  <c r="AD15" i="108"/>
  <c r="AC15" i="108"/>
  <c r="AB15" i="108"/>
  <c r="AA15" i="108"/>
  <c r="Z15" i="108" s="1"/>
  <c r="Y15" i="108" s="1"/>
  <c r="X15" i="108"/>
  <c r="W15" i="108"/>
  <c r="V15" i="108"/>
  <c r="U15" i="108"/>
  <c r="AF14" i="108"/>
  <c r="AE14" i="108"/>
  <c r="AD14" i="108"/>
  <c r="AC14" i="108"/>
  <c r="AB14" i="108"/>
  <c r="AA14" i="108"/>
  <c r="X14" i="108"/>
  <c r="W14" i="108"/>
  <c r="V14" i="108"/>
  <c r="U14" i="108"/>
  <c r="O5" i="108"/>
  <c r="B2" i="108"/>
  <c r="AK1" i="108"/>
  <c r="B1" i="108"/>
  <c r="Z34" i="107"/>
  <c r="Y34" i="107"/>
  <c r="X34" i="107"/>
  <c r="W34" i="107"/>
  <c r="V34" i="107"/>
  <c r="U34" i="107"/>
  <c r="Z33" i="107"/>
  <c r="Y33" i="107"/>
  <c r="X33" i="107"/>
  <c r="W33" i="107"/>
  <c r="V33" i="107"/>
  <c r="U33" i="107"/>
  <c r="Z32" i="107"/>
  <c r="Y32" i="107"/>
  <c r="X32" i="107"/>
  <c r="W32" i="107"/>
  <c r="V32" i="107"/>
  <c r="U32" i="107"/>
  <c r="Z31" i="107"/>
  <c r="Y31" i="107"/>
  <c r="X31" i="107"/>
  <c r="W31" i="107"/>
  <c r="V31" i="107"/>
  <c r="U31" i="107"/>
  <c r="Z30" i="107"/>
  <c r="Y30" i="107"/>
  <c r="X30" i="107"/>
  <c r="W30" i="107"/>
  <c r="V30" i="107"/>
  <c r="U30" i="107"/>
  <c r="Z29" i="107"/>
  <c r="Y29" i="107"/>
  <c r="X29" i="107"/>
  <c r="W29" i="107"/>
  <c r="V29" i="107"/>
  <c r="U29" i="107"/>
  <c r="Z28" i="107"/>
  <c r="Y28" i="107"/>
  <c r="X28" i="107"/>
  <c r="W28" i="107"/>
  <c r="V28" i="107"/>
  <c r="U28" i="107"/>
  <c r="Z27" i="107"/>
  <c r="Y27" i="107"/>
  <c r="X27" i="107"/>
  <c r="W27" i="107"/>
  <c r="V27" i="107"/>
  <c r="U27" i="107"/>
  <c r="Z26" i="107"/>
  <c r="Y26" i="107"/>
  <c r="X26" i="107"/>
  <c r="W26" i="107"/>
  <c r="V26" i="107"/>
  <c r="U26" i="107"/>
  <c r="Z25" i="107"/>
  <c r="Y25" i="107"/>
  <c r="X25" i="107"/>
  <c r="W25" i="107"/>
  <c r="V25" i="107"/>
  <c r="U25" i="107"/>
  <c r="Z24" i="107"/>
  <c r="Y24" i="107"/>
  <c r="X24" i="107"/>
  <c r="W24" i="107"/>
  <c r="V24" i="107"/>
  <c r="U24" i="107"/>
  <c r="Z23" i="107"/>
  <c r="Y23" i="107"/>
  <c r="X23" i="107"/>
  <c r="W23" i="107"/>
  <c r="V23" i="107"/>
  <c r="U23" i="107"/>
  <c r="Z22" i="107"/>
  <c r="Y22" i="107"/>
  <c r="X22" i="107"/>
  <c r="W22" i="107"/>
  <c r="V22" i="107"/>
  <c r="U22" i="107"/>
  <c r="Z21" i="107"/>
  <c r="Y21" i="107"/>
  <c r="X21" i="107"/>
  <c r="W21" i="107"/>
  <c r="V21" i="107"/>
  <c r="U21" i="107"/>
  <c r="Z20" i="107"/>
  <c r="Y20" i="107"/>
  <c r="X20" i="107"/>
  <c r="W20" i="107"/>
  <c r="V20" i="107"/>
  <c r="U20" i="107"/>
  <c r="M6" i="107"/>
  <c r="R1" i="107"/>
  <c r="A1" i="107"/>
  <c r="Z35" i="106"/>
  <c r="Y35" i="106"/>
  <c r="X35" i="106"/>
  <c r="W35" i="106"/>
  <c r="V35" i="106"/>
  <c r="U35" i="106"/>
  <c r="Z34" i="106"/>
  <c r="Y34" i="106"/>
  <c r="X34" i="106"/>
  <c r="W34" i="106"/>
  <c r="V34" i="106"/>
  <c r="U34" i="106"/>
  <c r="Z33" i="106"/>
  <c r="Y33" i="106"/>
  <c r="X33" i="106"/>
  <c r="W33" i="106"/>
  <c r="V33" i="106"/>
  <c r="U33" i="106"/>
  <c r="Z32" i="106"/>
  <c r="Y32" i="106"/>
  <c r="X32" i="106"/>
  <c r="W32" i="106"/>
  <c r="V32" i="106"/>
  <c r="U32" i="106"/>
  <c r="Z31" i="106"/>
  <c r="Y31" i="106"/>
  <c r="X31" i="106"/>
  <c r="W31" i="106"/>
  <c r="V31" i="106"/>
  <c r="U31" i="106"/>
  <c r="Z30" i="106"/>
  <c r="Y30" i="106"/>
  <c r="X30" i="106"/>
  <c r="W30" i="106"/>
  <c r="V30" i="106"/>
  <c r="U30" i="106"/>
  <c r="Z29" i="106"/>
  <c r="Y29" i="106"/>
  <c r="X29" i="106"/>
  <c r="W29" i="106"/>
  <c r="V29" i="106"/>
  <c r="U29" i="106"/>
  <c r="Z28" i="106"/>
  <c r="Y28" i="106"/>
  <c r="X28" i="106"/>
  <c r="W28" i="106"/>
  <c r="V28" i="106"/>
  <c r="U28" i="106"/>
  <c r="Z27" i="106"/>
  <c r="Y27" i="106"/>
  <c r="X27" i="106"/>
  <c r="W27" i="106"/>
  <c r="V27" i="106"/>
  <c r="U27" i="106"/>
  <c r="Z26" i="106"/>
  <c r="Y26" i="106"/>
  <c r="X26" i="106"/>
  <c r="W26" i="106"/>
  <c r="V26" i="106"/>
  <c r="U26" i="106"/>
  <c r="Z25" i="106"/>
  <c r="Y25" i="106"/>
  <c r="X25" i="106"/>
  <c r="W25" i="106"/>
  <c r="V25" i="106"/>
  <c r="U25" i="106"/>
  <c r="Z24" i="106"/>
  <c r="Y24" i="106"/>
  <c r="X24" i="106"/>
  <c r="W24" i="106"/>
  <c r="V24" i="106"/>
  <c r="U24" i="106"/>
  <c r="Z23" i="106"/>
  <c r="Y23" i="106"/>
  <c r="X23" i="106"/>
  <c r="W23" i="106"/>
  <c r="V23" i="106"/>
  <c r="U23" i="106"/>
  <c r="Z22" i="106"/>
  <c r="Y22" i="106"/>
  <c r="X22" i="106"/>
  <c r="W22" i="106"/>
  <c r="V22" i="106"/>
  <c r="U22" i="106"/>
  <c r="Z21" i="106"/>
  <c r="Y21" i="106"/>
  <c r="X21" i="106"/>
  <c r="W21" i="106"/>
  <c r="V21" i="106"/>
  <c r="U21" i="106"/>
  <c r="M6" i="106"/>
  <c r="A2" i="106"/>
  <c r="R1" i="106"/>
  <c r="A1" i="106"/>
  <c r="A117" i="110"/>
  <c r="P33" i="110"/>
  <c r="H33" i="110"/>
  <c r="AE32" i="110"/>
  <c r="AD32" i="110"/>
  <c r="AC32" i="110"/>
  <c r="AB32" i="110"/>
  <c r="AA32" i="110"/>
  <c r="Z32" i="110"/>
  <c r="W32" i="110"/>
  <c r="V32" i="110"/>
  <c r="U32" i="110"/>
  <c r="T32" i="110"/>
  <c r="AE31" i="110"/>
  <c r="AD31" i="110"/>
  <c r="AC31" i="110"/>
  <c r="AB31" i="110"/>
  <c r="AA31" i="110"/>
  <c r="Z31" i="110"/>
  <c r="W31" i="110"/>
  <c r="V31" i="110"/>
  <c r="U31" i="110"/>
  <c r="T31" i="110"/>
  <c r="AE30" i="110"/>
  <c r="AD30" i="110"/>
  <c r="AC30" i="110"/>
  <c r="AB30" i="110"/>
  <c r="AA30" i="110"/>
  <c r="Z30" i="110"/>
  <c r="W30" i="110"/>
  <c r="V30" i="110"/>
  <c r="U30" i="110"/>
  <c r="T30" i="110"/>
  <c r="AE29" i="110"/>
  <c r="AD29" i="110"/>
  <c r="AC29" i="110"/>
  <c r="AB29" i="110"/>
  <c r="AA29" i="110"/>
  <c r="Z29" i="110"/>
  <c r="W29" i="110"/>
  <c r="V29" i="110"/>
  <c r="U29" i="110"/>
  <c r="T29" i="110"/>
  <c r="AE28" i="110"/>
  <c r="AD28" i="110"/>
  <c r="AC28" i="110"/>
  <c r="AB28" i="110"/>
  <c r="AA28" i="110"/>
  <c r="Z28" i="110"/>
  <c r="W28" i="110"/>
  <c r="V28" i="110"/>
  <c r="U28" i="110"/>
  <c r="T28" i="110"/>
  <c r="AE27" i="110"/>
  <c r="AD27" i="110"/>
  <c r="AC27" i="110"/>
  <c r="AB27" i="110"/>
  <c r="AA27" i="110"/>
  <c r="Z27" i="110"/>
  <c r="W27" i="110"/>
  <c r="V27" i="110"/>
  <c r="U27" i="110"/>
  <c r="T27" i="110"/>
  <c r="AE26" i="110"/>
  <c r="AD26" i="110"/>
  <c r="AC26" i="110"/>
  <c r="AB26" i="110"/>
  <c r="AA26" i="110"/>
  <c r="Z26" i="110"/>
  <c r="W26" i="110"/>
  <c r="V26" i="110"/>
  <c r="U26" i="110"/>
  <c r="T26" i="110"/>
  <c r="S26" i="110" s="1"/>
  <c r="R26" i="110" s="1"/>
  <c r="AE25" i="110"/>
  <c r="AD25" i="110"/>
  <c r="AC25" i="110"/>
  <c r="AB25" i="110"/>
  <c r="AA25" i="110"/>
  <c r="Z25" i="110"/>
  <c r="W25" i="110"/>
  <c r="V25" i="110"/>
  <c r="U25" i="110"/>
  <c r="S25" i="110" s="1"/>
  <c r="R25" i="110" s="1"/>
  <c r="T25" i="110"/>
  <c r="AE24" i="110"/>
  <c r="AD24" i="110"/>
  <c r="AC24" i="110"/>
  <c r="AB24" i="110"/>
  <c r="AA24" i="110"/>
  <c r="Z24" i="110"/>
  <c r="W24" i="110"/>
  <c r="V24" i="110"/>
  <c r="U24" i="110"/>
  <c r="T24" i="110"/>
  <c r="AE23" i="110"/>
  <c r="AD23" i="110"/>
  <c r="AC23" i="110"/>
  <c r="AB23" i="110"/>
  <c r="AA23" i="110"/>
  <c r="Z23" i="110"/>
  <c r="W23" i="110"/>
  <c r="V23" i="110"/>
  <c r="U23" i="110"/>
  <c r="T23" i="110"/>
  <c r="AE22" i="110"/>
  <c r="AD22" i="110"/>
  <c r="AC22" i="110"/>
  <c r="AB22" i="110"/>
  <c r="AA22" i="110"/>
  <c r="Z22" i="110"/>
  <c r="W22" i="110"/>
  <c r="V22" i="110"/>
  <c r="U22" i="110"/>
  <c r="T22" i="110"/>
  <c r="AE21" i="110"/>
  <c r="AD21" i="110"/>
  <c r="AC21" i="110"/>
  <c r="AB21" i="110"/>
  <c r="AA21" i="110"/>
  <c r="Z21" i="110"/>
  <c r="W21" i="110"/>
  <c r="V21" i="110"/>
  <c r="U21" i="110"/>
  <c r="T21" i="110"/>
  <c r="AE20" i="110"/>
  <c r="AD20" i="110"/>
  <c r="AC20" i="110"/>
  <c r="AB20" i="110"/>
  <c r="AA20" i="110"/>
  <c r="Z20" i="110"/>
  <c r="W20" i="110"/>
  <c r="V20" i="110"/>
  <c r="U20" i="110"/>
  <c r="T20" i="110"/>
  <c r="AE19" i="110"/>
  <c r="AD19" i="110"/>
  <c r="AC19" i="110"/>
  <c r="AB19" i="110"/>
  <c r="AA19" i="110"/>
  <c r="Z19" i="110"/>
  <c r="W19" i="110"/>
  <c r="V19" i="110"/>
  <c r="U19" i="110"/>
  <c r="T19" i="110"/>
  <c r="AE18" i="110"/>
  <c r="AD18" i="110"/>
  <c r="AC18" i="110"/>
  <c r="AB18" i="110"/>
  <c r="AA18" i="110"/>
  <c r="Z18" i="110"/>
  <c r="W18" i="110"/>
  <c r="V18" i="110"/>
  <c r="U18" i="110"/>
  <c r="T18" i="110"/>
  <c r="AE17" i="110"/>
  <c r="AD17" i="110"/>
  <c r="AC17" i="110"/>
  <c r="AB17" i="110"/>
  <c r="AA17" i="110"/>
  <c r="Z17" i="110"/>
  <c r="Y17" i="110" s="1"/>
  <c r="X17" i="110" s="1"/>
  <c r="W17" i="110"/>
  <c r="V17" i="110"/>
  <c r="U17" i="110"/>
  <c r="S17" i="110" s="1"/>
  <c r="R17" i="110" s="1"/>
  <c r="Q17" i="110" s="1"/>
  <c r="T17" i="110"/>
  <c r="AE16" i="110"/>
  <c r="AD16" i="110"/>
  <c r="AC16" i="110"/>
  <c r="AB16" i="110"/>
  <c r="AA16" i="110"/>
  <c r="Z16" i="110"/>
  <c r="Y16" i="110" s="1"/>
  <c r="X16" i="110" s="1"/>
  <c r="W16" i="110"/>
  <c r="V16" i="110"/>
  <c r="U16" i="110"/>
  <c r="T16" i="110"/>
  <c r="AE15" i="110"/>
  <c r="AD15" i="110"/>
  <c r="AC15" i="110"/>
  <c r="AB15" i="110"/>
  <c r="AA15" i="110"/>
  <c r="Z15" i="110"/>
  <c r="W15" i="110"/>
  <c r="V15" i="110"/>
  <c r="U15" i="110"/>
  <c r="T15" i="110"/>
  <c r="AE14" i="110"/>
  <c r="AD14" i="110"/>
  <c r="AC14" i="110"/>
  <c r="AB14" i="110"/>
  <c r="AA14" i="110"/>
  <c r="Z14" i="110"/>
  <c r="W14" i="110"/>
  <c r="V14" i="110"/>
  <c r="U14" i="110"/>
  <c r="T14" i="110"/>
  <c r="M6" i="110"/>
  <c r="AF1" i="110"/>
  <c r="M84" i="121" s="1"/>
  <c r="B1" i="110"/>
  <c r="A37" i="109"/>
  <c r="P28" i="109"/>
  <c r="H28" i="109"/>
  <c r="AE27" i="109"/>
  <c r="AD27" i="109"/>
  <c r="AC27" i="109"/>
  <c r="AB27" i="109"/>
  <c r="AA27" i="109"/>
  <c r="Z27" i="109"/>
  <c r="W27" i="109"/>
  <c r="V27" i="109"/>
  <c r="U27" i="109"/>
  <c r="T27" i="109"/>
  <c r="AE26" i="109"/>
  <c r="AD26" i="109"/>
  <c r="AC26" i="109"/>
  <c r="AB26" i="109"/>
  <c r="AA26" i="109"/>
  <c r="Z26" i="109"/>
  <c r="W26" i="109"/>
  <c r="V26" i="109"/>
  <c r="U26" i="109"/>
  <c r="T26" i="109"/>
  <c r="AE25" i="109"/>
  <c r="AD25" i="109"/>
  <c r="AC25" i="109"/>
  <c r="AB25" i="109"/>
  <c r="AA25" i="109"/>
  <c r="Z25" i="109"/>
  <c r="W25" i="109"/>
  <c r="V25" i="109"/>
  <c r="U25" i="109"/>
  <c r="T25" i="109"/>
  <c r="AE24" i="109"/>
  <c r="AD24" i="109"/>
  <c r="AC24" i="109"/>
  <c r="AB24" i="109"/>
  <c r="AA24" i="109"/>
  <c r="Z24" i="109"/>
  <c r="W24" i="109"/>
  <c r="V24" i="109"/>
  <c r="U24" i="109"/>
  <c r="T24" i="109"/>
  <c r="AE23" i="109"/>
  <c r="AD23" i="109"/>
  <c r="AC23" i="109"/>
  <c r="AB23" i="109"/>
  <c r="AA23" i="109"/>
  <c r="Z23" i="109"/>
  <c r="W23" i="109"/>
  <c r="V23" i="109"/>
  <c r="U23" i="109"/>
  <c r="T23" i="109"/>
  <c r="AE22" i="109"/>
  <c r="AD22" i="109"/>
  <c r="AC22" i="109"/>
  <c r="AB22" i="109"/>
  <c r="AA22" i="109"/>
  <c r="Z22" i="109"/>
  <c r="W22" i="109"/>
  <c r="V22" i="109"/>
  <c r="U22" i="109"/>
  <c r="T22" i="109"/>
  <c r="AE21" i="109"/>
  <c r="AD21" i="109"/>
  <c r="AC21" i="109"/>
  <c r="AB21" i="109"/>
  <c r="AA21" i="109"/>
  <c r="Z21" i="109"/>
  <c r="W21" i="109"/>
  <c r="V21" i="109"/>
  <c r="U21" i="109"/>
  <c r="T21" i="109"/>
  <c r="AE20" i="109"/>
  <c r="AD20" i="109"/>
  <c r="AC20" i="109"/>
  <c r="AB20" i="109"/>
  <c r="AA20" i="109"/>
  <c r="Z20" i="109"/>
  <c r="W20" i="109"/>
  <c r="V20" i="109"/>
  <c r="U20" i="109"/>
  <c r="T20" i="109"/>
  <c r="AE19" i="109"/>
  <c r="AD19" i="109"/>
  <c r="AC19" i="109"/>
  <c r="AB19" i="109"/>
  <c r="AA19" i="109"/>
  <c r="Z19" i="109"/>
  <c r="W19" i="109"/>
  <c r="V19" i="109"/>
  <c r="U19" i="109"/>
  <c r="T19" i="109"/>
  <c r="S19" i="109"/>
  <c r="R19" i="109" s="1"/>
  <c r="AE18" i="109"/>
  <c r="AD18" i="109"/>
  <c r="AC18" i="109"/>
  <c r="AB18" i="109"/>
  <c r="AA18" i="109"/>
  <c r="Z18" i="109"/>
  <c r="W18" i="109"/>
  <c r="V18" i="109"/>
  <c r="U18" i="109"/>
  <c r="T18" i="109"/>
  <c r="AE17" i="109"/>
  <c r="AD17" i="109"/>
  <c r="AC17" i="109"/>
  <c r="AB17" i="109"/>
  <c r="AA17" i="109"/>
  <c r="Z17" i="109"/>
  <c r="Y17" i="109" s="1"/>
  <c r="X17" i="109" s="1"/>
  <c r="W17" i="109"/>
  <c r="V17" i="109"/>
  <c r="U17" i="109"/>
  <c r="T17" i="109"/>
  <c r="AE16" i="109"/>
  <c r="AD16" i="109"/>
  <c r="AC16" i="109"/>
  <c r="AB16" i="109"/>
  <c r="AA16" i="109"/>
  <c r="Z16" i="109"/>
  <c r="W16" i="109"/>
  <c r="V16" i="109"/>
  <c r="U16" i="109"/>
  <c r="T16" i="109"/>
  <c r="S16" i="109"/>
  <c r="R16" i="109" s="1"/>
  <c r="AE15" i="109"/>
  <c r="AD15" i="109"/>
  <c r="AC15" i="109"/>
  <c r="AB15" i="109"/>
  <c r="AA15" i="109"/>
  <c r="Z15" i="109"/>
  <c r="W15" i="109"/>
  <c r="V15" i="109"/>
  <c r="U15" i="109"/>
  <c r="T15" i="109"/>
  <c r="AE14" i="109"/>
  <c r="AD14" i="109"/>
  <c r="AC14" i="109"/>
  <c r="AB14" i="109"/>
  <c r="AA14" i="109"/>
  <c r="Z14" i="109"/>
  <c r="W14" i="109"/>
  <c r="V14" i="109"/>
  <c r="U14" i="109"/>
  <c r="T14" i="109"/>
  <c r="AE13" i="109"/>
  <c r="AD13" i="109"/>
  <c r="AC13" i="109"/>
  <c r="AB13" i="109"/>
  <c r="AA13" i="109"/>
  <c r="Z13" i="109"/>
  <c r="W13" i="109"/>
  <c r="V13" i="109"/>
  <c r="U13" i="109"/>
  <c r="T13" i="109"/>
  <c r="L6" i="109"/>
  <c r="L5" i="109"/>
  <c r="AI1" i="109"/>
  <c r="B1" i="109"/>
  <c r="A39" i="43"/>
  <c r="H34" i="43"/>
  <c r="F23" i="66" s="1"/>
  <c r="W33" i="43"/>
  <c r="V33" i="43"/>
  <c r="U33" i="43"/>
  <c r="T33" i="43"/>
  <c r="W32" i="43"/>
  <c r="V32" i="43"/>
  <c r="U32" i="43"/>
  <c r="T32" i="43"/>
  <c r="W31" i="43"/>
  <c r="V31" i="43"/>
  <c r="U31" i="43"/>
  <c r="T31" i="43"/>
  <c r="W30" i="43"/>
  <c r="V30" i="43"/>
  <c r="U30" i="43"/>
  <c r="T30" i="43"/>
  <c r="W29" i="43"/>
  <c r="V29" i="43"/>
  <c r="U29" i="43"/>
  <c r="T29" i="43"/>
  <c r="W28" i="43"/>
  <c r="V28" i="43"/>
  <c r="U28" i="43"/>
  <c r="T28" i="43"/>
  <c r="W27" i="43"/>
  <c r="V27" i="43"/>
  <c r="U27" i="43"/>
  <c r="T27" i="43"/>
  <c r="H21" i="43"/>
  <c r="F145" i="68" s="1"/>
  <c r="W20" i="43"/>
  <c r="V20" i="43"/>
  <c r="U20" i="43"/>
  <c r="T20" i="43"/>
  <c r="W19" i="43"/>
  <c r="V19" i="43"/>
  <c r="U19" i="43"/>
  <c r="T19" i="43"/>
  <c r="W18" i="43"/>
  <c r="V18" i="43"/>
  <c r="U18" i="43"/>
  <c r="T18" i="43"/>
  <c r="W17" i="43"/>
  <c r="V17" i="43"/>
  <c r="U17" i="43"/>
  <c r="T17" i="43"/>
  <c r="W16" i="43"/>
  <c r="V16" i="43"/>
  <c r="U16" i="43"/>
  <c r="T16" i="43"/>
  <c r="W15" i="43"/>
  <c r="V15" i="43"/>
  <c r="U15" i="43"/>
  <c r="T15" i="43"/>
  <c r="W14" i="43"/>
  <c r="V14" i="43"/>
  <c r="U14" i="43"/>
  <c r="T14" i="43"/>
  <c r="P6" i="43"/>
  <c r="P5" i="43"/>
  <c r="Q1" i="43"/>
  <c r="B1" i="43"/>
  <c r="A38" i="42"/>
  <c r="H32" i="42"/>
  <c r="F114" i="66" s="1"/>
  <c r="F114" i="72" s="1"/>
  <c r="P8" i="42"/>
  <c r="P7" i="42"/>
  <c r="Q1" i="42"/>
  <c r="B1" i="42"/>
  <c r="A40" i="41"/>
  <c r="H35" i="41"/>
  <c r="F58" i="68" s="1"/>
  <c r="F57" i="90" s="1"/>
  <c r="H26" i="41"/>
  <c r="F24" i="66" s="1"/>
  <c r="F24" i="72" s="1"/>
  <c r="P8" i="41"/>
  <c r="P7" i="41"/>
  <c r="Q1" i="41"/>
  <c r="B1" i="41"/>
  <c r="A38" i="40"/>
  <c r="H32" i="40"/>
  <c r="F116" i="66" s="1"/>
  <c r="P8" i="40"/>
  <c r="P7" i="40"/>
  <c r="B2" i="40"/>
  <c r="Q1" i="40"/>
  <c r="B1" i="40"/>
  <c r="A38" i="39"/>
  <c r="H32" i="39"/>
  <c r="F58" i="66" s="1"/>
  <c r="F58" i="72" s="1"/>
  <c r="H26" i="39"/>
  <c r="F27" i="68" s="1"/>
  <c r="F26" i="90" s="1"/>
  <c r="P8" i="39"/>
  <c r="P7" i="39"/>
  <c r="B2" i="39"/>
  <c r="Q1" i="39"/>
  <c r="B1" i="39"/>
  <c r="A38" i="38"/>
  <c r="H32" i="38"/>
  <c r="P8" i="38"/>
  <c r="P7" i="38"/>
  <c r="Q1" i="38"/>
  <c r="B1" i="38"/>
  <c r="H31" i="37"/>
  <c r="L8" i="37"/>
  <c r="L7" i="37"/>
  <c r="R1" i="37"/>
  <c r="B1" i="37"/>
  <c r="A38" i="36"/>
  <c r="H32" i="36"/>
  <c r="R31" i="36"/>
  <c r="P31" i="36"/>
  <c r="L31" i="36"/>
  <c r="R30" i="36"/>
  <c r="P30" i="36"/>
  <c r="L30" i="36"/>
  <c r="R29" i="36"/>
  <c r="P29" i="36"/>
  <c r="L29" i="36"/>
  <c r="R28" i="36"/>
  <c r="P28" i="36"/>
  <c r="L28" i="36"/>
  <c r="R27" i="36"/>
  <c r="P27" i="36"/>
  <c r="L27" i="36"/>
  <c r="R26" i="36"/>
  <c r="P26" i="36"/>
  <c r="L26" i="36"/>
  <c r="R25" i="36"/>
  <c r="P25" i="36"/>
  <c r="L25" i="36"/>
  <c r="R24" i="36"/>
  <c r="P24" i="36"/>
  <c r="L24" i="36"/>
  <c r="R23" i="36"/>
  <c r="P23" i="36"/>
  <c r="L23" i="36"/>
  <c r="R22" i="36"/>
  <c r="P22" i="36"/>
  <c r="L22" i="36"/>
  <c r="R21" i="36"/>
  <c r="P21" i="36"/>
  <c r="L21" i="36"/>
  <c r="R20" i="36"/>
  <c r="P20" i="36"/>
  <c r="L20" i="36"/>
  <c r="R19" i="36"/>
  <c r="P19" i="36"/>
  <c r="L19" i="36"/>
  <c r="R18" i="36"/>
  <c r="P18" i="36"/>
  <c r="L18" i="36"/>
  <c r="R17" i="36"/>
  <c r="P17" i="36"/>
  <c r="L17" i="36"/>
  <c r="R16" i="36"/>
  <c r="P16" i="36"/>
  <c r="L16" i="36"/>
  <c r="R15" i="36"/>
  <c r="P15" i="36"/>
  <c r="L15" i="36"/>
  <c r="R14" i="36"/>
  <c r="P14" i="36"/>
  <c r="L14" i="36"/>
  <c r="R13" i="36"/>
  <c r="P13" i="36"/>
  <c r="L13" i="36"/>
  <c r="P12" i="36"/>
  <c r="L12" i="36"/>
  <c r="O7" i="36"/>
  <c r="O6" i="36"/>
  <c r="K2" i="36"/>
  <c r="U1" i="36"/>
  <c r="B1" i="36"/>
  <c r="F64" i="98"/>
  <c r="F63" i="98"/>
  <c r="F62" i="98"/>
  <c r="D60" i="98"/>
  <c r="B60" i="98"/>
  <c r="F60" i="98" s="1"/>
  <c r="F59" i="98"/>
  <c r="F58" i="98"/>
  <c r="F57" i="98"/>
  <c r="F56" i="98"/>
  <c r="F55" i="98"/>
  <c r="F54" i="98"/>
  <c r="F53" i="98"/>
  <c r="F52" i="98"/>
  <c r="D49" i="98"/>
  <c r="B49" i="98"/>
  <c r="F48" i="98"/>
  <c r="F46" i="98"/>
  <c r="F45" i="98"/>
  <c r="F44" i="98"/>
  <c r="F43" i="98"/>
  <c r="D39" i="98"/>
  <c r="F37" i="98"/>
  <c r="F36" i="98"/>
  <c r="F35" i="98"/>
  <c r="F33" i="98"/>
  <c r="F31" i="98"/>
  <c r="F30" i="98"/>
  <c r="F28" i="98"/>
  <c r="F27" i="98"/>
  <c r="F25" i="98"/>
  <c r="F23" i="98"/>
  <c r="F22" i="98"/>
  <c r="F21" i="98"/>
  <c r="F20" i="98"/>
  <c r="F18" i="98"/>
  <c r="F17" i="98"/>
  <c r="F8" i="98"/>
  <c r="F7" i="98"/>
  <c r="I2" i="98"/>
  <c r="A1" i="98"/>
  <c r="F81" i="35"/>
  <c r="F80" i="35"/>
  <c r="F79" i="35"/>
  <c r="F78" i="35"/>
  <c r="D76" i="35"/>
  <c r="B76" i="35"/>
  <c r="F75" i="35"/>
  <c r="F74" i="35"/>
  <c r="F73" i="35"/>
  <c r="F72" i="35"/>
  <c r="F71" i="35"/>
  <c r="F70" i="35"/>
  <c r="F69" i="35"/>
  <c r="F68" i="35"/>
  <c r="F67" i="35"/>
  <c r="F66" i="35"/>
  <c r="D62" i="35"/>
  <c r="B62" i="35"/>
  <c r="F61" i="35"/>
  <c r="F60" i="35"/>
  <c r="F58" i="35"/>
  <c r="F57" i="35"/>
  <c r="F56" i="35"/>
  <c r="F55" i="35"/>
  <c r="F54" i="35"/>
  <c r="F53" i="35"/>
  <c r="F52" i="35"/>
  <c r="F51" i="35"/>
  <c r="F50" i="35"/>
  <c r="F49" i="35"/>
  <c r="F48" i="35"/>
  <c r="F46" i="35"/>
  <c r="F44" i="35"/>
  <c r="F43" i="35"/>
  <c r="F42" i="35"/>
  <c r="F41" i="35"/>
  <c r="D34" i="35"/>
  <c r="B34" i="35"/>
  <c r="F33" i="35"/>
  <c r="F32" i="35"/>
  <c r="F31" i="35"/>
  <c r="F29" i="35"/>
  <c r="D27" i="35"/>
  <c r="B27" i="35"/>
  <c r="F26" i="35"/>
  <c r="F25" i="35"/>
  <c r="F22" i="35"/>
  <c r="D20" i="35"/>
  <c r="D36" i="35" s="1"/>
  <c r="B20" i="35"/>
  <c r="F19" i="35"/>
  <c r="F18" i="35"/>
  <c r="F8" i="35"/>
  <c r="F7" i="35"/>
  <c r="A2" i="35"/>
  <c r="A1" i="35"/>
  <c r="C33" i="118"/>
  <c r="N8" i="118"/>
  <c r="N7" i="118"/>
  <c r="U1" i="118"/>
  <c r="A1" i="118"/>
  <c r="L37" i="94"/>
  <c r="I37" i="94"/>
  <c r="J38" i="94" s="1"/>
  <c r="A43" i="94" s="1"/>
  <c r="F37" i="94"/>
  <c r="C37" i="94"/>
  <c r="L8" i="94"/>
  <c r="L7" i="94"/>
  <c r="R5" i="94"/>
  <c r="A1" i="94"/>
  <c r="L37" i="34"/>
  <c r="I37" i="34"/>
  <c r="J39" i="34" s="1"/>
  <c r="A41" i="34" s="1"/>
  <c r="F37" i="34"/>
  <c r="C37" i="34"/>
  <c r="L8" i="34"/>
  <c r="L7" i="34"/>
  <c r="R5" i="34"/>
  <c r="A1" i="34"/>
  <c r="B19" i="33"/>
  <c r="H18" i="33"/>
  <c r="I8" i="33"/>
  <c r="I7" i="33"/>
  <c r="B2" i="33"/>
  <c r="B1" i="33"/>
  <c r="F35" i="32"/>
  <c r="A26" i="32"/>
  <c r="I23" i="32"/>
  <c r="H23" i="32"/>
  <c r="G23" i="32"/>
  <c r="F23" i="32"/>
  <c r="I3" i="32"/>
  <c r="B2" i="32"/>
  <c r="B1" i="32"/>
  <c r="H47" i="31"/>
  <c r="G47" i="31"/>
  <c r="F47" i="31"/>
  <c r="E47" i="31"/>
  <c r="H45" i="31"/>
  <c r="H46" i="31" s="1"/>
  <c r="G45" i="31"/>
  <c r="G46" i="31" s="1"/>
  <c r="F45" i="31"/>
  <c r="F46" i="31" s="1"/>
  <c r="E45" i="31"/>
  <c r="E46" i="31" s="1"/>
  <c r="D45" i="31"/>
  <c r="D46" i="31" s="1"/>
  <c r="F9" i="31"/>
  <c r="F8" i="31"/>
  <c r="H5" i="31"/>
  <c r="A1" i="31"/>
  <c r="H46" i="30"/>
  <c r="G46" i="30"/>
  <c r="F46" i="30"/>
  <c r="E46" i="30"/>
  <c r="H44" i="30"/>
  <c r="G44" i="30"/>
  <c r="F44" i="30"/>
  <c r="F45" i="30" s="1"/>
  <c r="E44" i="30"/>
  <c r="D44" i="30"/>
  <c r="H43" i="30"/>
  <c r="H45" i="30" s="1"/>
  <c r="G43" i="30"/>
  <c r="F43" i="30"/>
  <c r="E43" i="30"/>
  <c r="D43" i="30"/>
  <c r="H35" i="30"/>
  <c r="G35" i="30"/>
  <c r="F35" i="30"/>
  <c r="E35" i="30"/>
  <c r="D35" i="30"/>
  <c r="F9" i="30"/>
  <c r="F8" i="30"/>
  <c r="H5" i="30"/>
  <c r="A1" i="30"/>
  <c r="H47" i="29"/>
  <c r="G47" i="29"/>
  <c r="F47" i="29"/>
  <c r="E47" i="29"/>
  <c r="H45" i="29"/>
  <c r="H46" i="29" s="1"/>
  <c r="G45" i="29"/>
  <c r="G46" i="29" s="1"/>
  <c r="F45" i="29"/>
  <c r="E45" i="29"/>
  <c r="E46" i="29" s="1"/>
  <c r="D45" i="29"/>
  <c r="D46" i="29" s="1"/>
  <c r="F46" i="29"/>
  <c r="H36" i="29"/>
  <c r="G36" i="29"/>
  <c r="F36" i="29"/>
  <c r="E36" i="29"/>
  <c r="D36" i="29"/>
  <c r="F9" i="29"/>
  <c r="F8" i="29"/>
  <c r="H5" i="29"/>
  <c r="A1" i="29"/>
  <c r="H48" i="28"/>
  <c r="G48" i="28"/>
  <c r="F48" i="28"/>
  <c r="E48" i="28"/>
  <c r="D48" i="28"/>
  <c r="H47" i="28"/>
  <c r="G47" i="28"/>
  <c r="F47" i="28"/>
  <c r="E47" i="28"/>
  <c r="D47" i="28"/>
  <c r="D49" i="28" s="1"/>
  <c r="H39" i="28"/>
  <c r="G39" i="28"/>
  <c r="F39" i="28"/>
  <c r="E39" i="28"/>
  <c r="D39" i="28"/>
  <c r="F9" i="28"/>
  <c r="F8" i="28"/>
  <c r="H5" i="28"/>
  <c r="A2" i="28"/>
  <c r="A1" i="28"/>
  <c r="G20" i="120"/>
  <c r="D20" i="120"/>
  <c r="A2" i="120"/>
  <c r="L1" i="120"/>
  <c r="A1" i="120"/>
  <c r="G21" i="119"/>
  <c r="D21" i="119"/>
  <c r="I8" i="119"/>
  <c r="I7" i="119"/>
  <c r="L1" i="119"/>
  <c r="A1" i="119"/>
  <c r="I15" i="26"/>
  <c r="I14" i="26"/>
  <c r="G8" i="26"/>
  <c r="G7" i="26"/>
  <c r="J1" i="26"/>
  <c r="A1" i="26"/>
  <c r="A20" i="25"/>
  <c r="A19" i="25"/>
  <c r="A17" i="25"/>
  <c r="A16" i="25"/>
  <c r="J8" i="25"/>
  <c r="J7" i="25"/>
  <c r="L1" i="25"/>
  <c r="A1" i="25"/>
  <c r="A51" i="24"/>
  <c r="K44" i="24"/>
  <c r="G29" i="24"/>
  <c r="J8" i="24"/>
  <c r="J7" i="24"/>
  <c r="M1" i="24"/>
  <c r="B1" i="24"/>
  <c r="G49" i="23"/>
  <c r="G39" i="23"/>
  <c r="G8" i="23"/>
  <c r="G7" i="23"/>
  <c r="H1" i="23"/>
  <c r="A1" i="23"/>
  <c r="A57" i="22"/>
  <c r="J54" i="22"/>
  <c r="I40" i="22"/>
  <c r="B40" i="22"/>
  <c r="I31" i="22"/>
  <c r="B31" i="22"/>
  <c r="H8" i="22"/>
  <c r="H7" i="22"/>
  <c r="L1" i="22"/>
  <c r="B1" i="22"/>
  <c r="I22" i="21"/>
  <c r="I27" i="21" s="1"/>
  <c r="L8" i="21"/>
  <c r="L7" i="21"/>
  <c r="A2" i="21"/>
  <c r="R1" i="21"/>
  <c r="A1" i="21"/>
  <c r="I22" i="20"/>
  <c r="I27" i="20" s="1"/>
  <c r="L8" i="20"/>
  <c r="L7" i="20"/>
  <c r="R1" i="20"/>
  <c r="A1" i="20"/>
  <c r="I31" i="19"/>
  <c r="K77" i="101" s="1"/>
  <c r="I24" i="19"/>
  <c r="I12" i="19"/>
  <c r="L8" i="19"/>
  <c r="L7" i="19"/>
  <c r="R1" i="19"/>
  <c r="A1" i="19"/>
  <c r="G12" i="95"/>
  <c r="G11" i="95"/>
  <c r="A2" i="95"/>
  <c r="J1" i="95"/>
  <c r="M67" i="121" s="1"/>
  <c r="A1" i="95"/>
  <c r="M65" i="18"/>
  <c r="M56" i="18"/>
  <c r="M58" i="18" s="1"/>
  <c r="B39" i="18"/>
  <c r="K20" i="18"/>
  <c r="B16" i="18"/>
  <c r="K8" i="18"/>
  <c r="K7" i="18"/>
  <c r="O1" i="18"/>
  <c r="B1" i="18"/>
  <c r="B72" i="17"/>
  <c r="D45" i="17"/>
  <c r="O42" i="17"/>
  <c r="O40" i="17"/>
  <c r="M40" i="17"/>
  <c r="K40" i="17"/>
  <c r="I40" i="17"/>
  <c r="G40" i="17"/>
  <c r="O37" i="17"/>
  <c r="O41" i="17" s="1"/>
  <c r="M37" i="17"/>
  <c r="K37" i="17"/>
  <c r="I37" i="17"/>
  <c r="G16" i="17"/>
  <c r="I16" i="17" s="1"/>
  <c r="K16" i="17" s="1"/>
  <c r="M16" i="17" s="1"/>
  <c r="O16" i="17" s="1"/>
  <c r="P1" i="17"/>
  <c r="C1" i="17"/>
  <c r="A111" i="115"/>
  <c r="I8" i="115"/>
  <c r="I7" i="115"/>
  <c r="L1" i="115"/>
  <c r="B1" i="115"/>
  <c r="I22" i="16"/>
  <c r="J8" i="16"/>
  <c r="J7" i="16"/>
  <c r="N1" i="16"/>
  <c r="M65" i="121" s="1"/>
  <c r="A1" i="16"/>
  <c r="A72" i="15"/>
  <c r="B54" i="15"/>
  <c r="U46" i="15"/>
  <c r="K46" i="15"/>
  <c r="I46" i="15"/>
  <c r="G46" i="15"/>
  <c r="T45" i="15"/>
  <c r="U45" i="15" s="1"/>
  <c r="T44" i="15"/>
  <c r="V44" i="15" s="1"/>
  <c r="T43" i="15"/>
  <c r="V43" i="15" s="1"/>
  <c r="T42" i="15"/>
  <c r="U42" i="15" s="1"/>
  <c r="T41" i="15"/>
  <c r="U41" i="15" s="1"/>
  <c r="T40" i="15"/>
  <c r="V40" i="15" s="1"/>
  <c r="T39" i="15"/>
  <c r="V39" i="15" s="1"/>
  <c r="T38" i="15"/>
  <c r="U38" i="15" s="1"/>
  <c r="T37" i="15"/>
  <c r="U37" i="15" s="1"/>
  <c r="T36" i="15"/>
  <c r="V36" i="15" s="1"/>
  <c r="T35" i="15"/>
  <c r="V35" i="15" s="1"/>
  <c r="T34" i="15"/>
  <c r="U34" i="15" s="1"/>
  <c r="T33" i="15"/>
  <c r="U33" i="15" s="1"/>
  <c r="E33" i="15"/>
  <c r="E34" i="15" s="1"/>
  <c r="D33" i="15"/>
  <c r="A19" i="15"/>
  <c r="A17" i="15"/>
  <c r="A15" i="15"/>
  <c r="I10" i="15"/>
  <c r="I9" i="15"/>
  <c r="S1" i="15"/>
  <c r="B1" i="15"/>
  <c r="A75" i="14"/>
  <c r="B52" i="14"/>
  <c r="S46" i="14"/>
  <c r="I46" i="14"/>
  <c r="G46" i="14"/>
  <c r="R45" i="14"/>
  <c r="T45" i="14" s="1"/>
  <c r="R44" i="14"/>
  <c r="S44" i="14" s="1"/>
  <c r="R43" i="14"/>
  <c r="T43" i="14" s="1"/>
  <c r="R42" i="14"/>
  <c r="T42" i="14" s="1"/>
  <c r="R41" i="14"/>
  <c r="T41" i="14" s="1"/>
  <c r="R40" i="14"/>
  <c r="S40" i="14" s="1"/>
  <c r="R39" i="14"/>
  <c r="T39" i="14" s="1"/>
  <c r="R38" i="14"/>
  <c r="S38" i="14" s="1"/>
  <c r="R37" i="14"/>
  <c r="S37" i="14" s="1"/>
  <c r="R36" i="14"/>
  <c r="S36" i="14" s="1"/>
  <c r="R35" i="14"/>
  <c r="T35" i="14" s="1"/>
  <c r="R34" i="14"/>
  <c r="T34" i="14" s="1"/>
  <c r="R33" i="14"/>
  <c r="S33" i="14" s="1"/>
  <c r="E33" i="14"/>
  <c r="D33" i="14" s="1"/>
  <c r="A23" i="14"/>
  <c r="A19" i="14"/>
  <c r="A17" i="14"/>
  <c r="A15" i="14"/>
  <c r="I10" i="14"/>
  <c r="I9" i="14"/>
  <c r="Q1" i="14"/>
  <c r="B1" i="14"/>
  <c r="A49" i="13"/>
  <c r="M13" i="13"/>
  <c r="E13" i="13"/>
  <c r="K9" i="13"/>
  <c r="K8" i="13"/>
  <c r="P1" i="13"/>
  <c r="B1" i="13"/>
  <c r="A47" i="12"/>
  <c r="I7" i="82"/>
  <c r="M13" i="12"/>
  <c r="E13" i="12"/>
  <c r="K9" i="12"/>
  <c r="K8" i="12"/>
  <c r="P1" i="12"/>
  <c r="M64" i="121" s="1"/>
  <c r="B1" i="12"/>
  <c r="D8" i="10"/>
  <c r="D7" i="10"/>
  <c r="B2" i="10"/>
  <c r="H1" i="10"/>
  <c r="B1" i="10"/>
  <c r="M55" i="9"/>
  <c r="M42" i="9"/>
  <c r="J8" i="9"/>
  <c r="J7" i="9"/>
  <c r="N1" i="9"/>
  <c r="A1" i="9"/>
  <c r="A38" i="8"/>
  <c r="I35" i="8"/>
  <c r="G219" i="66"/>
  <c r="Q22" i="8"/>
  <c r="Q21" i="8"/>
  <c r="V16" i="8"/>
  <c r="O16" i="8"/>
  <c r="Q16" i="8" s="1"/>
  <c r="Q14" i="8"/>
  <c r="G14" i="8"/>
  <c r="I8" i="8"/>
  <c r="I7" i="8"/>
  <c r="B2" i="8"/>
  <c r="R1" i="8"/>
  <c r="B1" i="8"/>
  <c r="T44" i="113"/>
  <c r="T25" i="113"/>
  <c r="T15" i="113"/>
  <c r="N10" i="113"/>
  <c r="N9" i="113"/>
  <c r="C2" i="113"/>
  <c r="T1" i="113"/>
  <c r="C1" i="113"/>
  <c r="T72" i="112"/>
  <c r="T69" i="112"/>
  <c r="O63" i="112"/>
  <c r="T57" i="112"/>
  <c r="O55" i="112"/>
  <c r="T49" i="112"/>
  <c r="T47" i="112"/>
  <c r="T44" i="112"/>
  <c r="T41" i="112"/>
  <c r="M41" i="112"/>
  <c r="O34" i="112"/>
  <c r="T32" i="112"/>
  <c r="T28" i="112"/>
  <c r="T26" i="112"/>
  <c r="T23" i="112"/>
  <c r="T18" i="112"/>
  <c r="T14" i="112"/>
  <c r="O10" i="112"/>
  <c r="O9" i="112"/>
  <c r="B2" i="112"/>
  <c r="T1" i="112"/>
  <c r="M32" i="121" s="1"/>
  <c r="B1" i="112"/>
  <c r="A56" i="5"/>
  <c r="W45" i="5"/>
  <c r="F45" i="5" s="1"/>
  <c r="S44" i="5"/>
  <c r="E44" i="5"/>
  <c r="T32" i="5"/>
  <c r="T31" i="5"/>
  <c r="AA19" i="5"/>
  <c r="T16" i="5"/>
  <c r="D16" i="5"/>
  <c r="N9" i="5"/>
  <c r="N8" i="5"/>
  <c r="B2" i="5"/>
  <c r="U1" i="5"/>
  <c r="B1" i="5"/>
  <c r="A79" i="97"/>
  <c r="F31" i="97"/>
  <c r="H8" i="97"/>
  <c r="H7" i="97"/>
  <c r="B2" i="97"/>
  <c r="B1" i="97"/>
  <c r="A47" i="89"/>
  <c r="F23" i="89"/>
  <c r="B1" i="89"/>
  <c r="I8" i="4"/>
  <c r="I7" i="4"/>
  <c r="K1" i="4"/>
  <c r="B1" i="4"/>
  <c r="A72" i="3"/>
  <c r="N68" i="3"/>
  <c r="N63" i="3"/>
  <c r="N59" i="3"/>
  <c r="N53" i="3"/>
  <c r="N51" i="3"/>
  <c r="N25" i="3"/>
  <c r="N17" i="3"/>
  <c r="I8" i="3"/>
  <c r="I7" i="3"/>
  <c r="B2" i="3"/>
  <c r="M1" i="3"/>
  <c r="B1" i="3"/>
  <c r="D117" i="2"/>
  <c r="D116" i="2"/>
  <c r="D115" i="2"/>
  <c r="D114" i="2"/>
  <c r="D113" i="2"/>
  <c r="D112" i="2"/>
  <c r="D110" i="2"/>
  <c r="D104" i="2"/>
  <c r="D101" i="2"/>
  <c r="D99" i="2"/>
  <c r="D98" i="2"/>
  <c r="D97" i="2"/>
  <c r="D96" i="2"/>
  <c r="D95" i="2"/>
  <c r="D94" i="2"/>
  <c r="D93" i="2"/>
  <c r="D92" i="2"/>
  <c r="D91" i="2"/>
  <c r="D90" i="2"/>
  <c r="D88" i="2"/>
  <c r="D87" i="2"/>
  <c r="D86" i="2"/>
  <c r="D85" i="2"/>
  <c r="D84" i="2"/>
  <c r="D83" i="2"/>
  <c r="D82" i="2"/>
  <c r="D80" i="2"/>
  <c r="D79" i="2"/>
  <c r="D72" i="2"/>
  <c r="D71" i="2"/>
  <c r="D70" i="2"/>
  <c r="D69" i="2"/>
  <c r="D68" i="2"/>
  <c r="D67" i="2"/>
  <c r="D66" i="2"/>
  <c r="D65" i="2"/>
  <c r="D64" i="2"/>
  <c r="D63" i="2"/>
  <c r="D61" i="2"/>
  <c r="D60" i="2"/>
  <c r="D58" i="2"/>
  <c r="D57" i="2"/>
  <c r="D56" i="2"/>
  <c r="D55" i="2"/>
  <c r="D54" i="2"/>
  <c r="D49" i="2"/>
  <c r="D48" i="2"/>
  <c r="D47" i="2"/>
  <c r="D46" i="2"/>
  <c r="D41" i="2"/>
  <c r="D40" i="2"/>
  <c r="D39" i="2"/>
  <c r="D38" i="2"/>
  <c r="D35" i="2"/>
  <c r="D34" i="2"/>
  <c r="D33" i="2"/>
  <c r="D32" i="2"/>
  <c r="D31" i="2"/>
  <c r="D30" i="2"/>
  <c r="D27" i="2"/>
  <c r="D26" i="2"/>
  <c r="D25" i="2"/>
  <c r="D24" i="2"/>
  <c r="D21" i="2"/>
  <c r="D20" i="2"/>
  <c r="D19" i="2"/>
  <c r="D18" i="2"/>
  <c r="K14" i="2"/>
  <c r="K13" i="2"/>
  <c r="K12" i="2"/>
  <c r="E10" i="2"/>
  <c r="D6" i="126" s="1"/>
  <c r="B2" i="85"/>
  <c r="B4" i="1"/>
  <c r="F115" i="90" l="1"/>
  <c r="T116" i="68"/>
  <c r="F144" i="90"/>
  <c r="T145" i="68"/>
  <c r="T26" i="82"/>
  <c r="R26" i="82" s="1"/>
  <c r="C6" i="125"/>
  <c r="L5" i="123"/>
  <c r="N5" i="122"/>
  <c r="O5" i="11"/>
  <c r="F25" i="66"/>
  <c r="F25" i="72" s="1"/>
  <c r="AI38" i="80"/>
  <c r="R20" i="82"/>
  <c r="D20" i="82" s="1"/>
  <c r="B20" i="82" s="1"/>
  <c r="R22" i="82"/>
  <c r="Y20" i="109"/>
  <c r="X20" i="109" s="1"/>
  <c r="S22" i="109"/>
  <c r="R22" i="109" s="1"/>
  <c r="Y27" i="109"/>
  <c r="X27" i="109" s="1"/>
  <c r="Y31" i="110"/>
  <c r="X31" i="110" s="1"/>
  <c r="Q12" i="46"/>
  <c r="P12" i="46" s="1"/>
  <c r="J24" i="88"/>
  <c r="Z23" i="108"/>
  <c r="Y23" i="108" s="1"/>
  <c r="S24" i="59"/>
  <c r="R24" i="59" s="1"/>
  <c r="H65" i="92"/>
  <c r="M66" i="121"/>
  <c r="F27" i="35"/>
  <c r="Y25" i="109"/>
  <c r="X25" i="109" s="1"/>
  <c r="S14" i="110"/>
  <c r="R14" i="110" s="1"/>
  <c r="J18" i="88"/>
  <c r="V42" i="15"/>
  <c r="V32" i="15" s="1"/>
  <c r="Z27" i="108"/>
  <c r="Y27" i="108" s="1"/>
  <c r="L87" i="55"/>
  <c r="S41" i="14"/>
  <c r="F62" i="35"/>
  <c r="S24" i="109"/>
  <c r="R24" i="109" s="1"/>
  <c r="Y20" i="110"/>
  <c r="X20" i="110" s="1"/>
  <c r="S22" i="110"/>
  <c r="R22" i="110" s="1"/>
  <c r="U24" i="57"/>
  <c r="L76" i="88"/>
  <c r="D72" i="74"/>
  <c r="Z19" i="108"/>
  <c r="Y19" i="108" s="1"/>
  <c r="E45" i="30"/>
  <c r="F20" i="35"/>
  <c r="Y22" i="109"/>
  <c r="X22" i="109" s="1"/>
  <c r="T23" i="108"/>
  <c r="S23" i="108" s="1"/>
  <c r="D77" i="92"/>
  <c r="M37" i="59"/>
  <c r="J36" i="88"/>
  <c r="F49" i="28"/>
  <c r="Y19" i="109"/>
  <c r="X19" i="109" s="1"/>
  <c r="Y14" i="110"/>
  <c r="X14" i="110" s="1"/>
  <c r="T29" i="52"/>
  <c r="T31" i="52" s="1"/>
  <c r="J27" i="88"/>
  <c r="J38" i="88"/>
  <c r="D53" i="74"/>
  <c r="D77" i="74"/>
  <c r="Y15" i="110"/>
  <c r="X15" i="110" s="1"/>
  <c r="Y23" i="110"/>
  <c r="X23" i="110" s="1"/>
  <c r="T37" i="14"/>
  <c r="K41" i="17"/>
  <c r="G49" i="28"/>
  <c r="G45" i="30"/>
  <c r="Y22" i="110"/>
  <c r="X22" i="110" s="1"/>
  <c r="T16" i="108"/>
  <c r="S16" i="108" s="1"/>
  <c r="Z18" i="108"/>
  <c r="Y18" i="108" s="1"/>
  <c r="T24" i="108"/>
  <c r="S24" i="108" s="1"/>
  <c r="T28" i="108"/>
  <c r="S28" i="108" s="1"/>
  <c r="E25" i="49"/>
  <c r="J76" i="87"/>
  <c r="J84" i="87" s="1"/>
  <c r="J16" i="88"/>
  <c r="J31" i="88"/>
  <c r="J35" i="88"/>
  <c r="J43" i="88"/>
  <c r="J47" i="88"/>
  <c r="J69" i="88"/>
  <c r="J71" i="88" s="1"/>
  <c r="R42" i="82"/>
  <c r="A49" i="122"/>
  <c r="A35" i="122"/>
  <c r="A25" i="122"/>
  <c r="A14" i="122"/>
  <c r="A7" i="122"/>
  <c r="A2" i="122"/>
  <c r="A45" i="122"/>
  <c r="A42" i="122"/>
  <c r="A34" i="122"/>
  <c r="A24" i="122"/>
  <c r="A13" i="122"/>
  <c r="A43" i="122"/>
  <c r="A41" i="122"/>
  <c r="A33" i="122"/>
  <c r="A23" i="122"/>
  <c r="A11" i="122"/>
  <c r="A6" i="122"/>
  <c r="A40" i="122"/>
  <c r="A32" i="122"/>
  <c r="A22" i="122"/>
  <c r="A10" i="122"/>
  <c r="S26" i="122"/>
  <c r="S27" i="122" s="1"/>
  <c r="A1" i="122"/>
  <c r="A4" i="122"/>
  <c r="A37" i="122"/>
  <c r="A29" i="122"/>
  <c r="A16" i="122"/>
  <c r="A8" i="122"/>
  <c r="A3" i="122"/>
  <c r="A39" i="122"/>
  <c r="A31" i="122"/>
  <c r="A21" i="122"/>
  <c r="A9" i="122"/>
  <c r="A5" i="122"/>
  <c r="A38" i="122"/>
  <c r="A30" i="122"/>
  <c r="A20" i="122"/>
  <c r="A36" i="122"/>
  <c r="A28" i="122"/>
  <c r="A27" i="122"/>
  <c r="A26" i="122"/>
  <c r="A15" i="122"/>
  <c r="R19" i="82"/>
  <c r="M39" i="34"/>
  <c r="S16" i="110"/>
  <c r="R16" i="110" s="1"/>
  <c r="Q16" i="110" s="1"/>
  <c r="S19" i="110"/>
  <c r="R19" i="110" s="1"/>
  <c r="S23" i="110"/>
  <c r="R23" i="110" s="1"/>
  <c r="Q23" i="110" s="1"/>
  <c r="Y30" i="110"/>
  <c r="X30" i="110" s="1"/>
  <c r="Z16" i="108"/>
  <c r="Y16" i="108" s="1"/>
  <c r="T21" i="108"/>
  <c r="S21" i="108" s="1"/>
  <c r="Q16" i="46"/>
  <c r="P16" i="46" s="1"/>
  <c r="O16" i="46" s="1"/>
  <c r="Q23" i="46"/>
  <c r="P23" i="46" s="1"/>
  <c r="O23" i="46" s="1"/>
  <c r="Q24" i="46"/>
  <c r="P24" i="46" s="1"/>
  <c r="O24" i="46" s="1"/>
  <c r="Q25" i="46"/>
  <c r="P25" i="46" s="1"/>
  <c r="O25" i="46" s="1"/>
  <c r="T37" i="57"/>
  <c r="K37" i="59"/>
  <c r="J225" i="68"/>
  <c r="J248" i="68" s="1"/>
  <c r="J256" i="68" s="1"/>
  <c r="R225" i="68"/>
  <c r="J76" i="69"/>
  <c r="J21" i="88"/>
  <c r="J73" i="88"/>
  <c r="D68" i="74"/>
  <c r="D78" i="74" s="1"/>
  <c r="D85" i="92"/>
  <c r="Y74" i="101"/>
  <c r="X74" i="101"/>
  <c r="L67" i="88"/>
  <c r="L77" i="88" s="1"/>
  <c r="M83" i="121"/>
  <c r="Y13" i="109"/>
  <c r="X13" i="109" s="1"/>
  <c r="Y16" i="109"/>
  <c r="X16" i="109" s="1"/>
  <c r="Q16" i="109" s="1"/>
  <c r="S20" i="110"/>
  <c r="R20" i="110" s="1"/>
  <c r="Q20" i="110" s="1"/>
  <c r="AD33" i="110"/>
  <c r="Y24" i="110"/>
  <c r="X24" i="110" s="1"/>
  <c r="Z14" i="108"/>
  <c r="Y14" i="108" s="1"/>
  <c r="T19" i="108"/>
  <c r="S19" i="108" s="1"/>
  <c r="Q22" i="46"/>
  <c r="P22" i="46" s="1"/>
  <c r="O22" i="46" s="1"/>
  <c r="V38" i="15"/>
  <c r="F76" i="35"/>
  <c r="D66" i="98"/>
  <c r="S18" i="109"/>
  <c r="R18" i="109" s="1"/>
  <c r="S21" i="109"/>
  <c r="R21" i="109" s="1"/>
  <c r="Y23" i="109"/>
  <c r="X23" i="109" s="1"/>
  <c r="Y26" i="109"/>
  <c r="X26" i="109" s="1"/>
  <c r="S27" i="109"/>
  <c r="R27" i="109" s="1"/>
  <c r="Q27" i="109" s="1"/>
  <c r="S32" i="110"/>
  <c r="R32" i="110" s="1"/>
  <c r="Z17" i="108"/>
  <c r="Y17" i="108" s="1"/>
  <c r="Z20" i="108"/>
  <c r="Y20" i="108" s="1"/>
  <c r="T22" i="108"/>
  <c r="S22" i="108" s="1"/>
  <c r="T25" i="108"/>
  <c r="S25" i="108" s="1"/>
  <c r="Q45" i="56"/>
  <c r="J58" i="69"/>
  <c r="J29" i="88"/>
  <c r="H20" i="74"/>
  <c r="D53" i="92"/>
  <c r="K58" i="85"/>
  <c r="K76" i="85"/>
  <c r="K84" i="85" s="1"/>
  <c r="K87" i="85" s="1"/>
  <c r="A42" i="11"/>
  <c r="A34" i="11"/>
  <c r="A25" i="11"/>
  <c r="A15" i="11"/>
  <c r="A22" i="11"/>
  <c r="A9" i="11"/>
  <c r="A5" i="11"/>
  <c r="A30" i="11"/>
  <c r="A29" i="11"/>
  <c r="A41" i="11"/>
  <c r="A33" i="11"/>
  <c r="A24" i="11"/>
  <c r="A11" i="11"/>
  <c r="A6" i="11"/>
  <c r="A28" i="11"/>
  <c r="A8" i="11"/>
  <c r="A44" i="11"/>
  <c r="A27" i="11"/>
  <c r="A17" i="11"/>
  <c r="A43" i="11"/>
  <c r="A35" i="11"/>
  <c r="A26" i="11"/>
  <c r="A16" i="11"/>
  <c r="A7" i="11"/>
  <c r="A2" i="11"/>
  <c r="A40" i="11"/>
  <c r="A32" i="11"/>
  <c r="A23" i="11"/>
  <c r="A10" i="11"/>
  <c r="A1" i="11"/>
  <c r="A31" i="11"/>
  <c r="A19" i="11"/>
  <c r="A4" i="11"/>
  <c r="A18" i="11"/>
  <c r="A3" i="11"/>
  <c r="A36" i="11"/>
  <c r="A39" i="11"/>
  <c r="A38" i="11"/>
  <c r="A37" i="11"/>
  <c r="A50" i="11"/>
  <c r="A46" i="11"/>
  <c r="C6" i="120"/>
  <c r="S34" i="14"/>
  <c r="S45" i="14"/>
  <c r="S31" i="43"/>
  <c r="R31" i="43" s="1"/>
  <c r="Q31" i="43" s="1"/>
  <c r="P29" i="109"/>
  <c r="M29" i="109" s="1"/>
  <c r="S21" i="110"/>
  <c r="R21" i="110" s="1"/>
  <c r="Z24" i="108"/>
  <c r="Y24" i="108" s="1"/>
  <c r="Q19" i="46"/>
  <c r="P19" i="46" s="1"/>
  <c r="O19" i="46" s="1"/>
  <c r="Q20" i="46"/>
  <c r="P20" i="46" s="1"/>
  <c r="O20" i="46" s="1"/>
  <c r="Q27" i="46"/>
  <c r="P27" i="46" s="1"/>
  <c r="O27" i="46" s="1"/>
  <c r="Q28" i="46"/>
  <c r="P28" i="46" s="1"/>
  <c r="O28" i="46" s="1"/>
  <c r="U28" i="57"/>
  <c r="Q35" i="59"/>
  <c r="X73" i="101"/>
  <c r="W73" i="101" s="1"/>
  <c r="Q19" i="109"/>
  <c r="V34" i="15"/>
  <c r="V45" i="15"/>
  <c r="D45" i="30"/>
  <c r="Y15" i="109"/>
  <c r="X15" i="109" s="1"/>
  <c r="Y18" i="109"/>
  <c r="X18" i="109" s="1"/>
  <c r="S18" i="110"/>
  <c r="R18" i="110" s="1"/>
  <c r="S24" i="110"/>
  <c r="R24" i="110" s="1"/>
  <c r="Y25" i="110"/>
  <c r="X25" i="110" s="1"/>
  <c r="Y28" i="110"/>
  <c r="X28" i="110" s="1"/>
  <c r="Y29" i="110"/>
  <c r="X29" i="110" s="1"/>
  <c r="S30" i="110"/>
  <c r="R30" i="110" s="1"/>
  <c r="Y32" i="110"/>
  <c r="X32" i="110" s="1"/>
  <c r="AE29" i="108"/>
  <c r="Z22" i="108"/>
  <c r="Y22" i="108" s="1"/>
  <c r="T27" i="108"/>
  <c r="S27" i="108" s="1"/>
  <c r="W29" i="46"/>
  <c r="H37" i="82" s="1"/>
  <c r="R37" i="82" s="1"/>
  <c r="Q26" i="46"/>
  <c r="P26" i="46" s="1"/>
  <c r="O26" i="46" s="1"/>
  <c r="T36" i="57"/>
  <c r="T27" i="59"/>
  <c r="S33" i="59"/>
  <c r="R33" i="59" s="1"/>
  <c r="U40" i="101"/>
  <c r="Y67" i="101"/>
  <c r="J58" i="87"/>
  <c r="J30" i="88"/>
  <c r="J34" i="88"/>
  <c r="R14" i="82"/>
  <c r="D14" i="82" s="1"/>
  <c r="B14" i="82" s="1"/>
  <c r="F49" i="98"/>
  <c r="V41" i="15"/>
  <c r="Y77" i="101"/>
  <c r="X77" i="101"/>
  <c r="E49" i="28"/>
  <c r="H49" i="28"/>
  <c r="F34" i="35"/>
  <c r="D83" i="35"/>
  <c r="S13" i="109"/>
  <c r="R13" i="109" s="1"/>
  <c r="Q13" i="109" s="1"/>
  <c r="S17" i="109"/>
  <c r="R17" i="109" s="1"/>
  <c r="Q17" i="109" s="1"/>
  <c r="Y24" i="109"/>
  <c r="X24" i="109" s="1"/>
  <c r="AE33" i="110"/>
  <c r="S27" i="110"/>
  <c r="R27" i="110" s="1"/>
  <c r="S31" i="110"/>
  <c r="R31" i="110" s="1"/>
  <c r="Q31" i="110" s="1"/>
  <c r="AF29" i="108"/>
  <c r="T17" i="108"/>
  <c r="S17" i="108" s="1"/>
  <c r="Z28" i="108"/>
  <c r="Y28" i="108" s="1"/>
  <c r="L66" i="55"/>
  <c r="G37" i="59"/>
  <c r="U41" i="101"/>
  <c r="J13" i="88"/>
  <c r="J49" i="88"/>
  <c r="J65" i="88"/>
  <c r="J75" i="88"/>
  <c r="J87" i="88"/>
  <c r="H18" i="74"/>
  <c r="H22" i="74"/>
  <c r="H26" i="74"/>
  <c r="J26" i="74" s="1"/>
  <c r="Q22" i="109"/>
  <c r="Q35" i="56"/>
  <c r="S23" i="109"/>
  <c r="R23" i="109" s="1"/>
  <c r="S26" i="109"/>
  <c r="R26" i="109" s="1"/>
  <c r="Q26" i="109" s="1"/>
  <c r="T15" i="108"/>
  <c r="S15" i="108" s="1"/>
  <c r="T18" i="108"/>
  <c r="S18" i="108" s="1"/>
  <c r="Z26" i="108"/>
  <c r="Y26" i="108" s="1"/>
  <c r="Q15" i="46"/>
  <c r="P15" i="46" s="1"/>
  <c r="O15" i="46" s="1"/>
  <c r="D85" i="74"/>
  <c r="D41" i="92"/>
  <c r="D60" i="92" s="1"/>
  <c r="Y14" i="109"/>
  <c r="X14" i="109" s="1"/>
  <c r="Q14" i="109" s="1"/>
  <c r="R11" i="82"/>
  <c r="F124" i="72"/>
  <c r="G124" i="66"/>
  <c r="T127" i="68"/>
  <c r="G127" i="68"/>
  <c r="J20" i="74"/>
  <c r="C40" i="94"/>
  <c r="A41" i="64"/>
  <c r="A40" i="64"/>
  <c r="A42" i="64"/>
  <c r="N29" i="77"/>
  <c r="N41" i="77"/>
  <c r="N73" i="77"/>
  <c r="N3" i="77"/>
  <c r="N42" i="77"/>
  <c r="N34" i="77"/>
  <c r="N43" i="77"/>
  <c r="N75" i="77"/>
  <c r="N35" i="77"/>
  <c r="N44" i="77"/>
  <c r="N76" i="77"/>
  <c r="N19" i="77"/>
  <c r="N27" i="77"/>
  <c r="N31" i="77"/>
  <c r="N36" i="77"/>
  <c r="N77" i="77"/>
  <c r="N70" i="77"/>
  <c r="N12" i="77"/>
  <c r="N28" i="77"/>
  <c r="N32" i="77"/>
  <c r="N38" i="77"/>
  <c r="N55" i="77"/>
  <c r="N71" i="77"/>
  <c r="N40" i="77"/>
  <c r="N56" i="77"/>
  <c r="N72" i="77"/>
  <c r="A26" i="77"/>
  <c r="S30" i="43"/>
  <c r="R30" i="43" s="1"/>
  <c r="Q30" i="43" s="1"/>
  <c r="S14" i="43"/>
  <c r="R14" i="43" s="1"/>
  <c r="Q14" i="43" s="1"/>
  <c r="M98" i="121"/>
  <c r="M96" i="121"/>
  <c r="M95" i="121"/>
  <c r="M94" i="121"/>
  <c r="M93" i="121"/>
  <c r="M78" i="121"/>
  <c r="M79" i="121"/>
  <c r="M77" i="121"/>
  <c r="M76" i="121"/>
  <c r="M75" i="121"/>
  <c r="M74" i="121"/>
  <c r="M45" i="121"/>
  <c r="M44" i="121"/>
  <c r="M46" i="121"/>
  <c r="M48" i="121"/>
  <c r="M50" i="121"/>
  <c r="M47" i="121"/>
  <c r="M49" i="121"/>
  <c r="M41" i="121"/>
  <c r="M40" i="121"/>
  <c r="M36" i="121"/>
  <c r="M43" i="121"/>
  <c r="M39" i="121"/>
  <c r="M35" i="121"/>
  <c r="M31" i="121"/>
  <c r="M34" i="121"/>
  <c r="M30" i="121"/>
  <c r="M37" i="121"/>
  <c r="M33" i="121"/>
  <c r="M29" i="121"/>
  <c r="M38" i="121"/>
  <c r="M42" i="121"/>
  <c r="M58" i="64"/>
  <c r="AH192" i="80"/>
  <c r="H86" i="80"/>
  <c r="H88" i="80" s="1"/>
  <c r="P86" i="80"/>
  <c r="P88" i="80" s="1"/>
  <c r="J225" i="80"/>
  <c r="J248" i="80" s="1"/>
  <c r="R225" i="80"/>
  <c r="R248" i="80" s="1"/>
  <c r="R256" i="80" s="1"/>
  <c r="R259" i="80" s="1"/>
  <c r="C19" i="79" s="1"/>
  <c r="Z225" i="80"/>
  <c r="Z248" i="80" s="1"/>
  <c r="Z256" i="80" s="1"/>
  <c r="Z259" i="80" s="1"/>
  <c r="F225" i="80"/>
  <c r="F248" i="80" s="1"/>
  <c r="F256" i="80" s="1"/>
  <c r="N225" i="80"/>
  <c r="N248" i="80" s="1"/>
  <c r="N256" i="80" s="1"/>
  <c r="N259" i="80" s="1"/>
  <c r="C14" i="79" s="1"/>
  <c r="P257" i="68" s="1"/>
  <c r="V225" i="80"/>
  <c r="V248" i="80" s="1"/>
  <c r="V256" i="80" s="1"/>
  <c r="V259" i="80" s="1"/>
  <c r="AD225" i="80"/>
  <c r="AD248" i="80" s="1"/>
  <c r="AD256" i="80" s="1"/>
  <c r="AD259" i="80" s="1"/>
  <c r="E225" i="80"/>
  <c r="E248" i="80" s="1"/>
  <c r="M225" i="80"/>
  <c r="M248" i="80" s="1"/>
  <c r="M256" i="80" s="1"/>
  <c r="M259" i="80" s="1"/>
  <c r="C13" i="79" s="1"/>
  <c r="O257" i="68" s="1"/>
  <c r="U225" i="80"/>
  <c r="U248" i="80" s="1"/>
  <c r="U256" i="80" s="1"/>
  <c r="U259" i="80" s="1"/>
  <c r="C22" i="79" s="1"/>
  <c r="AC225" i="80"/>
  <c r="AC248" i="80" s="1"/>
  <c r="AC256" i="80" s="1"/>
  <c r="AC259" i="80" s="1"/>
  <c r="C30" i="79" s="1"/>
  <c r="I86" i="80"/>
  <c r="I88" i="80" s="1"/>
  <c r="Q86" i="80"/>
  <c r="Q88" i="80" s="1"/>
  <c r="Y86" i="80"/>
  <c r="Y88" i="80" s="1"/>
  <c r="AG86" i="80"/>
  <c r="AG88" i="80" s="1"/>
  <c r="L165" i="80"/>
  <c r="T165" i="80"/>
  <c r="AB165" i="80"/>
  <c r="K86" i="80"/>
  <c r="K88" i="80" s="1"/>
  <c r="S86" i="80"/>
  <c r="S88" i="80" s="1"/>
  <c r="AA86" i="80"/>
  <c r="AA88" i="80" s="1"/>
  <c r="V86" i="80"/>
  <c r="V88" i="80" s="1"/>
  <c r="E86" i="80"/>
  <c r="E88" i="80" s="1"/>
  <c r="M86" i="80"/>
  <c r="M88" i="80" s="1"/>
  <c r="U86" i="80"/>
  <c r="U88" i="80" s="1"/>
  <c r="AC86" i="80"/>
  <c r="AC88" i="80" s="1"/>
  <c r="Q225" i="80"/>
  <c r="Q248" i="80" s="1"/>
  <c r="Q256" i="80" s="1"/>
  <c r="Q259" i="80" s="1"/>
  <c r="C18" i="79" s="1"/>
  <c r="Y225" i="80"/>
  <c r="Y248" i="80" s="1"/>
  <c r="Y256" i="80" s="1"/>
  <c r="Y259" i="80" s="1"/>
  <c r="C26" i="79" s="1"/>
  <c r="AG225" i="80"/>
  <c r="AG248" i="80" s="1"/>
  <c r="AG256" i="80" s="1"/>
  <c r="AG259" i="80" s="1"/>
  <c r="C34" i="79" s="1"/>
  <c r="AE165" i="80"/>
  <c r="K225" i="80"/>
  <c r="K248" i="80" s="1"/>
  <c r="K256" i="80" s="1"/>
  <c r="S225" i="80"/>
  <c r="S248" i="80" s="1"/>
  <c r="S256" i="80" s="1"/>
  <c r="S259" i="80" s="1"/>
  <c r="C20" i="79" s="1"/>
  <c r="AA225" i="80"/>
  <c r="AA248" i="80" s="1"/>
  <c r="AA256" i="80" s="1"/>
  <c r="AA259" i="80" s="1"/>
  <c r="C28" i="79" s="1"/>
  <c r="K165" i="80"/>
  <c r="S165" i="80"/>
  <c r="AA165" i="80"/>
  <c r="J165" i="80"/>
  <c r="R165" i="80"/>
  <c r="Z165" i="80"/>
  <c r="AI224" i="80"/>
  <c r="D247" i="80"/>
  <c r="X86" i="80"/>
  <c r="X88" i="80" s="1"/>
  <c r="AF86" i="80"/>
  <c r="AF88" i="80" s="1"/>
  <c r="G225" i="80"/>
  <c r="G248" i="80" s="1"/>
  <c r="O225" i="80"/>
  <c r="O248" i="80" s="1"/>
  <c r="O256" i="80" s="1"/>
  <c r="O259" i="80" s="1"/>
  <c r="C16" i="79" s="1"/>
  <c r="W225" i="80"/>
  <c r="W248" i="80" s="1"/>
  <c r="W256" i="80" s="1"/>
  <c r="W259" i="80" s="1"/>
  <c r="C24" i="79" s="1"/>
  <c r="AE225" i="80"/>
  <c r="AE248" i="80" s="1"/>
  <c r="I225" i="80"/>
  <c r="I248" i="80" s="1"/>
  <c r="D38" i="80"/>
  <c r="F86" i="80"/>
  <c r="F88" i="80" s="1"/>
  <c r="N86" i="80"/>
  <c r="N88" i="80" s="1"/>
  <c r="AD86" i="80"/>
  <c r="AD88" i="80" s="1"/>
  <c r="O165" i="80"/>
  <c r="W165" i="80"/>
  <c r="D327" i="80"/>
  <c r="H165" i="80"/>
  <c r="P165" i="80"/>
  <c r="X165" i="80"/>
  <c r="AF165" i="80"/>
  <c r="D178" i="80"/>
  <c r="L225" i="80"/>
  <c r="L248" i="80" s="1"/>
  <c r="L256" i="80" s="1"/>
  <c r="L259" i="80" s="1"/>
  <c r="C12" i="79" s="1"/>
  <c r="Q257" i="68" s="1"/>
  <c r="T225" i="80"/>
  <c r="T248" i="80" s="1"/>
  <c r="T256" i="80" s="1"/>
  <c r="T259" i="80" s="1"/>
  <c r="C21" i="79" s="1"/>
  <c r="AB225" i="80"/>
  <c r="AB248" i="80" s="1"/>
  <c r="AB256" i="80" s="1"/>
  <c r="AB259" i="80" s="1"/>
  <c r="C29" i="79" s="1"/>
  <c r="J86" i="80"/>
  <c r="J88" i="80" s="1"/>
  <c r="R86" i="80"/>
  <c r="R88" i="80" s="1"/>
  <c r="Z86" i="80"/>
  <c r="Z88" i="80" s="1"/>
  <c r="M165" i="80"/>
  <c r="U165" i="80"/>
  <c r="AC165" i="80"/>
  <c r="AI178" i="80"/>
  <c r="D224" i="80"/>
  <c r="D284" i="80"/>
  <c r="F165" i="80"/>
  <c r="N165" i="80"/>
  <c r="V165" i="80"/>
  <c r="AD165" i="80"/>
  <c r="D69" i="80"/>
  <c r="L86" i="80"/>
  <c r="L88" i="80" s="1"/>
  <c r="T86" i="80"/>
  <c r="T88" i="80" s="1"/>
  <c r="AB86" i="80"/>
  <c r="AB88" i="80" s="1"/>
  <c r="D98" i="80"/>
  <c r="D315" i="80"/>
  <c r="AI163" i="80"/>
  <c r="AI247" i="80"/>
  <c r="H225" i="80"/>
  <c r="H248" i="80" s="1"/>
  <c r="P225" i="80"/>
  <c r="P248" i="80" s="1"/>
  <c r="P256" i="80" s="1"/>
  <c r="P259" i="80" s="1"/>
  <c r="C17" i="79" s="1"/>
  <c r="X225" i="80"/>
  <c r="X248" i="80" s="1"/>
  <c r="X256" i="80" s="1"/>
  <c r="X259" i="80" s="1"/>
  <c r="C25" i="79" s="1"/>
  <c r="AF225" i="80"/>
  <c r="AF248" i="80" s="1"/>
  <c r="AF256" i="80" s="1"/>
  <c r="AF259" i="80" s="1"/>
  <c r="C33" i="79" s="1"/>
  <c r="I165" i="80"/>
  <c r="Q165" i="80"/>
  <c r="Y165" i="80"/>
  <c r="AG165" i="80"/>
  <c r="T28" i="107"/>
  <c r="S28" i="107" s="1"/>
  <c r="R28" i="107" s="1"/>
  <c r="T29" i="106"/>
  <c r="S29" i="106" s="1"/>
  <c r="R29" i="106" s="1"/>
  <c r="M41" i="17"/>
  <c r="D46" i="82"/>
  <c r="B46" i="82" s="1"/>
  <c r="G39" i="34"/>
  <c r="A40" i="34" s="1"/>
  <c r="R248" i="68"/>
  <c r="R256" i="68" s="1"/>
  <c r="R259" i="68" s="1"/>
  <c r="R261" i="68" s="1"/>
  <c r="H87" i="68"/>
  <c r="H89" i="68" s="1"/>
  <c r="P87" i="68"/>
  <c r="P89" i="68" s="1"/>
  <c r="I225" i="68"/>
  <c r="I248" i="68" s="1"/>
  <c r="I256" i="68" s="1"/>
  <c r="Q225" i="68"/>
  <c r="Q248" i="68" s="1"/>
  <c r="Q256" i="68" s="1"/>
  <c r="M225" i="68"/>
  <c r="M248" i="68" s="1"/>
  <c r="M256" i="68" s="1"/>
  <c r="L225" i="68"/>
  <c r="L248" i="68" s="1"/>
  <c r="L256" i="68" s="1"/>
  <c r="N87" i="68"/>
  <c r="N89" i="68" s="1"/>
  <c r="K166" i="68"/>
  <c r="S166" i="68"/>
  <c r="L166" i="68"/>
  <c r="T27" i="107"/>
  <c r="S27" i="107" s="1"/>
  <c r="R27" i="107" s="1"/>
  <c r="T32" i="107"/>
  <c r="S32" i="107" s="1"/>
  <c r="R32" i="107" s="1"/>
  <c r="Y35" i="107"/>
  <c r="T23" i="107"/>
  <c r="S23" i="107" s="1"/>
  <c r="R23" i="107" s="1"/>
  <c r="T26" i="107"/>
  <c r="S26" i="107" s="1"/>
  <c r="R26" i="107" s="1"/>
  <c r="T31" i="107"/>
  <c r="S31" i="107" s="1"/>
  <c r="R31" i="107" s="1"/>
  <c r="T21" i="107"/>
  <c r="S21" i="107" s="1"/>
  <c r="R21" i="107" s="1"/>
  <c r="T34" i="107"/>
  <c r="S34" i="107" s="1"/>
  <c r="R34" i="107" s="1"/>
  <c r="T29" i="107"/>
  <c r="S29" i="107" s="1"/>
  <c r="R29" i="107" s="1"/>
  <c r="T21" i="106"/>
  <c r="S21" i="106" s="1"/>
  <c r="R21" i="106" s="1"/>
  <c r="T22" i="106"/>
  <c r="S22" i="106" s="1"/>
  <c r="R22" i="106" s="1"/>
  <c r="T28" i="106"/>
  <c r="S28" i="106" s="1"/>
  <c r="R28" i="106" s="1"/>
  <c r="T23" i="106"/>
  <c r="S23" i="106" s="1"/>
  <c r="R23" i="106" s="1"/>
  <c r="T27" i="106"/>
  <c r="S27" i="106" s="1"/>
  <c r="R27" i="106" s="1"/>
  <c r="T35" i="106"/>
  <c r="S35" i="106" s="1"/>
  <c r="R35" i="106" s="1"/>
  <c r="T34" i="106"/>
  <c r="S34" i="106" s="1"/>
  <c r="R34" i="106" s="1"/>
  <c r="T25" i="106"/>
  <c r="S25" i="106" s="1"/>
  <c r="R25" i="106" s="1"/>
  <c r="T30" i="106"/>
  <c r="S30" i="106" s="1"/>
  <c r="R30" i="106" s="1"/>
  <c r="J87" i="87"/>
  <c r="M103" i="121" s="1"/>
  <c r="L86" i="88"/>
  <c r="M86" i="88"/>
  <c r="H76" i="92"/>
  <c r="J76" i="92" s="1"/>
  <c r="H81" i="74"/>
  <c r="J81" i="74" s="1"/>
  <c r="H48" i="74"/>
  <c r="J76" i="85"/>
  <c r="J84" i="85" s="1"/>
  <c r="J87" i="85" s="1"/>
  <c r="F77" i="92"/>
  <c r="H33" i="92"/>
  <c r="J33" i="92" s="1"/>
  <c r="M70" i="87"/>
  <c r="M70" i="69"/>
  <c r="J18" i="74"/>
  <c r="H28" i="74"/>
  <c r="J28" i="74" s="1"/>
  <c r="H31" i="74"/>
  <c r="J58" i="85"/>
  <c r="H13" i="74"/>
  <c r="H24" i="74"/>
  <c r="H27" i="74"/>
  <c r="H47" i="74"/>
  <c r="H87" i="74"/>
  <c r="J87" i="74" s="1"/>
  <c r="H15" i="74"/>
  <c r="H34" i="92"/>
  <c r="J22" i="74"/>
  <c r="H25" i="74"/>
  <c r="H29" i="74"/>
  <c r="J29" i="74" s="1"/>
  <c r="H52" i="74"/>
  <c r="M75" i="87"/>
  <c r="H16" i="74"/>
  <c r="H45" i="74"/>
  <c r="J45" i="74" s="1"/>
  <c r="H74" i="92"/>
  <c r="H46" i="74"/>
  <c r="H49" i="74"/>
  <c r="H35" i="92"/>
  <c r="J35" i="92" s="1"/>
  <c r="H67" i="92"/>
  <c r="H70" i="92"/>
  <c r="J70" i="92" s="1"/>
  <c r="H23" i="74"/>
  <c r="H51" i="74"/>
  <c r="H88" i="74"/>
  <c r="H37" i="92"/>
  <c r="H71" i="92"/>
  <c r="J71" i="92" s="1"/>
  <c r="Q25" i="110"/>
  <c r="S15" i="43"/>
  <c r="R15" i="43" s="1"/>
  <c r="Q15" i="43" s="1"/>
  <c r="S17" i="43"/>
  <c r="R17" i="43" s="1"/>
  <c r="Q17" i="43" s="1"/>
  <c r="Y18" i="110"/>
  <c r="X18" i="110" s="1"/>
  <c r="Q18" i="110" s="1"/>
  <c r="T24" i="106"/>
  <c r="S24" i="106" s="1"/>
  <c r="R24" i="106" s="1"/>
  <c r="T33" i="106"/>
  <c r="S33" i="106" s="1"/>
  <c r="R33" i="106" s="1"/>
  <c r="T14" i="108"/>
  <c r="S14" i="108" s="1"/>
  <c r="Z25" i="108"/>
  <c r="Y25" i="108" s="1"/>
  <c r="Q18" i="46"/>
  <c r="P18" i="46" s="1"/>
  <c r="O18" i="46" s="1"/>
  <c r="Q21" i="46"/>
  <c r="P21" i="46" s="1"/>
  <c r="O21" i="46" s="1"/>
  <c r="U43" i="15"/>
  <c r="Q30" i="110"/>
  <c r="M67" i="88"/>
  <c r="M77" i="88" s="1"/>
  <c r="J63" i="88"/>
  <c r="H6" i="82"/>
  <c r="T33" i="14"/>
  <c r="U35" i="15"/>
  <c r="AD28" i="109"/>
  <c r="Q24" i="109"/>
  <c r="Y26" i="110"/>
  <c r="X26" i="110" s="1"/>
  <c r="Q26" i="110" s="1"/>
  <c r="P34" i="110"/>
  <c r="N34" i="110" s="1"/>
  <c r="T26" i="106"/>
  <c r="S26" i="106" s="1"/>
  <c r="R26" i="106" s="1"/>
  <c r="R19" i="56"/>
  <c r="S45" i="56"/>
  <c r="H47" i="82" s="1"/>
  <c r="R47" i="82" s="1"/>
  <c r="D47" i="82" s="1"/>
  <c r="A47" i="82" s="1"/>
  <c r="U35" i="57"/>
  <c r="K42" i="101"/>
  <c r="Y42" i="101" s="1"/>
  <c r="AE28" i="109"/>
  <c r="Y19" i="110"/>
  <c r="X19" i="110" s="1"/>
  <c r="Q19" i="110" s="1"/>
  <c r="S28" i="110"/>
  <c r="R28" i="110" s="1"/>
  <c r="T31" i="106"/>
  <c r="S31" i="106" s="1"/>
  <c r="R31" i="106" s="1"/>
  <c r="T32" i="106"/>
  <c r="S32" i="106" s="1"/>
  <c r="R32" i="106" s="1"/>
  <c r="T25" i="107"/>
  <c r="S25" i="107" s="1"/>
  <c r="R25" i="107" s="1"/>
  <c r="Q14" i="46"/>
  <c r="P14" i="46" s="1"/>
  <c r="O14" i="46" s="1"/>
  <c r="Q17" i="46"/>
  <c r="P17" i="46" s="1"/>
  <c r="O17" i="46" s="1"/>
  <c r="G41" i="17"/>
  <c r="Q24" i="110"/>
  <c r="T30" i="107"/>
  <c r="S30" i="107" s="1"/>
  <c r="R30" i="107" s="1"/>
  <c r="O12" i="46"/>
  <c r="Y44" i="101"/>
  <c r="X44" i="101"/>
  <c r="H36" i="92"/>
  <c r="J36" i="92" s="1"/>
  <c r="T25" i="59"/>
  <c r="S25" i="59"/>
  <c r="R25" i="59" s="1"/>
  <c r="I6" i="82"/>
  <c r="V33" i="15"/>
  <c r="V37" i="15"/>
  <c r="I41" i="17"/>
  <c r="S20" i="109"/>
  <c r="R20" i="109" s="1"/>
  <c r="Q20" i="109" s="1"/>
  <c r="T22" i="59"/>
  <c r="S22" i="59"/>
  <c r="R22" i="59" s="1"/>
  <c r="T34" i="59"/>
  <c r="S34" i="59"/>
  <c r="R34" i="59" s="1"/>
  <c r="J84" i="69"/>
  <c r="J87" i="69" s="1"/>
  <c r="M102" i="121" s="1"/>
  <c r="H4" i="82"/>
  <c r="R4" i="82" s="1"/>
  <c r="D4" i="82" s="1"/>
  <c r="A4" i="82" s="1"/>
  <c r="M28" i="121"/>
  <c r="R32" i="36"/>
  <c r="M82" i="121" s="1"/>
  <c r="S18" i="43"/>
  <c r="R18" i="43" s="1"/>
  <c r="Q18" i="43" s="1"/>
  <c r="S32" i="43"/>
  <c r="R32" i="43" s="1"/>
  <c r="Q32" i="43" s="1"/>
  <c r="S15" i="109"/>
  <c r="R15" i="109" s="1"/>
  <c r="Q15" i="109" s="1"/>
  <c r="Y21" i="109"/>
  <c r="X21" i="109" s="1"/>
  <c r="Q21" i="109" s="1"/>
  <c r="Y27" i="110"/>
  <c r="X27" i="110" s="1"/>
  <c r="Q27" i="110" s="1"/>
  <c r="S29" i="110"/>
  <c r="R29" i="110" s="1"/>
  <c r="T24" i="107"/>
  <c r="S24" i="107" s="1"/>
  <c r="R24" i="107" s="1"/>
  <c r="T33" i="107"/>
  <c r="S33" i="107" s="1"/>
  <c r="R33" i="107" s="1"/>
  <c r="Z21" i="108"/>
  <c r="Y21" i="108" s="1"/>
  <c r="T26" i="108"/>
  <c r="S26" i="108" s="1"/>
  <c r="Q13" i="46"/>
  <c r="P13" i="46" s="1"/>
  <c r="O13" i="46" s="1"/>
  <c r="K38" i="101"/>
  <c r="Y38" i="101" s="1"/>
  <c r="U31" i="57"/>
  <c r="T31" i="57"/>
  <c r="S31" i="57" s="1"/>
  <c r="J21" i="74"/>
  <c r="H21" i="74"/>
  <c r="S25" i="109"/>
  <c r="R25" i="109" s="1"/>
  <c r="Q25" i="109" s="1"/>
  <c r="Y21" i="110"/>
  <c r="X21" i="110" s="1"/>
  <c r="Q21" i="110" s="1"/>
  <c r="Q22" i="110"/>
  <c r="T20" i="107"/>
  <c r="S20" i="107" s="1"/>
  <c r="R20" i="107" s="1"/>
  <c r="F25" i="68"/>
  <c r="H66" i="92"/>
  <c r="D68" i="92"/>
  <c r="U27" i="101"/>
  <c r="U39" i="101"/>
  <c r="U68" i="101"/>
  <c r="F25" i="90"/>
  <c r="J87" i="68"/>
  <c r="J89" i="68" s="1"/>
  <c r="R87" i="68"/>
  <c r="R89" i="68" s="1"/>
  <c r="N166" i="68"/>
  <c r="K225" i="68"/>
  <c r="K248" i="68" s="1"/>
  <c r="K256" i="68" s="1"/>
  <c r="S225" i="68"/>
  <c r="S248" i="68" s="1"/>
  <c r="S256" i="68" s="1"/>
  <c r="S259" i="68" s="1"/>
  <c r="S261" i="68" s="1"/>
  <c r="L71" i="88"/>
  <c r="H75" i="92"/>
  <c r="J75" i="92" s="1"/>
  <c r="AI69" i="80"/>
  <c r="AI98" i="80"/>
  <c r="D163" i="80"/>
  <c r="S14" i="109"/>
  <c r="R14" i="109" s="1"/>
  <c r="R28" i="109" s="1"/>
  <c r="U24" i="101"/>
  <c r="K26" i="101"/>
  <c r="Y26" i="101" s="1"/>
  <c r="F253" i="68"/>
  <c r="G253" i="68" s="1"/>
  <c r="M51" i="69"/>
  <c r="J17" i="88"/>
  <c r="J33" i="88"/>
  <c r="L51" i="88"/>
  <c r="L84" i="88"/>
  <c r="H19" i="74"/>
  <c r="D41" i="74"/>
  <c r="D60" i="74" s="1"/>
  <c r="G86" i="80"/>
  <c r="G88" i="80" s="1"/>
  <c r="O86" i="80"/>
  <c r="O88" i="80" s="1"/>
  <c r="W86" i="80"/>
  <c r="W88" i="80" s="1"/>
  <c r="AE86" i="80"/>
  <c r="AE88" i="80" s="1"/>
  <c r="T22" i="107"/>
  <c r="S22" i="107" s="1"/>
  <c r="R22" i="107" s="1"/>
  <c r="S20" i="59"/>
  <c r="R20" i="59" s="1"/>
  <c r="T35" i="59"/>
  <c r="U53" i="101"/>
  <c r="L87" i="68"/>
  <c r="L89" i="68" s="1"/>
  <c r="H166" i="68"/>
  <c r="P166" i="68"/>
  <c r="L39" i="88"/>
  <c r="L59" i="88" s="1"/>
  <c r="M51" i="88"/>
  <c r="M84" i="88"/>
  <c r="H17" i="74"/>
  <c r="H30" i="74"/>
  <c r="J30" i="74" s="1"/>
  <c r="F85" i="74"/>
  <c r="H84" i="74"/>
  <c r="H40" i="92"/>
  <c r="H64" i="92"/>
  <c r="J64" i="92" s="1"/>
  <c r="D72" i="92"/>
  <c r="J90" i="85"/>
  <c r="T28" i="57"/>
  <c r="S28" i="57" s="1"/>
  <c r="U32" i="57"/>
  <c r="T32" i="59"/>
  <c r="U21" i="101"/>
  <c r="U28" i="101"/>
  <c r="U31" i="101"/>
  <c r="U55" i="101"/>
  <c r="U73" i="101"/>
  <c r="F68" i="92"/>
  <c r="K90" i="85"/>
  <c r="K23" i="101"/>
  <c r="Y23" i="101" s="1"/>
  <c r="X72" i="101"/>
  <c r="W72" i="101" s="1"/>
  <c r="M83" i="69"/>
  <c r="M39" i="87"/>
  <c r="M83" i="87"/>
  <c r="D85" i="80"/>
  <c r="U23" i="101"/>
  <c r="F115" i="66"/>
  <c r="M39" i="69"/>
  <c r="J25" i="88"/>
  <c r="J45" i="88"/>
  <c r="J55" i="88"/>
  <c r="J57" i="88" s="1"/>
  <c r="M57" i="88"/>
  <c r="J66" i="88"/>
  <c r="H82" i="74"/>
  <c r="H38" i="92"/>
  <c r="J65" i="92"/>
  <c r="AI85" i="80"/>
  <c r="D137" i="80"/>
  <c r="G165" i="80"/>
  <c r="S15" i="110"/>
  <c r="R15" i="110" s="1"/>
  <c r="K38" i="57"/>
  <c r="K70" i="57" s="1"/>
  <c r="K73" i="57" s="1"/>
  <c r="U34" i="57"/>
  <c r="S21" i="59"/>
  <c r="R21" i="59" s="1"/>
  <c r="I37" i="59"/>
  <c r="O37" i="59"/>
  <c r="U47" i="101"/>
  <c r="M66" i="69"/>
  <c r="M75" i="69"/>
  <c r="M66" i="87"/>
  <c r="J82" i="88"/>
  <c r="J84" i="88" s="1"/>
  <c r="H50" i="74"/>
  <c r="H83" i="74"/>
  <c r="J83" i="74" s="1"/>
  <c r="H39" i="92"/>
  <c r="AI209" i="80"/>
  <c r="R17" i="82"/>
  <c r="D17" i="82" s="1"/>
  <c r="B17" i="82" s="1"/>
  <c r="D39" i="82"/>
  <c r="B39" i="82" s="1"/>
  <c r="D43" i="82"/>
  <c r="B43" i="82" s="1"/>
  <c r="D192" i="80"/>
  <c r="M51" i="87"/>
  <c r="F53" i="74"/>
  <c r="H53" i="74" s="1"/>
  <c r="J53" i="74" s="1"/>
  <c r="F72" i="92"/>
  <c r="H72" i="92" s="1"/>
  <c r="J72" i="92" s="1"/>
  <c r="D209" i="80"/>
  <c r="R15" i="82"/>
  <c r="D15" i="82" s="1"/>
  <c r="B15" i="82" s="1"/>
  <c r="D37" i="82"/>
  <c r="A37" i="82" s="1"/>
  <c r="F68" i="74"/>
  <c r="H68" i="74" s="1"/>
  <c r="J68" i="74" s="1"/>
  <c r="E286" i="80"/>
  <c r="E328" i="80"/>
  <c r="D44" i="82"/>
  <c r="A44" i="82" s="1"/>
  <c r="H57" i="74"/>
  <c r="J57" i="74" s="1"/>
  <c r="E165" i="80"/>
  <c r="R13" i="82"/>
  <c r="D13" i="82" s="1"/>
  <c r="A13" i="82" s="1"/>
  <c r="R21" i="82"/>
  <c r="D21" i="82" s="1"/>
  <c r="B21" i="82" s="1"/>
  <c r="U25" i="82"/>
  <c r="AI137" i="80"/>
  <c r="D26" i="82"/>
  <c r="B26" i="82" s="1"/>
  <c r="D45" i="82"/>
  <c r="B45" i="82" s="1"/>
  <c r="M39" i="88"/>
  <c r="D28" i="82"/>
  <c r="B28" i="82" s="1"/>
  <c r="D5" i="82"/>
  <c r="B5" i="82" s="1"/>
  <c r="G38" i="94"/>
  <c r="A42" i="94" s="1"/>
  <c r="G217" i="68"/>
  <c r="D3" i="82"/>
  <c r="A3" i="82" s="1"/>
  <c r="A24" i="100"/>
  <c r="M6" i="121"/>
  <c r="T25" i="82"/>
  <c r="U24" i="82"/>
  <c r="T24" i="82"/>
  <c r="S29" i="43"/>
  <c r="R29" i="43" s="1"/>
  <c r="Q29" i="43" s="1"/>
  <c r="S19" i="43"/>
  <c r="R19" i="43" s="1"/>
  <c r="Q19" i="43" s="1"/>
  <c r="S16" i="43"/>
  <c r="R16" i="43" s="1"/>
  <c r="Q16" i="43" s="1"/>
  <c r="S20" i="43"/>
  <c r="R20" i="43" s="1"/>
  <c r="Q20" i="43" s="1"/>
  <c r="S27" i="43"/>
  <c r="R27" i="43" s="1"/>
  <c r="Q27" i="43" s="1"/>
  <c r="S33" i="43"/>
  <c r="R33" i="43" s="1"/>
  <c r="Q33" i="43" s="1"/>
  <c r="S28" i="43"/>
  <c r="R28" i="43" s="1"/>
  <c r="Q28" i="43" s="1"/>
  <c r="D35" i="82"/>
  <c r="B35" i="82" s="1"/>
  <c r="F144" i="66"/>
  <c r="G144" i="66" s="1"/>
  <c r="F115" i="68"/>
  <c r="F114" i="90" s="1"/>
  <c r="D34" i="82"/>
  <c r="B34" i="82" s="1"/>
  <c r="F57" i="66"/>
  <c r="F57" i="72" s="1"/>
  <c r="D33" i="82"/>
  <c r="B33" i="82" s="1"/>
  <c r="F117" i="68"/>
  <c r="F116" i="90" s="1"/>
  <c r="D32" i="82"/>
  <c r="B32" i="82" s="1"/>
  <c r="F59" i="68"/>
  <c r="F58" i="90" s="1"/>
  <c r="D31" i="82"/>
  <c r="B31" i="82" s="1"/>
  <c r="F26" i="66"/>
  <c r="F26" i="72" s="1"/>
  <c r="D30" i="82"/>
  <c r="A30" i="82" s="1"/>
  <c r="D29" i="82"/>
  <c r="A29" i="82" s="1"/>
  <c r="Y36" i="106"/>
  <c r="Q15" i="110"/>
  <c r="F77" i="74"/>
  <c r="F53" i="92"/>
  <c r="F58" i="92"/>
  <c r="F85" i="92"/>
  <c r="H33" i="74"/>
  <c r="J33" i="74" s="1"/>
  <c r="H34" i="74"/>
  <c r="H35" i="74"/>
  <c r="J35" i="74" s="1"/>
  <c r="H36" i="74"/>
  <c r="J36" i="74" s="1"/>
  <c r="H37" i="74"/>
  <c r="H38" i="74"/>
  <c r="H39" i="74"/>
  <c r="H40" i="74"/>
  <c r="H64" i="74"/>
  <c r="J64" i="74" s="1"/>
  <c r="H65" i="74"/>
  <c r="J65" i="74" s="1"/>
  <c r="H66" i="74"/>
  <c r="H67" i="74"/>
  <c r="H70" i="74"/>
  <c r="J70" i="74" s="1"/>
  <c r="H71" i="74"/>
  <c r="J71" i="74" s="1"/>
  <c r="H74" i="74"/>
  <c r="H75" i="74"/>
  <c r="J75" i="74" s="1"/>
  <c r="H76" i="74"/>
  <c r="J76" i="74" s="1"/>
  <c r="H45" i="92"/>
  <c r="J45" i="92" s="1"/>
  <c r="H46" i="92"/>
  <c r="H47" i="92"/>
  <c r="H48" i="92"/>
  <c r="H49" i="92"/>
  <c r="H50" i="92"/>
  <c r="H51" i="92"/>
  <c r="H52" i="92"/>
  <c r="H57" i="92"/>
  <c r="J57" i="92" s="1"/>
  <c r="H81" i="92"/>
  <c r="J81" i="92" s="1"/>
  <c r="H82" i="92"/>
  <c r="H83" i="92"/>
  <c r="J83" i="92" s="1"/>
  <c r="H84" i="92"/>
  <c r="H87" i="92"/>
  <c r="J87" i="92" s="1"/>
  <c r="H88" i="92"/>
  <c r="F41" i="74"/>
  <c r="F72" i="74"/>
  <c r="H13" i="92"/>
  <c r="H15" i="92"/>
  <c r="H16" i="92"/>
  <c r="H17" i="92"/>
  <c r="H18" i="92"/>
  <c r="H19" i="92"/>
  <c r="H20" i="92"/>
  <c r="H21" i="92"/>
  <c r="H22" i="92"/>
  <c r="H23" i="92"/>
  <c r="H24" i="92"/>
  <c r="H25" i="92"/>
  <c r="H26" i="92"/>
  <c r="J26" i="92" s="1"/>
  <c r="H27" i="92"/>
  <c r="H28" i="92"/>
  <c r="J28" i="92" s="1"/>
  <c r="H29" i="92"/>
  <c r="J29" i="92" s="1"/>
  <c r="H30" i="92"/>
  <c r="J30" i="92" s="1"/>
  <c r="H31" i="92"/>
  <c r="F41" i="92"/>
  <c r="B2" i="4"/>
  <c r="B2" i="89"/>
  <c r="B2" i="13"/>
  <c r="B2" i="14"/>
  <c r="B2" i="115"/>
  <c r="B2" i="18"/>
  <c r="A2" i="19"/>
  <c r="A2" i="20"/>
  <c r="B2" i="24"/>
  <c r="A2" i="25"/>
  <c r="A2" i="119"/>
  <c r="A2" i="29"/>
  <c r="B2" i="38"/>
  <c r="B2" i="110"/>
  <c r="B2" i="117"/>
  <c r="A2" i="50"/>
  <c r="A2" i="105"/>
  <c r="B2" i="57"/>
  <c r="C2" i="63"/>
  <c r="B2" i="100"/>
  <c r="B2" i="87"/>
  <c r="B2" i="12"/>
  <c r="B2" i="15"/>
  <c r="A2" i="23"/>
  <c r="A2" i="26"/>
  <c r="A2" i="30"/>
  <c r="A2" i="34"/>
  <c r="A2" i="118"/>
  <c r="B2" i="43"/>
  <c r="B2" i="109"/>
  <c r="A2" i="107"/>
  <c r="B2" i="53"/>
  <c r="A2" i="104"/>
  <c r="B2" i="74"/>
  <c r="A2" i="75"/>
  <c r="A2" i="76"/>
  <c r="B2" i="80"/>
  <c r="A2" i="9"/>
  <c r="A2" i="16"/>
  <c r="C2" i="17"/>
  <c r="B2" i="22"/>
  <c r="A2" i="31"/>
  <c r="A2" i="94"/>
  <c r="A2" i="98"/>
  <c r="B2" i="37"/>
  <c r="B2" i="41"/>
  <c r="B2" i="42"/>
  <c r="B2" i="47"/>
  <c r="B2" i="49"/>
  <c r="C2" i="56"/>
  <c r="C2" i="59"/>
  <c r="C2" i="60"/>
  <c r="C2" i="61"/>
  <c r="C2" i="64"/>
  <c r="C2" i="65"/>
  <c r="A2" i="99"/>
  <c r="A2" i="68"/>
  <c r="B2" i="69"/>
  <c r="B2" i="88"/>
  <c r="D8" i="82"/>
  <c r="A8" i="82" s="1"/>
  <c r="D23" i="82"/>
  <c r="B23" i="82" s="1"/>
  <c r="D19" i="82"/>
  <c r="B19" i="82" s="1"/>
  <c r="D16" i="82"/>
  <c r="A16" i="82" s="1"/>
  <c r="N225" i="68"/>
  <c r="N248" i="68" s="1"/>
  <c r="N256" i="68" s="1"/>
  <c r="K87" i="68"/>
  <c r="K89" i="68" s="1"/>
  <c r="S87" i="68"/>
  <c r="S89" i="68" s="1"/>
  <c r="M166" i="68"/>
  <c r="M87" i="68"/>
  <c r="M89" i="68" s="1"/>
  <c r="B42" i="82"/>
  <c r="A42" i="82"/>
  <c r="B40" i="82"/>
  <c r="A40" i="82"/>
  <c r="B41" i="82"/>
  <c r="A41" i="82"/>
  <c r="D10" i="82"/>
  <c r="A10" i="82" s="1"/>
  <c r="D11" i="82"/>
  <c r="A11" i="82" s="1"/>
  <c r="D22" i="82"/>
  <c r="A22" i="82" s="1"/>
  <c r="D48" i="82"/>
  <c r="A48" i="82" s="1"/>
  <c r="Q28" i="59"/>
  <c r="T28" i="59" s="1"/>
  <c r="A21" i="77"/>
  <c r="A17" i="77"/>
  <c r="A25" i="77"/>
  <c r="A33" i="77"/>
  <c r="A14" i="77"/>
  <c r="A30" i="77"/>
  <c r="A18" i="77"/>
  <c r="A22" i="77"/>
  <c r="A13" i="77"/>
  <c r="A29" i="77"/>
  <c r="A12" i="77"/>
  <c r="A16" i="77"/>
  <c r="A20" i="77"/>
  <c r="A24" i="77"/>
  <c r="A28" i="77"/>
  <c r="A32" i="77"/>
  <c r="A11" i="77"/>
  <c r="A15" i="77"/>
  <c r="A19" i="77"/>
  <c r="A23" i="77"/>
  <c r="A27" i="77"/>
  <c r="A31" i="77"/>
  <c r="A3" i="77"/>
  <c r="A5" i="77"/>
  <c r="A7" i="77"/>
  <c r="M11" i="77"/>
  <c r="M12" i="77"/>
  <c r="M13" i="77"/>
  <c r="M14" i="77"/>
  <c r="M15" i="77"/>
  <c r="M16" i="77"/>
  <c r="M17" i="77"/>
  <c r="M18" i="77"/>
  <c r="M19" i="77"/>
  <c r="M20" i="77"/>
  <c r="M21" i="77"/>
  <c r="M22" i="77"/>
  <c r="M23" i="77"/>
  <c r="M24" i="77"/>
  <c r="M25" i="77"/>
  <c r="M26" i="77"/>
  <c r="M27" i="77"/>
  <c r="M28" i="77"/>
  <c r="M29" i="77"/>
  <c r="M30" i="77"/>
  <c r="M31" i="77"/>
  <c r="M32" i="77"/>
  <c r="A34" i="77"/>
  <c r="A36" i="77"/>
  <c r="A38" i="77"/>
  <c r="A41" i="77"/>
  <c r="A43" i="77"/>
  <c r="A45" i="77"/>
  <c r="A47" i="77"/>
  <c r="A49" i="77"/>
  <c r="A51" i="77"/>
  <c r="A53" i="77"/>
  <c r="A55" i="77"/>
  <c r="A57" i="77"/>
  <c r="A59" i="77"/>
  <c r="A61" i="77"/>
  <c r="A63" i="77"/>
  <c r="A65" i="77"/>
  <c r="A67" i="77"/>
  <c r="A69" i="77"/>
  <c r="A71" i="77"/>
  <c r="A73" i="77"/>
  <c r="A75" i="77"/>
  <c r="A77" i="77"/>
  <c r="M8" i="77"/>
  <c r="M9" i="77"/>
  <c r="M10" i="77"/>
  <c r="A4" i="77"/>
  <c r="A6" i="77"/>
  <c r="A8" i="77"/>
  <c r="A9" i="77"/>
  <c r="A10" i="77"/>
  <c r="A35" i="77"/>
  <c r="A37" i="77"/>
  <c r="A40" i="77"/>
  <c r="A42" i="77"/>
  <c r="A44" i="77"/>
  <c r="A46" i="77"/>
  <c r="A48" i="77"/>
  <c r="A50" i="77"/>
  <c r="A52" i="77"/>
  <c r="A54" i="77"/>
  <c r="A56" i="77"/>
  <c r="A58" i="77"/>
  <c r="A60" i="77"/>
  <c r="A62" i="77"/>
  <c r="A64" i="77"/>
  <c r="A66" i="77"/>
  <c r="A68" i="77"/>
  <c r="A70" i="77"/>
  <c r="A72" i="77"/>
  <c r="A74" i="77"/>
  <c r="A76" i="77"/>
  <c r="J5" i="16"/>
  <c r="A2" i="115"/>
  <c r="A5" i="115"/>
  <c r="A9" i="115"/>
  <c r="L5" i="19"/>
  <c r="F6" i="29"/>
  <c r="A12" i="57"/>
  <c r="A54" i="60"/>
  <c r="A58" i="61"/>
  <c r="A28" i="62"/>
  <c r="A9" i="63"/>
  <c r="A6" i="101"/>
  <c r="A21" i="3"/>
  <c r="A37" i="3"/>
  <c r="A41" i="3"/>
  <c r="A45" i="3"/>
  <c r="A49" i="3"/>
  <c r="A52" i="3"/>
  <c r="A55" i="3"/>
  <c r="A59" i="3"/>
  <c r="A62" i="3"/>
  <c r="A65" i="3"/>
  <c r="A4" i="89"/>
  <c r="A46" i="89"/>
  <c r="A2" i="97"/>
  <c r="A5" i="97"/>
  <c r="A7" i="97"/>
  <c r="A9" i="97"/>
  <c r="N6" i="5"/>
  <c r="N7" i="113"/>
  <c r="D5" i="10"/>
  <c r="K6" i="12"/>
  <c r="I7" i="15"/>
  <c r="A1" i="115"/>
  <c r="I5" i="115"/>
  <c r="A10" i="115"/>
  <c r="K5" i="18"/>
  <c r="H5" i="22"/>
  <c r="C6" i="119"/>
  <c r="E5" i="108"/>
  <c r="D5" i="52"/>
  <c r="A4" i="56"/>
  <c r="A12" i="56"/>
  <c r="A34" i="56"/>
  <c r="A35" i="56"/>
  <c r="A55" i="56"/>
  <c r="A17" i="57"/>
  <c r="A23" i="57"/>
  <c r="A24" i="57"/>
  <c r="A34" i="57"/>
  <c r="A51" i="57"/>
  <c r="A67" i="57"/>
  <c r="A74" i="57"/>
  <c r="A24" i="59"/>
  <c r="A25" i="59"/>
  <c r="A26" i="59"/>
  <c r="A36" i="59"/>
  <c r="A1" i="60"/>
  <c r="A6" i="60"/>
  <c r="A10" i="60"/>
  <c r="A26" i="60"/>
  <c r="A42" i="60"/>
  <c r="A58" i="60"/>
  <c r="A5" i="61"/>
  <c r="A9" i="61"/>
  <c r="A25" i="61"/>
  <c r="A46" i="61"/>
  <c r="A16" i="62"/>
  <c r="A32" i="62"/>
  <c r="A48" i="62"/>
  <c r="A7" i="63"/>
  <c r="A13" i="63"/>
  <c r="A29" i="63"/>
  <c r="A44" i="63"/>
  <c r="I2" i="82"/>
  <c r="R2" i="82" s="1"/>
  <c r="D2" i="82" s="1"/>
  <c r="J5" i="76"/>
  <c r="C5" i="80"/>
  <c r="J5" i="75"/>
  <c r="D5" i="85"/>
  <c r="D7" i="85" s="1"/>
  <c r="C5" i="90"/>
  <c r="C6" i="70"/>
  <c r="A41" i="100"/>
  <c r="A37" i="100"/>
  <c r="A33" i="100"/>
  <c r="A30" i="100"/>
  <c r="A23" i="100"/>
  <c r="A19" i="100"/>
  <c r="A15" i="100"/>
  <c r="A6" i="100"/>
  <c r="A2" i="100"/>
  <c r="A44" i="58"/>
  <c r="A36" i="58"/>
  <c r="A28" i="58"/>
  <c r="A24" i="58"/>
  <c r="A89" i="101"/>
  <c r="A67" i="101"/>
  <c r="A63" i="101"/>
  <c r="A55" i="101"/>
  <c r="A53" i="101"/>
  <c r="A51" i="101"/>
  <c r="A48" i="101"/>
  <c r="A43" i="101"/>
  <c r="A41" i="101"/>
  <c r="A38" i="101"/>
  <c r="A36" i="101"/>
  <c r="A34" i="101"/>
  <c r="A32" i="101"/>
  <c r="A30" i="101"/>
  <c r="A27" i="101"/>
  <c r="A24" i="101"/>
  <c r="A22" i="101"/>
  <c r="A18" i="101"/>
  <c r="A14" i="101"/>
  <c r="A5" i="101"/>
  <c r="A2" i="101"/>
  <c r="A55" i="65"/>
  <c r="A51" i="65"/>
  <c r="A47" i="65"/>
  <c r="A43" i="65"/>
  <c r="A39" i="65"/>
  <c r="A35" i="65"/>
  <c r="A31" i="65"/>
  <c r="A27" i="65"/>
  <c r="A23" i="65"/>
  <c r="A19" i="65"/>
  <c r="A15" i="65"/>
  <c r="A11" i="65"/>
  <c r="A8" i="65"/>
  <c r="G6" i="65"/>
  <c r="A3" i="65"/>
  <c r="A71" i="64"/>
  <c r="A67" i="64"/>
  <c r="A63" i="64"/>
  <c r="A59" i="64"/>
  <c r="A56" i="64"/>
  <c r="A51" i="64"/>
  <c r="A47" i="64"/>
  <c r="A44" i="64"/>
  <c r="A37" i="64"/>
  <c r="A33" i="64"/>
  <c r="A29" i="64"/>
  <c r="A25" i="64"/>
  <c r="A21" i="64"/>
  <c r="A17" i="64"/>
  <c r="A13" i="64"/>
  <c r="A9" i="64"/>
  <c r="A7" i="64"/>
  <c r="A5" i="64"/>
  <c r="A2" i="64"/>
  <c r="A56" i="63"/>
  <c r="C5" i="72"/>
  <c r="H151" i="72" s="1"/>
  <c r="C5" i="68"/>
  <c r="C7" i="68" s="1"/>
  <c r="A40" i="100"/>
  <c r="A36" i="100"/>
  <c r="A26" i="100"/>
  <c r="A22" i="100"/>
  <c r="A18" i="100"/>
  <c r="A14" i="100"/>
  <c r="A11" i="100"/>
  <c r="A9" i="100"/>
  <c r="A4" i="100"/>
  <c r="A43" i="58"/>
  <c r="A35" i="58"/>
  <c r="A27" i="58"/>
  <c r="A23" i="58"/>
  <c r="A88" i="101"/>
  <c r="A83" i="101"/>
  <c r="A77" i="101"/>
  <c r="A70" i="101"/>
  <c r="A68" i="101"/>
  <c r="A61" i="101"/>
  <c r="A45" i="101"/>
  <c r="A40" i="101"/>
  <c r="A29" i="101"/>
  <c r="A21" i="101"/>
  <c r="A17" i="101"/>
  <c r="A12" i="101"/>
  <c r="A9" i="101"/>
  <c r="A7" i="101"/>
  <c r="A4" i="101"/>
  <c r="A54" i="65"/>
  <c r="A50" i="65"/>
  <c r="A46" i="65"/>
  <c r="A42" i="65"/>
  <c r="A38" i="65"/>
  <c r="A34" i="65"/>
  <c r="A30" i="65"/>
  <c r="A26" i="65"/>
  <c r="A22" i="65"/>
  <c r="A18" i="65"/>
  <c r="A14" i="65"/>
  <c r="A10" i="65"/>
  <c r="A6" i="65"/>
  <c r="A1" i="65"/>
  <c r="A70" i="64"/>
  <c r="A66" i="64"/>
  <c r="A62" i="64"/>
  <c r="A55" i="64"/>
  <c r="A50" i="64"/>
  <c r="A46" i="64"/>
  <c r="A43" i="64"/>
  <c r="A36" i="64"/>
  <c r="A32" i="64"/>
  <c r="A28" i="64"/>
  <c r="A24" i="64"/>
  <c r="A20" i="64"/>
  <c r="A16" i="64"/>
  <c r="A12" i="64"/>
  <c r="A4" i="64"/>
  <c r="A55" i="63"/>
  <c r="G8" i="99"/>
  <c r="A43" i="100"/>
  <c r="A39" i="100"/>
  <c r="A35" i="100"/>
  <c r="A32" i="100"/>
  <c r="A25" i="100"/>
  <c r="A21" i="100"/>
  <c r="A17" i="100"/>
  <c r="A13" i="100"/>
  <c r="M8" i="100"/>
  <c r="A3" i="100"/>
  <c r="A42" i="58"/>
  <c r="A34" i="58"/>
  <c r="A26" i="58"/>
  <c r="A12" i="58"/>
  <c r="M7" i="58"/>
  <c r="A84" i="101"/>
  <c r="A82" i="101"/>
  <c r="A80" i="101"/>
  <c r="A76" i="101"/>
  <c r="A66" i="101"/>
  <c r="A60" i="101"/>
  <c r="A54" i="101"/>
  <c r="A52" i="101"/>
  <c r="A50" i="101"/>
  <c r="A46" i="101"/>
  <c r="A42" i="101"/>
  <c r="A39" i="101"/>
  <c r="A37" i="101"/>
  <c r="A35" i="101"/>
  <c r="A33" i="101"/>
  <c r="A31" i="101"/>
  <c r="A28" i="101"/>
  <c r="A26" i="101"/>
  <c r="A23" i="101"/>
  <c r="A20" i="101"/>
  <c r="A16" i="101"/>
  <c r="A11" i="101"/>
  <c r="M6" i="101"/>
  <c r="A3" i="101"/>
  <c r="A53" i="65"/>
  <c r="A49" i="65"/>
  <c r="A45" i="65"/>
  <c r="A41" i="65"/>
  <c r="A37" i="65"/>
  <c r="A33" i="65"/>
  <c r="A29" i="65"/>
  <c r="A25" i="65"/>
  <c r="A21" i="65"/>
  <c r="A17" i="65"/>
  <c r="A13" i="65"/>
  <c r="A9" i="65"/>
  <c r="A7" i="65"/>
  <c r="A5" i="65"/>
  <c r="A2" i="65"/>
  <c r="A73" i="64"/>
  <c r="A69" i="64"/>
  <c r="A65" i="64"/>
  <c r="A61" i="64"/>
  <c r="A58" i="64"/>
  <c r="A49" i="64"/>
  <c r="A45" i="64"/>
  <c r="A39" i="64"/>
  <c r="A35" i="64"/>
  <c r="A31" i="64"/>
  <c r="A27" i="64"/>
  <c r="A23" i="64"/>
  <c r="A34" i="100"/>
  <c r="A20" i="100"/>
  <c r="A33" i="58"/>
  <c r="A90" i="101"/>
  <c r="A75" i="101"/>
  <c r="A73" i="101"/>
  <c r="A71" i="101"/>
  <c r="A52" i="65"/>
  <c r="A36" i="65"/>
  <c r="A20" i="65"/>
  <c r="A64" i="64"/>
  <c r="A38" i="64"/>
  <c r="A22" i="64"/>
  <c r="A14" i="64"/>
  <c r="A8" i="64"/>
  <c r="A3" i="64"/>
  <c r="A1" i="64"/>
  <c r="A51" i="63"/>
  <c r="A47" i="63"/>
  <c r="A43" i="63"/>
  <c r="A39" i="63"/>
  <c r="A35" i="63"/>
  <c r="A32" i="63"/>
  <c r="A28" i="63"/>
  <c r="A24" i="63"/>
  <c r="A20" i="63"/>
  <c r="A16" i="63"/>
  <c r="A12" i="63"/>
  <c r="A4" i="63"/>
  <c r="A55" i="62"/>
  <c r="A51" i="62"/>
  <c r="A47" i="62"/>
  <c r="A43" i="62"/>
  <c r="A39" i="62"/>
  <c r="A35" i="62"/>
  <c r="A31" i="62"/>
  <c r="A27" i="62"/>
  <c r="A23" i="62"/>
  <c r="A19" i="62"/>
  <c r="A15" i="62"/>
  <c r="A11" i="62"/>
  <c r="A8" i="62"/>
  <c r="E6" i="62"/>
  <c r="A3" i="62"/>
  <c r="A57" i="61"/>
  <c r="A53" i="61"/>
  <c r="A49" i="61"/>
  <c r="A45" i="61"/>
  <c r="A41" i="61"/>
  <c r="A37" i="61"/>
  <c r="A33" i="61"/>
  <c r="A28" i="61"/>
  <c r="A24" i="61"/>
  <c r="A20" i="61"/>
  <c r="A16" i="61"/>
  <c r="A12" i="61"/>
  <c r="A2" i="61"/>
  <c r="A57" i="60"/>
  <c r="A53" i="60"/>
  <c r="A49" i="60"/>
  <c r="A45" i="60"/>
  <c r="A41" i="60"/>
  <c r="A37" i="60"/>
  <c r="A33" i="60"/>
  <c r="A29" i="60"/>
  <c r="A25" i="60"/>
  <c r="A21" i="60"/>
  <c r="A17" i="60"/>
  <c r="A13" i="60"/>
  <c r="A5" i="60"/>
  <c r="A2" i="60"/>
  <c r="A38" i="59"/>
  <c r="A29" i="59"/>
  <c r="A16" i="59"/>
  <c r="A11" i="59"/>
  <c r="A8" i="59"/>
  <c r="E6" i="59"/>
  <c r="A3" i="59"/>
  <c r="A73" i="57"/>
  <c r="A66" i="57"/>
  <c r="A62" i="57"/>
  <c r="A58" i="57"/>
  <c r="A54" i="57"/>
  <c r="A50" i="57"/>
  <c r="A46" i="57"/>
  <c r="A42" i="57"/>
  <c r="A35" i="57"/>
  <c r="A32" i="57"/>
  <c r="A31" i="57"/>
  <c r="A29" i="57"/>
  <c r="A25" i="57"/>
  <c r="A20" i="57"/>
  <c r="A16" i="57"/>
  <c r="A11" i="57"/>
  <c r="M6" i="57"/>
  <c r="A3" i="57"/>
  <c r="A62" i="56"/>
  <c r="A58" i="56"/>
  <c r="A54" i="56"/>
  <c r="A50" i="56"/>
  <c r="A47" i="56"/>
  <c r="A36" i="56"/>
  <c r="A29" i="56"/>
  <c r="A27" i="56"/>
  <c r="A25" i="56"/>
  <c r="A24" i="56"/>
  <c r="A23" i="56"/>
  <c r="A22" i="56"/>
  <c r="A21" i="56"/>
  <c r="A20" i="56"/>
  <c r="A19" i="56"/>
  <c r="A15" i="56"/>
  <c r="A11" i="56"/>
  <c r="A8" i="56"/>
  <c r="E6" i="56"/>
  <c r="A3" i="56"/>
  <c r="B6" i="105"/>
  <c r="E6" i="50"/>
  <c r="E5" i="49"/>
  <c r="E5" i="117"/>
  <c r="D5" i="47"/>
  <c r="D6" i="110"/>
  <c r="D7" i="42"/>
  <c r="C5" i="66"/>
  <c r="A16" i="100"/>
  <c r="A10" i="100"/>
  <c r="A25" i="58"/>
  <c r="A56" i="101"/>
  <c r="A19" i="101"/>
  <c r="A48" i="65"/>
  <c r="A32" i="65"/>
  <c r="A16" i="65"/>
  <c r="A60" i="64"/>
  <c r="A53" i="64"/>
  <c r="A34" i="64"/>
  <c r="A19" i="64"/>
  <c r="A11" i="64"/>
  <c r="A54" i="63"/>
  <c r="A50" i="63"/>
  <c r="A46" i="63"/>
  <c r="A42" i="63"/>
  <c r="A38" i="63"/>
  <c r="A34" i="63"/>
  <c r="A31" i="63"/>
  <c r="A27" i="63"/>
  <c r="A23" i="63"/>
  <c r="A19" i="63"/>
  <c r="A15" i="63"/>
  <c r="A11" i="63"/>
  <c r="A8" i="63"/>
  <c r="F6" i="63"/>
  <c r="A3" i="63"/>
  <c r="A54" i="62"/>
  <c r="A50" i="62"/>
  <c r="A46" i="62"/>
  <c r="A42" i="62"/>
  <c r="A38" i="62"/>
  <c r="A34" i="62"/>
  <c r="A30" i="62"/>
  <c r="A26" i="62"/>
  <c r="A22" i="62"/>
  <c r="A18" i="62"/>
  <c r="A14" i="62"/>
  <c r="A10" i="62"/>
  <c r="A6" i="62"/>
  <c r="A1" i="62"/>
  <c r="A56" i="61"/>
  <c r="A52" i="61"/>
  <c r="A48" i="61"/>
  <c r="A44" i="61"/>
  <c r="A40" i="61"/>
  <c r="A36" i="61"/>
  <c r="A32" i="61"/>
  <c r="A31" i="61"/>
  <c r="A27" i="61"/>
  <c r="A23" i="61"/>
  <c r="A19" i="61"/>
  <c r="A15" i="61"/>
  <c r="A11" i="61"/>
  <c r="A8" i="61"/>
  <c r="F6" i="61"/>
  <c r="A4" i="61"/>
  <c r="A56" i="60"/>
  <c r="A52" i="60"/>
  <c r="A48" i="60"/>
  <c r="A44" i="60"/>
  <c r="A40" i="60"/>
  <c r="A36" i="60"/>
  <c r="A32" i="60"/>
  <c r="A28" i="60"/>
  <c r="A24" i="60"/>
  <c r="A20" i="60"/>
  <c r="A16" i="60"/>
  <c r="A12" i="60"/>
  <c r="A9" i="60"/>
  <c r="A7" i="60"/>
  <c r="A4" i="60"/>
  <c r="A41" i="59"/>
  <c r="A32" i="59"/>
  <c r="A27" i="59"/>
  <c r="A23" i="59"/>
  <c r="A19" i="59"/>
  <c r="A15" i="59"/>
  <c r="A10" i="59"/>
  <c r="A6" i="59"/>
  <c r="A1" i="59"/>
  <c r="A70" i="57"/>
  <c r="A65" i="57"/>
  <c r="A61" i="57"/>
  <c r="A57" i="57"/>
  <c r="A53" i="57"/>
  <c r="A49" i="57"/>
  <c r="A45" i="57"/>
  <c r="A41" i="57"/>
  <c r="A33" i="57"/>
  <c r="A28" i="57"/>
  <c r="A22" i="57"/>
  <c r="A19" i="57"/>
  <c r="A15" i="57"/>
  <c r="A10" i="57"/>
  <c r="A8" i="57"/>
  <c r="A6" i="57"/>
  <c r="A1" i="57"/>
  <c r="A61" i="56"/>
  <c r="A57" i="56"/>
  <c r="A53" i="56"/>
  <c r="A46" i="56"/>
  <c r="A45" i="56"/>
  <c r="A44" i="56"/>
  <c r="A43" i="56"/>
  <c r="A42" i="56"/>
  <c r="A41" i="56"/>
  <c r="A40" i="56"/>
  <c r="A39" i="56"/>
  <c r="A33" i="56"/>
  <c r="A32" i="56"/>
  <c r="A31" i="56"/>
  <c r="A18" i="56"/>
  <c r="A14" i="56"/>
  <c r="A10" i="56"/>
  <c r="A6" i="56"/>
  <c r="A1" i="56"/>
  <c r="I5" i="104"/>
  <c r="D5" i="46"/>
  <c r="D5" i="109"/>
  <c r="D7" i="39"/>
  <c r="B6" i="35"/>
  <c r="I5" i="33"/>
  <c r="G6" i="32"/>
  <c r="F6" i="31"/>
  <c r="C6" i="26"/>
  <c r="L5" i="21"/>
  <c r="A42" i="100"/>
  <c r="A31" i="100"/>
  <c r="A12" i="100"/>
  <c r="A8" i="100"/>
  <c r="A1" i="100"/>
  <c r="A78" i="101"/>
  <c r="A47" i="101"/>
  <c r="A25" i="101"/>
  <c r="A15" i="101"/>
  <c r="A8" i="101"/>
  <c r="A44" i="65"/>
  <c r="A28" i="65"/>
  <c r="A12" i="65"/>
  <c r="A4" i="65"/>
  <c r="A72" i="64"/>
  <c r="A48" i="64"/>
  <c r="A30" i="64"/>
  <c r="A18" i="64"/>
  <c r="A10" i="64"/>
  <c r="F6" i="64"/>
  <c r="A53" i="63"/>
  <c r="A49" i="63"/>
  <c r="A45" i="63"/>
  <c r="A41" i="63"/>
  <c r="A37" i="63"/>
  <c r="A33" i="63"/>
  <c r="A30" i="63"/>
  <c r="A26" i="63"/>
  <c r="A22" i="63"/>
  <c r="A18" i="63"/>
  <c r="A14" i="63"/>
  <c r="A10" i="63"/>
  <c r="A6" i="63"/>
  <c r="A1" i="63"/>
  <c r="A53" i="62"/>
  <c r="A49" i="62"/>
  <c r="A45" i="62"/>
  <c r="A41" i="62"/>
  <c r="A37" i="62"/>
  <c r="A33" i="62"/>
  <c r="A29" i="62"/>
  <c r="A25" i="62"/>
  <c r="A21" i="62"/>
  <c r="A17" i="62"/>
  <c r="A13" i="62"/>
  <c r="A9" i="62"/>
  <c r="A7" i="62"/>
  <c r="A5" i="62"/>
  <c r="A2" i="62"/>
  <c r="A59" i="61"/>
  <c r="A55" i="61"/>
  <c r="A51" i="61"/>
  <c r="A47" i="61"/>
  <c r="A43" i="61"/>
  <c r="A39" i="61"/>
  <c r="A35" i="61"/>
  <c r="A30" i="61"/>
  <c r="A26" i="61"/>
  <c r="A22" i="61"/>
  <c r="A18" i="61"/>
  <c r="A14" i="61"/>
  <c r="A10" i="61"/>
  <c r="A6" i="61"/>
  <c r="A3" i="61"/>
  <c r="A1" i="61"/>
  <c r="A55" i="60"/>
  <c r="A51" i="60"/>
  <c r="A47" i="60"/>
  <c r="A43" i="60"/>
  <c r="A39" i="60"/>
  <c r="A35" i="60"/>
  <c r="A31" i="60"/>
  <c r="A27" i="60"/>
  <c r="A23" i="60"/>
  <c r="A19" i="60"/>
  <c r="A15" i="60"/>
  <c r="A11" i="60"/>
  <c r="M6" i="60"/>
  <c r="A3" i="60"/>
  <c r="A40" i="59"/>
  <c r="A37" i="59"/>
  <c r="A35" i="59"/>
  <c r="A34" i="59"/>
  <c r="A33" i="59"/>
  <c r="A31" i="59"/>
  <c r="A28" i="59"/>
  <c r="A22" i="59"/>
  <c r="A21" i="59"/>
  <c r="A20" i="59"/>
  <c r="A18" i="59"/>
  <c r="A14" i="59"/>
  <c r="A9" i="59"/>
  <c r="A7" i="59"/>
  <c r="A5" i="59"/>
  <c r="A2" i="59"/>
  <c r="A72" i="57"/>
  <c r="A69" i="57"/>
  <c r="A64" i="57"/>
  <c r="A60" i="57"/>
  <c r="A56" i="57"/>
  <c r="A52" i="57"/>
  <c r="A48" i="57"/>
  <c r="A44" i="57"/>
  <c r="A40" i="57"/>
  <c r="A37" i="57"/>
  <c r="A36" i="57"/>
  <c r="A30" i="57"/>
  <c r="A26" i="57"/>
  <c r="A18" i="57"/>
  <c r="A13" i="57"/>
  <c r="A5" i="57"/>
  <c r="A2" i="57"/>
  <c r="A64" i="56"/>
  <c r="A60" i="56"/>
  <c r="A56" i="56"/>
  <c r="A52" i="56"/>
  <c r="A49" i="56"/>
  <c r="A38" i="56"/>
  <c r="A30" i="56"/>
  <c r="A28" i="56"/>
  <c r="A26" i="56"/>
  <c r="A17" i="56"/>
  <c r="A13" i="56"/>
  <c r="A9" i="56"/>
  <c r="A7" i="56"/>
  <c r="A5" i="56"/>
  <c r="A2" i="56"/>
  <c r="D7" i="41"/>
  <c r="D7" i="38"/>
  <c r="D7" i="37"/>
  <c r="E6" i="36"/>
  <c r="F6" i="28"/>
  <c r="J5" i="24"/>
  <c r="L5" i="20"/>
  <c r="A2" i="3"/>
  <c r="A5" i="3"/>
  <c r="A7" i="3"/>
  <c r="A9" i="3"/>
  <c r="A13" i="3"/>
  <c r="A17" i="3"/>
  <c r="A20" i="3"/>
  <c r="A25" i="3"/>
  <c r="A36" i="3"/>
  <c r="A40" i="3"/>
  <c r="A44" i="3"/>
  <c r="A54" i="3"/>
  <c r="A58" i="3"/>
  <c r="A61" i="3"/>
  <c r="A64" i="3"/>
  <c r="A68" i="3"/>
  <c r="I5" i="4"/>
  <c r="A1" i="89"/>
  <c r="A6" i="89"/>
  <c r="J5" i="9"/>
  <c r="A37" i="56"/>
  <c r="A51" i="56"/>
  <c r="A63" i="57"/>
  <c r="A38" i="60"/>
  <c r="A21" i="61"/>
  <c r="A12" i="62"/>
  <c r="A5" i="63"/>
  <c r="A40" i="63"/>
  <c r="A1" i="101"/>
  <c r="I5" i="3"/>
  <c r="A14" i="3"/>
  <c r="A3" i="3"/>
  <c r="A6" i="3"/>
  <c r="A8" i="3"/>
  <c r="A11" i="3"/>
  <c r="A15" i="3"/>
  <c r="A18" i="3"/>
  <c r="A22" i="3"/>
  <c r="A26" i="3"/>
  <c r="A38" i="3"/>
  <c r="A42" i="3"/>
  <c r="A46" i="3"/>
  <c r="A50" i="3"/>
  <c r="A53" i="3"/>
  <c r="A56" i="3"/>
  <c r="A63" i="3"/>
  <c r="A66" i="3"/>
  <c r="A69" i="3"/>
  <c r="A2" i="89"/>
  <c r="A5" i="89"/>
  <c r="A7" i="89"/>
  <c r="A9" i="89"/>
  <c r="H5" i="97"/>
  <c r="A10" i="97"/>
  <c r="K6" i="13"/>
  <c r="E21" i="13" s="1"/>
  <c r="M21" i="13" s="1"/>
  <c r="I7" i="14"/>
  <c r="A3" i="115"/>
  <c r="A6" i="115"/>
  <c r="A8" i="115"/>
  <c r="A110" i="115"/>
  <c r="G9" i="95"/>
  <c r="G5" i="23"/>
  <c r="J5" i="25"/>
  <c r="F6" i="30"/>
  <c r="B6" i="98"/>
  <c r="C6" i="107"/>
  <c r="A16" i="56"/>
  <c r="A48" i="56"/>
  <c r="A59" i="56"/>
  <c r="A9" i="57"/>
  <c r="A21" i="57"/>
  <c r="A38" i="57"/>
  <c r="A39" i="57"/>
  <c r="A55" i="57"/>
  <c r="A4" i="59"/>
  <c r="A13" i="59"/>
  <c r="A30" i="59"/>
  <c r="A8" i="60"/>
  <c r="A14" i="60"/>
  <c r="A30" i="60"/>
  <c r="A46" i="60"/>
  <c r="A7" i="61"/>
  <c r="A13" i="61"/>
  <c r="A29" i="61"/>
  <c r="A34" i="61"/>
  <c r="A50" i="61"/>
  <c r="A20" i="62"/>
  <c r="A36" i="62"/>
  <c r="A52" i="62"/>
  <c r="A2" i="63"/>
  <c r="A17" i="63"/>
  <c r="A48" i="63"/>
  <c r="A15" i="64"/>
  <c r="A57" i="64"/>
  <c r="A24" i="65"/>
  <c r="A69" i="101"/>
  <c r="A81" i="101"/>
  <c r="A3" i="89"/>
  <c r="A8" i="89"/>
  <c r="A4" i="97"/>
  <c r="A78" i="97"/>
  <c r="A7" i="115"/>
  <c r="C5" i="53"/>
  <c r="A7" i="57"/>
  <c r="A47" i="57"/>
  <c r="A22" i="60"/>
  <c r="A42" i="61"/>
  <c r="A4" i="62"/>
  <c r="A44" i="62"/>
  <c r="A25" i="63"/>
  <c r="A68" i="64"/>
  <c r="E11" i="2"/>
  <c r="D7" i="126" s="1"/>
  <c r="A1" i="3"/>
  <c r="A10" i="3"/>
  <c r="A4" i="3"/>
  <c r="A12" i="3"/>
  <c r="A16" i="3"/>
  <c r="A19" i="3"/>
  <c r="A23" i="3"/>
  <c r="A35" i="3"/>
  <c r="A39" i="3"/>
  <c r="A43" i="3"/>
  <c r="A47" i="3"/>
  <c r="A51" i="3"/>
  <c r="A57" i="3"/>
  <c r="A60" i="3"/>
  <c r="A67" i="3"/>
  <c r="A71" i="3"/>
  <c r="H5" i="89"/>
  <c r="A10" i="89"/>
  <c r="A1" i="97"/>
  <c r="A3" i="97"/>
  <c r="A6" i="97"/>
  <c r="A8" i="97"/>
  <c r="O7" i="112"/>
  <c r="I5" i="8"/>
  <c r="A4" i="115"/>
  <c r="K5" i="17"/>
  <c r="A25" i="17" s="1"/>
  <c r="D6" i="34"/>
  <c r="D6" i="94"/>
  <c r="D6" i="118"/>
  <c r="D7" i="40"/>
  <c r="D5" i="43"/>
  <c r="C6" i="106"/>
  <c r="B5" i="51"/>
  <c r="G5" i="55"/>
  <c r="A63" i="56"/>
  <c r="A4" i="57"/>
  <c r="A27" i="57"/>
  <c r="A43" i="57"/>
  <c r="A59" i="57"/>
  <c r="A71" i="57"/>
  <c r="A17" i="59"/>
  <c r="A39" i="59"/>
  <c r="A18" i="60"/>
  <c r="A34" i="60"/>
  <c r="A50" i="60"/>
  <c r="A17" i="61"/>
  <c r="A38" i="61"/>
  <c r="A54" i="61"/>
  <c r="A24" i="62"/>
  <c r="A40" i="62"/>
  <c r="A56" i="62"/>
  <c r="A21" i="63"/>
  <c r="A36" i="63"/>
  <c r="A52" i="63"/>
  <c r="A6" i="64"/>
  <c r="A26" i="64"/>
  <c r="A40" i="65"/>
  <c r="A10" i="101"/>
  <c r="A49" i="101"/>
  <c r="A37" i="58"/>
  <c r="A38" i="100"/>
  <c r="T133" i="68"/>
  <c r="I87" i="68"/>
  <c r="I89" i="68" s="1"/>
  <c r="I194" i="68" s="1"/>
  <c r="Q87" i="68"/>
  <c r="Q89" i="68" s="1"/>
  <c r="Q194" i="68" s="1"/>
  <c r="H225" i="68"/>
  <c r="H248" i="68" s="1"/>
  <c r="H256" i="68" s="1"/>
  <c r="H259" i="68" s="1"/>
  <c r="H261" i="68" s="1"/>
  <c r="P225" i="68"/>
  <c r="P248" i="68" s="1"/>
  <c r="P256" i="68" s="1"/>
  <c r="T128" i="68"/>
  <c r="O166" i="68"/>
  <c r="G124" i="68"/>
  <c r="T124" i="68"/>
  <c r="O87" i="68"/>
  <c r="O89" i="68" s="1"/>
  <c r="O225" i="68"/>
  <c r="O248" i="68" s="1"/>
  <c r="O256" i="68" s="1"/>
  <c r="F236" i="90"/>
  <c r="F99" i="68"/>
  <c r="G254" i="68"/>
  <c r="F245" i="90"/>
  <c r="T27" i="68"/>
  <c r="G145" i="68"/>
  <c r="F247" i="68"/>
  <c r="T247" i="68" s="1"/>
  <c r="G133" i="68"/>
  <c r="J166" i="68"/>
  <c r="R166" i="68"/>
  <c r="F178" i="90"/>
  <c r="T58" i="68"/>
  <c r="F98" i="90"/>
  <c r="T129" i="68"/>
  <c r="T135" i="68"/>
  <c r="G135" i="68"/>
  <c r="G190" i="68"/>
  <c r="F189" i="90"/>
  <c r="F208" i="90"/>
  <c r="F224" i="68"/>
  <c r="T224" i="68" s="1"/>
  <c r="F131" i="90"/>
  <c r="T132" i="68"/>
  <c r="G132" i="68"/>
  <c r="F209" i="68"/>
  <c r="G128" i="68"/>
  <c r="G185" i="68"/>
  <c r="F184" i="90"/>
  <c r="F179" i="68"/>
  <c r="G184" i="68"/>
  <c r="G189" i="68"/>
  <c r="G242" i="68"/>
  <c r="F181" i="90"/>
  <c r="F187" i="90"/>
  <c r="F211" i="90"/>
  <c r="G238" i="68"/>
  <c r="G245" i="68"/>
  <c r="G255" i="68"/>
  <c r="F135" i="90"/>
  <c r="F216" i="90"/>
  <c r="G186" i="68"/>
  <c r="F192" i="68"/>
  <c r="F235" i="90"/>
  <c r="G136" i="68"/>
  <c r="G24" i="66"/>
  <c r="G129" i="66"/>
  <c r="F247" i="72"/>
  <c r="F227" i="66"/>
  <c r="F250" i="66" s="1"/>
  <c r="F258" i="66" s="1"/>
  <c r="G58" i="66"/>
  <c r="G132" i="66"/>
  <c r="F209" i="72"/>
  <c r="F178" i="72"/>
  <c r="F116" i="72"/>
  <c r="G116" i="66"/>
  <c r="F126" i="72"/>
  <c r="F23" i="72"/>
  <c r="F133" i="72"/>
  <c r="G133" i="66"/>
  <c r="G114" i="66"/>
  <c r="G123" i="66"/>
  <c r="F130" i="72"/>
  <c r="G130" i="66"/>
  <c r="F98" i="72"/>
  <c r="F192" i="72"/>
  <c r="F224" i="72"/>
  <c r="G255" i="66"/>
  <c r="G134" i="66"/>
  <c r="F131" i="72"/>
  <c r="U20" i="101"/>
  <c r="U42" i="101"/>
  <c r="U60" i="101"/>
  <c r="Y68" i="101"/>
  <c r="U26" i="101"/>
  <c r="U56" i="101"/>
  <c r="U22" i="101"/>
  <c r="U30" i="101"/>
  <c r="U34" i="101"/>
  <c r="U72" i="101"/>
  <c r="U29" i="101"/>
  <c r="U33" i="101"/>
  <c r="X37" i="101"/>
  <c r="W37" i="101" s="1"/>
  <c r="U38" i="101"/>
  <c r="U67" i="101"/>
  <c r="Y71" i="101"/>
  <c r="U37" i="101"/>
  <c r="U51" i="101"/>
  <c r="U66" i="101"/>
  <c r="U25" i="101"/>
  <c r="U32" i="101"/>
  <c r="U36" i="101"/>
  <c r="U46" i="101"/>
  <c r="U71" i="101"/>
  <c r="U43" i="101"/>
  <c r="U45" i="101"/>
  <c r="U50" i="101"/>
  <c r="U70" i="101"/>
  <c r="U35" i="101"/>
  <c r="U54" i="101"/>
  <c r="U69" i="101"/>
  <c r="U74" i="101"/>
  <c r="U77" i="101"/>
  <c r="Y66" i="101"/>
  <c r="Y70" i="101"/>
  <c r="Y32" i="101"/>
  <c r="Y36" i="101"/>
  <c r="X33" i="101"/>
  <c r="W33" i="101" s="1"/>
  <c r="X69" i="101"/>
  <c r="W69" i="101" s="1"/>
  <c r="S19" i="59"/>
  <c r="S26" i="59"/>
  <c r="R26" i="59" s="1"/>
  <c r="S23" i="59"/>
  <c r="R23" i="59" s="1"/>
  <c r="X21" i="101"/>
  <c r="W21" i="101" s="1"/>
  <c r="Y21" i="101"/>
  <c r="X24" i="101"/>
  <c r="W24" i="101" s="1"/>
  <c r="Y24" i="101"/>
  <c r="X40" i="101"/>
  <c r="W40" i="101" s="1"/>
  <c r="Y40" i="101"/>
  <c r="X29" i="101"/>
  <c r="W29" i="101" s="1"/>
  <c r="Y29" i="101"/>
  <c r="T25" i="57"/>
  <c r="S25" i="57" s="1"/>
  <c r="T33" i="57"/>
  <c r="S33" i="57" s="1"/>
  <c r="K39" i="101"/>
  <c r="T22" i="57"/>
  <c r="S22" i="57" s="1"/>
  <c r="U25" i="57"/>
  <c r="T30" i="57"/>
  <c r="S30" i="57" s="1"/>
  <c r="U33" i="57"/>
  <c r="X22" i="101"/>
  <c r="W22" i="101" s="1"/>
  <c r="X30" i="101"/>
  <c r="W30" i="101" s="1"/>
  <c r="X34" i="101"/>
  <c r="W34" i="101" s="1"/>
  <c r="X38" i="101"/>
  <c r="W38" i="101" s="1"/>
  <c r="U22" i="57"/>
  <c r="T27" i="57"/>
  <c r="S27" i="57" s="1"/>
  <c r="U30" i="57"/>
  <c r="T35" i="57"/>
  <c r="S35" i="57" s="1"/>
  <c r="K20" i="101"/>
  <c r="K28" i="101"/>
  <c r="X27" i="101"/>
  <c r="W27" i="101" s="1"/>
  <c r="X31" i="101"/>
  <c r="W31" i="101" s="1"/>
  <c r="X35" i="101"/>
  <c r="W35" i="101" s="1"/>
  <c r="X43" i="101"/>
  <c r="W43" i="101" s="1"/>
  <c r="T21" i="57"/>
  <c r="S21" i="57" s="1"/>
  <c r="T29" i="57"/>
  <c r="S29" i="57" s="1"/>
  <c r="K25" i="101"/>
  <c r="K41" i="101"/>
  <c r="U21" i="57"/>
  <c r="D46" i="17"/>
  <c r="E50" i="17"/>
  <c r="T18" i="82"/>
  <c r="R18" i="82" s="1"/>
  <c r="D18" i="82" s="1"/>
  <c r="A18" i="82" s="1"/>
  <c r="A13" i="15"/>
  <c r="P18" i="82"/>
  <c r="D34" i="15"/>
  <c r="E35" i="15"/>
  <c r="U39" i="15"/>
  <c r="U36" i="15"/>
  <c r="U44" i="15"/>
  <c r="U40" i="15"/>
  <c r="A13" i="14"/>
  <c r="T36" i="14"/>
  <c r="T40" i="14"/>
  <c r="T44" i="14"/>
  <c r="T12" i="82"/>
  <c r="R12" i="82" s="1"/>
  <c r="D12" i="82" s="1"/>
  <c r="B12" i="82" s="1"/>
  <c r="S42" i="14"/>
  <c r="S35" i="14"/>
  <c r="T38" i="14"/>
  <c r="S43" i="14"/>
  <c r="E34" i="14"/>
  <c r="P12" i="82"/>
  <c r="S39" i="14"/>
  <c r="G128" i="66"/>
  <c r="G136" i="66"/>
  <c r="G131" i="68"/>
  <c r="G125" i="68"/>
  <c r="T131" i="68"/>
  <c r="G134" i="68"/>
  <c r="F129" i="90"/>
  <c r="T125" i="68"/>
  <c r="G129" i="68"/>
  <c r="T134" i="68"/>
  <c r="G137" i="68"/>
  <c r="F126" i="90"/>
  <c r="F134" i="90"/>
  <c r="T137" i="68"/>
  <c r="F127" i="72"/>
  <c r="F135" i="72"/>
  <c r="G130" i="68"/>
  <c r="U7" i="82"/>
  <c r="T7" i="82"/>
  <c r="R7" i="82" s="1"/>
  <c r="D7" i="82" s="1"/>
  <c r="E17" i="13" l="1"/>
  <c r="M17" i="13" s="1"/>
  <c r="E19" i="13"/>
  <c r="M19" i="13" s="1"/>
  <c r="E18" i="13"/>
  <c r="M18" i="13" s="1"/>
  <c r="E20" i="13"/>
  <c r="M20" i="13" s="1"/>
  <c r="E22" i="13"/>
  <c r="M22" i="13" s="1"/>
  <c r="E23" i="13"/>
  <c r="M23" i="13" s="1"/>
  <c r="E41" i="13"/>
  <c r="M41" i="13" s="1"/>
  <c r="E32" i="13"/>
  <c r="M32" i="13" s="1"/>
  <c r="E40" i="13"/>
  <c r="M40" i="13" s="1"/>
  <c r="E31" i="13"/>
  <c r="E39" i="13"/>
  <c r="M39" i="13" s="1"/>
  <c r="E30" i="13"/>
  <c r="M30" i="13" s="1"/>
  <c r="E37" i="13"/>
  <c r="M37" i="13" s="1"/>
  <c r="E29" i="13"/>
  <c r="M29" i="13" s="1"/>
  <c r="E27" i="13"/>
  <c r="E24" i="13"/>
  <c r="M24" i="13" s="1"/>
  <c r="E36" i="13"/>
  <c r="E42" i="13"/>
  <c r="M42" i="13" s="1"/>
  <c r="E35" i="13"/>
  <c r="M35" i="13" s="1"/>
  <c r="E26" i="13"/>
  <c r="E38" i="13"/>
  <c r="E34" i="13"/>
  <c r="E25" i="13"/>
  <c r="E33" i="13"/>
  <c r="M33" i="13" s="1"/>
  <c r="F24" i="90"/>
  <c r="T25" i="68"/>
  <c r="Q37" i="59"/>
  <c r="T37" i="59" s="1"/>
  <c r="X23" i="101"/>
  <c r="W23" i="101" s="1"/>
  <c r="I63" i="66"/>
  <c r="I61" i="66"/>
  <c r="I64" i="66"/>
  <c r="D20" i="5"/>
  <c r="D34" i="5"/>
  <c r="D22" i="5"/>
  <c r="T22" i="5" s="1"/>
  <c r="F65" i="66" s="1"/>
  <c r="D40" i="5"/>
  <c r="T40" i="5" s="1"/>
  <c r="D37" i="5"/>
  <c r="D21" i="5"/>
  <c r="T21" i="5" s="1"/>
  <c r="D33" i="5"/>
  <c r="T33" i="5" s="1"/>
  <c r="D28" i="5"/>
  <c r="T28" i="5" s="1"/>
  <c r="D27" i="5"/>
  <c r="T27" i="5" s="1"/>
  <c r="D25" i="5"/>
  <c r="T25" i="5" s="1"/>
  <c r="D35" i="5"/>
  <c r="T35" i="5" s="1"/>
  <c r="F84" i="68" s="1"/>
  <c r="T84" i="68" s="1"/>
  <c r="D30" i="5"/>
  <c r="T30" i="5" s="1"/>
  <c r="D29" i="5"/>
  <c r="T29" i="5" s="1"/>
  <c r="D39" i="5"/>
  <c r="T39" i="5" s="1"/>
  <c r="D38" i="5"/>
  <c r="T38" i="5" s="1"/>
  <c r="D24" i="5"/>
  <c r="T24" i="5" s="1"/>
  <c r="D23" i="5"/>
  <c r="T23" i="5" s="1"/>
  <c r="G25" i="66"/>
  <c r="F29" i="105"/>
  <c r="M89" i="121"/>
  <c r="C7" i="125"/>
  <c r="L6" i="123"/>
  <c r="N6" i="122"/>
  <c r="O6" i="11"/>
  <c r="I125" i="66"/>
  <c r="I50" i="66"/>
  <c r="I31" i="66"/>
  <c r="H31" i="90"/>
  <c r="H50" i="90"/>
  <c r="M90" i="121"/>
  <c r="F46" i="105"/>
  <c r="H31" i="72"/>
  <c r="H50" i="72"/>
  <c r="X33" i="110"/>
  <c r="Q14" i="110"/>
  <c r="Q29" i="110"/>
  <c r="H125" i="90"/>
  <c r="J125" i="90" s="1"/>
  <c r="H151" i="90"/>
  <c r="H68" i="92"/>
  <c r="J68" i="92" s="1"/>
  <c r="Q23" i="109"/>
  <c r="M91" i="121"/>
  <c r="AE256" i="80"/>
  <c r="AE259" i="80" s="1"/>
  <c r="Q18" i="109"/>
  <c r="I6" i="120"/>
  <c r="R33" i="110"/>
  <c r="J51" i="88"/>
  <c r="D86" i="74"/>
  <c r="D89" i="74" s="1"/>
  <c r="D91" i="74" s="1"/>
  <c r="J39" i="88"/>
  <c r="Q28" i="110"/>
  <c r="J76" i="88"/>
  <c r="H56" i="72"/>
  <c r="H125" i="72"/>
  <c r="H85" i="74"/>
  <c r="Q32" i="110"/>
  <c r="Y29" i="108"/>
  <c r="T42" i="5"/>
  <c r="G32" i="8"/>
  <c r="Q32" i="8" s="1"/>
  <c r="G33" i="8"/>
  <c r="Q33" i="8" s="1"/>
  <c r="H81" i="90"/>
  <c r="H82" i="90"/>
  <c r="H190" i="72"/>
  <c r="L190" i="72" s="1"/>
  <c r="H82" i="72"/>
  <c r="H81" i="72"/>
  <c r="L194" i="68"/>
  <c r="I81" i="66"/>
  <c r="I82" i="66"/>
  <c r="F38" i="66"/>
  <c r="I126" i="66"/>
  <c r="I190" i="66"/>
  <c r="I151" i="66"/>
  <c r="L194" i="80"/>
  <c r="F38" i="72"/>
  <c r="AG261" i="80"/>
  <c r="C31" i="79"/>
  <c r="AD261" i="80"/>
  <c r="I256" i="80"/>
  <c r="I259" i="80" s="1"/>
  <c r="J256" i="80"/>
  <c r="J259" i="80" s="1"/>
  <c r="K259" i="80"/>
  <c r="E194" i="80"/>
  <c r="H256" i="80"/>
  <c r="H259" i="80" s="1"/>
  <c r="G256" i="80"/>
  <c r="G259" i="80" s="1"/>
  <c r="Y194" i="80"/>
  <c r="X26" i="101"/>
  <c r="W26" i="101" s="1"/>
  <c r="H49" i="82"/>
  <c r="R49" i="82" s="1"/>
  <c r="D49" i="82" s="1"/>
  <c r="B49" i="82" s="1"/>
  <c r="X42" i="101"/>
  <c r="W42" i="101" s="1"/>
  <c r="R33" i="36"/>
  <c r="N33" i="36" s="1"/>
  <c r="F144" i="72"/>
  <c r="A45" i="82"/>
  <c r="T34" i="5"/>
  <c r="G25" i="8"/>
  <c r="Q25" i="8" s="1"/>
  <c r="G24" i="8"/>
  <c r="Q24" i="8" s="1"/>
  <c r="G30" i="8"/>
  <c r="Q30" i="8" s="1"/>
  <c r="G23" i="8"/>
  <c r="Q23" i="8" s="1"/>
  <c r="G29" i="8"/>
  <c r="Q29" i="8" s="1"/>
  <c r="G28" i="8"/>
  <c r="Q28" i="8" s="1"/>
  <c r="G27" i="8"/>
  <c r="Q27" i="8" s="1"/>
  <c r="A46" i="82"/>
  <c r="A43" i="82"/>
  <c r="A31" i="82"/>
  <c r="B37" i="82"/>
  <c r="T194" i="80"/>
  <c r="V194" i="80"/>
  <c r="K194" i="80"/>
  <c r="I194" i="80"/>
  <c r="G115" i="66"/>
  <c r="W261" i="80"/>
  <c r="J90" i="69"/>
  <c r="C27" i="79"/>
  <c r="Z261" i="80"/>
  <c r="R261" i="80"/>
  <c r="AB194" i="80"/>
  <c r="Q261" i="80"/>
  <c r="Q194" i="80"/>
  <c r="O194" i="80"/>
  <c r="C23" i="79"/>
  <c r="V261" i="80"/>
  <c r="O261" i="80"/>
  <c r="AE194" i="80"/>
  <c r="J194" i="80"/>
  <c r="AA194" i="80"/>
  <c r="S194" i="80"/>
  <c r="AD194" i="80"/>
  <c r="AG194" i="80"/>
  <c r="N194" i="80"/>
  <c r="J86" i="88"/>
  <c r="U194" i="80"/>
  <c r="Q259" i="68"/>
  <c r="Q261" i="68" s="1"/>
  <c r="Z194" i="80"/>
  <c r="O259" i="68"/>
  <c r="O261" i="68" s="1"/>
  <c r="L261" i="80"/>
  <c r="Y261" i="80"/>
  <c r="AA261" i="80"/>
  <c r="AI165" i="80"/>
  <c r="M194" i="80"/>
  <c r="P259" i="68"/>
  <c r="P261" i="68" s="1"/>
  <c r="R194" i="80"/>
  <c r="W194" i="80"/>
  <c r="N261" i="80"/>
  <c r="AB261" i="80"/>
  <c r="S261" i="80"/>
  <c r="P194" i="80"/>
  <c r="AC261" i="80"/>
  <c r="H194" i="80"/>
  <c r="U261" i="80"/>
  <c r="T261" i="80"/>
  <c r="AF194" i="80"/>
  <c r="D225" i="80"/>
  <c r="X194" i="80"/>
  <c r="D165" i="80"/>
  <c r="X261" i="80"/>
  <c r="AI225" i="80"/>
  <c r="M261" i="80"/>
  <c r="AF261" i="80"/>
  <c r="J90" i="87"/>
  <c r="AC194" i="80"/>
  <c r="P261" i="80"/>
  <c r="B44" i="82"/>
  <c r="A39" i="82"/>
  <c r="A21" i="82"/>
  <c r="A34" i="82"/>
  <c r="H176" i="90"/>
  <c r="H243" i="90"/>
  <c r="I176" i="66"/>
  <c r="I246" i="66"/>
  <c r="H176" i="72"/>
  <c r="J176" i="72" s="1"/>
  <c r="H244" i="72"/>
  <c r="H49" i="90"/>
  <c r="J49" i="90" s="1"/>
  <c r="H78" i="90"/>
  <c r="H75" i="90"/>
  <c r="H76" i="90"/>
  <c r="H77" i="90"/>
  <c r="H234" i="90"/>
  <c r="H30" i="90"/>
  <c r="F38" i="90"/>
  <c r="H49" i="72"/>
  <c r="H76" i="72"/>
  <c r="H78" i="72"/>
  <c r="H75" i="72"/>
  <c r="H77" i="72"/>
  <c r="H235" i="72"/>
  <c r="H30" i="72"/>
  <c r="F39" i="68"/>
  <c r="T39" i="68" s="1"/>
  <c r="T26" i="68"/>
  <c r="G115" i="68"/>
  <c r="T115" i="68"/>
  <c r="P194" i="68"/>
  <c r="N194" i="68"/>
  <c r="F252" i="90"/>
  <c r="K194" i="68"/>
  <c r="S194" i="68"/>
  <c r="H194" i="68"/>
  <c r="G117" i="68"/>
  <c r="M194" i="68"/>
  <c r="O194" i="68"/>
  <c r="J194" i="68"/>
  <c r="S36" i="106"/>
  <c r="I49" i="66"/>
  <c r="I76" i="66"/>
  <c r="I77" i="66"/>
  <c r="I78" i="66"/>
  <c r="I75" i="66"/>
  <c r="G26" i="66"/>
  <c r="I32" i="66"/>
  <c r="I67" i="66"/>
  <c r="I235" i="66"/>
  <c r="F115" i="72"/>
  <c r="I54" i="66"/>
  <c r="I239" i="66"/>
  <c r="I160" i="66"/>
  <c r="I95" i="66"/>
  <c r="I42" i="66"/>
  <c r="I114" i="66"/>
  <c r="I15" i="66"/>
  <c r="I23" i="66"/>
  <c r="I189" i="66"/>
  <c r="I124" i="66"/>
  <c r="C7" i="66"/>
  <c r="G119" i="66" s="1"/>
  <c r="I30" i="66"/>
  <c r="I171" i="66"/>
  <c r="I25" i="66"/>
  <c r="I120" i="66"/>
  <c r="I216" i="66"/>
  <c r="I107" i="66"/>
  <c r="I16" i="66"/>
  <c r="I218" i="66"/>
  <c r="I13" i="66"/>
  <c r="I55" i="66"/>
  <c r="I230" i="66"/>
  <c r="I19" i="66"/>
  <c r="I173" i="66"/>
  <c r="I170" i="66"/>
  <c r="I234" i="66"/>
  <c r="I14" i="66"/>
  <c r="I135" i="66"/>
  <c r="I91" i="66"/>
  <c r="I259" i="66"/>
  <c r="I221" i="66"/>
  <c r="I157" i="66"/>
  <c r="I156" i="66"/>
  <c r="I191" i="66"/>
  <c r="I153" i="66"/>
  <c r="I225" i="66"/>
  <c r="I132" i="66"/>
  <c r="I208" i="66"/>
  <c r="I51" i="66"/>
  <c r="I255" i="66"/>
  <c r="I214" i="66"/>
  <c r="C7" i="90"/>
  <c r="I177" i="66"/>
  <c r="I144" i="66"/>
  <c r="I142" i="66"/>
  <c r="I141" i="66"/>
  <c r="I111" i="66"/>
  <c r="I113" i="66"/>
  <c r="I200" i="66"/>
  <c r="I244" i="66"/>
  <c r="I155" i="66"/>
  <c r="I110" i="66"/>
  <c r="I128" i="66"/>
  <c r="I117" i="66"/>
  <c r="I116" i="66"/>
  <c r="I242" i="66"/>
  <c r="I223" i="66"/>
  <c r="I127" i="66"/>
  <c r="I243" i="66"/>
  <c r="I94" i="66"/>
  <c r="I109" i="66"/>
  <c r="I68" i="66"/>
  <c r="I83" i="66"/>
  <c r="I168" i="66"/>
  <c r="I58" i="66"/>
  <c r="I260" i="66"/>
  <c r="I53" i="66"/>
  <c r="I158" i="66"/>
  <c r="I245" i="66"/>
  <c r="I206" i="66"/>
  <c r="I123" i="66"/>
  <c r="I162" i="66"/>
  <c r="I60" i="66"/>
  <c r="I66" i="66"/>
  <c r="I48" i="66"/>
  <c r="I65" i="66"/>
  <c r="I161" i="66"/>
  <c r="G57" i="66"/>
  <c r="U6" i="82"/>
  <c r="F60" i="74"/>
  <c r="M76" i="87"/>
  <c r="M84" i="87" s="1"/>
  <c r="M87" i="87" s="1"/>
  <c r="M90" i="87" s="1"/>
  <c r="M76" i="69"/>
  <c r="M84" i="69" s="1"/>
  <c r="M87" i="69" s="1"/>
  <c r="M90" i="69" s="1"/>
  <c r="F78" i="92"/>
  <c r="M58" i="69"/>
  <c r="A26" i="82"/>
  <c r="I241" i="66"/>
  <c r="I129" i="66"/>
  <c r="I22" i="66"/>
  <c r="I169" i="66"/>
  <c r="I79" i="66"/>
  <c r="I224" i="66"/>
  <c r="I215" i="66"/>
  <c r="I174" i="66"/>
  <c r="I96" i="66"/>
  <c r="I203" i="66"/>
  <c r="I219" i="66"/>
  <c r="I35" i="66"/>
  <c r="I92" i="66"/>
  <c r="I47" i="66"/>
  <c r="I103" i="66"/>
  <c r="I252" i="66"/>
  <c r="I188" i="66"/>
  <c r="R194" i="68"/>
  <c r="X28" i="109"/>
  <c r="T32" i="14"/>
  <c r="U32" i="15"/>
  <c r="A28" i="82"/>
  <c r="I210" i="66"/>
  <c r="I104" i="66"/>
  <c r="I251" i="66"/>
  <c r="I149" i="66"/>
  <c r="I29" i="66"/>
  <c r="I207" i="66"/>
  <c r="I146" i="66"/>
  <c r="I46" i="66"/>
  <c r="I97" i="66"/>
  <c r="I159" i="66"/>
  <c r="I52" i="66"/>
  <c r="I106" i="66"/>
  <c r="I183" i="66"/>
  <c r="I45" i="66"/>
  <c r="I136" i="66"/>
  <c r="J85" i="74"/>
  <c r="M58" i="87"/>
  <c r="F194" i="80"/>
  <c r="AI88" i="80"/>
  <c r="I185" i="66"/>
  <c r="I93" i="66"/>
  <c r="I233" i="66"/>
  <c r="I134" i="66"/>
  <c r="I20" i="66"/>
  <c r="F259" i="66"/>
  <c r="F257" i="72" s="1"/>
  <c r="I130" i="66"/>
  <c r="I36" i="66"/>
  <c r="I80" i="66"/>
  <c r="I121" i="66"/>
  <c r="I248" i="66"/>
  <c r="I34" i="66"/>
  <c r="I84" i="66"/>
  <c r="I154" i="66"/>
  <c r="I236" i="66"/>
  <c r="I27" i="66"/>
  <c r="S35" i="107"/>
  <c r="D88" i="80"/>
  <c r="T6" i="82"/>
  <c r="R6" i="82" s="1"/>
  <c r="D6" i="82" s="1"/>
  <c r="I204" i="66"/>
  <c r="R25" i="82"/>
  <c r="D25" i="82" s="1"/>
  <c r="B25" i="82" s="1"/>
  <c r="L85" i="88"/>
  <c r="L88" i="88" s="1"/>
  <c r="L91" i="88" s="1"/>
  <c r="D248" i="80"/>
  <c r="E256" i="80"/>
  <c r="D86" i="80"/>
  <c r="J67" i="88"/>
  <c r="J77" i="88" s="1"/>
  <c r="J85" i="88" s="1"/>
  <c r="S29" i="108"/>
  <c r="AI248" i="80"/>
  <c r="P29" i="46"/>
  <c r="H38" i="82" s="1"/>
  <c r="R38" i="82" s="1"/>
  <c r="D38" i="82" s="1"/>
  <c r="M85" i="88"/>
  <c r="M88" i="88" s="1"/>
  <c r="M91" i="88" s="1"/>
  <c r="F60" i="92"/>
  <c r="M59" i="88"/>
  <c r="G194" i="80"/>
  <c r="D78" i="92"/>
  <c r="D86" i="92" s="1"/>
  <c r="D89" i="92" s="1"/>
  <c r="D91" i="92" s="1"/>
  <c r="A35" i="82"/>
  <c r="A32" i="82"/>
  <c r="A33" i="82"/>
  <c r="B30" i="82"/>
  <c r="A5" i="82"/>
  <c r="B3" i="82"/>
  <c r="B4" i="82"/>
  <c r="I150" i="66"/>
  <c r="I237" i="66"/>
  <c r="R24" i="82"/>
  <c r="D24" i="82" s="1"/>
  <c r="B24" i="82" s="1"/>
  <c r="R34" i="43"/>
  <c r="R21" i="43"/>
  <c r="T59" i="68"/>
  <c r="B29" i="82"/>
  <c r="H72" i="74"/>
  <c r="J72" i="74" s="1"/>
  <c r="H53" i="92"/>
  <c r="J53" i="92" s="1"/>
  <c r="H85" i="92"/>
  <c r="J85" i="92" s="1"/>
  <c r="F78" i="74"/>
  <c r="F86" i="92"/>
  <c r="A17" i="82"/>
  <c r="B13" i="82"/>
  <c r="A23" i="82"/>
  <c r="A20" i="82"/>
  <c r="B47" i="82"/>
  <c r="B8" i="82"/>
  <c r="A19" i="82"/>
  <c r="B10" i="82"/>
  <c r="A14" i="82"/>
  <c r="B16" i="82"/>
  <c r="B11" i="82"/>
  <c r="B22" i="82"/>
  <c r="A15" i="82"/>
  <c r="I147" i="66"/>
  <c r="I17" i="66"/>
  <c r="I220" i="66"/>
  <c r="I181" i="66"/>
  <c r="H27" i="82"/>
  <c r="R27" i="82" s="1"/>
  <c r="D27" i="82" s="1"/>
  <c r="A27" i="82" s="1"/>
  <c r="B48" i="82"/>
  <c r="A28" i="17"/>
  <c r="A40" i="17"/>
  <c r="A27" i="17"/>
  <c r="A37" i="17"/>
  <c r="A20" i="17"/>
  <c r="A72" i="17"/>
  <c r="F160" i="66"/>
  <c r="F160" i="72" s="1"/>
  <c r="A67" i="17"/>
  <c r="A62" i="17"/>
  <c r="A51" i="17"/>
  <c r="A65" i="17"/>
  <c r="A49" i="17"/>
  <c r="A47" i="17"/>
  <c r="A56" i="17"/>
  <c r="A73" i="17"/>
  <c r="A50" i="17"/>
  <c r="A43" i="17"/>
  <c r="A42" i="17"/>
  <c r="A4" i="17"/>
  <c r="A21" i="17"/>
  <c r="A70" i="17"/>
  <c r="A11" i="17"/>
  <c r="A66" i="17"/>
  <c r="A44" i="17"/>
  <c r="A38" i="17"/>
  <c r="A33" i="17"/>
  <c r="A45" i="17"/>
  <c r="A39" i="17"/>
  <c r="A35" i="17"/>
  <c r="A16" i="17"/>
  <c r="A59" i="17"/>
  <c r="A58" i="17"/>
  <c r="A29" i="17"/>
  <c r="A57" i="17"/>
  <c r="A36" i="17"/>
  <c r="A64" i="17"/>
  <c r="A41" i="17"/>
  <c r="A19" i="17"/>
  <c r="A54" i="17"/>
  <c r="I253" i="66"/>
  <c r="I202" i="66"/>
  <c r="I152" i="66"/>
  <c r="I122" i="66"/>
  <c r="I73" i="66"/>
  <c r="I33" i="66"/>
  <c r="I256" i="66"/>
  <c r="I217" i="66"/>
  <c r="I184" i="66"/>
  <c r="I143" i="66"/>
  <c r="I115" i="66"/>
  <c r="I232" i="66"/>
  <c r="I231" i="66"/>
  <c r="I238" i="66"/>
  <c r="I205" i="66"/>
  <c r="I133" i="66"/>
  <c r="I118" i="66"/>
  <c r="I74" i="66"/>
  <c r="I26" i="66"/>
  <c r="I254" i="66"/>
  <c r="I148" i="66"/>
  <c r="I41" i="66"/>
  <c r="I240" i="66"/>
  <c r="I145" i="66"/>
  <c r="I71" i="66"/>
  <c r="I24" i="66"/>
  <c r="I175" i="66"/>
  <c r="I119" i="66"/>
  <c r="I59" i="66"/>
  <c r="C7" i="72"/>
  <c r="I247" i="66"/>
  <c r="I172" i="66"/>
  <c r="I105" i="66"/>
  <c r="I28" i="66"/>
  <c r="I209" i="66"/>
  <c r="I131" i="66"/>
  <c r="I57" i="66"/>
  <c r="I187" i="66"/>
  <c r="I21" i="66"/>
  <c r="A2" i="82"/>
  <c r="K10" i="2"/>
  <c r="K11" i="2" s="1"/>
  <c r="B2" i="82"/>
  <c r="A74" i="17"/>
  <c r="A71" i="17"/>
  <c r="A61" i="17"/>
  <c r="A52" i="17"/>
  <c r="A34" i="17"/>
  <c r="A26" i="17"/>
  <c r="A9" i="17"/>
  <c r="A7" i="17"/>
  <c r="A69" i="17"/>
  <c r="A55" i="17"/>
  <c r="A24" i="17"/>
  <c r="A14" i="17"/>
  <c r="A8" i="17"/>
  <c r="A2" i="17"/>
  <c r="A68" i="17"/>
  <c r="A53" i="17"/>
  <c r="A32" i="17"/>
  <c r="A23" i="17"/>
  <c r="A18" i="17"/>
  <c r="A13" i="17"/>
  <c r="A5" i="17"/>
  <c r="A75" i="17"/>
  <c r="A63" i="17"/>
  <c r="A48" i="17"/>
  <c r="A31" i="17"/>
  <c r="A22" i="17"/>
  <c r="A17" i="17"/>
  <c r="A12" i="17"/>
  <c r="A3" i="17"/>
  <c r="A60" i="17"/>
  <c r="A46" i="17"/>
  <c r="A30" i="17"/>
  <c r="A6" i="17"/>
  <c r="A1" i="17"/>
  <c r="G17" i="8"/>
  <c r="G20" i="8"/>
  <c r="Q20" i="8" s="1"/>
  <c r="G18" i="8"/>
  <c r="Q18" i="8" s="1"/>
  <c r="G19" i="8"/>
  <c r="Q19" i="8" s="1"/>
  <c r="I257" i="66"/>
  <c r="P1" i="66"/>
  <c r="M8" i="121" s="1"/>
  <c r="P2" i="66"/>
  <c r="M10" i="121" s="1"/>
  <c r="I44" i="66"/>
  <c r="I37" i="66"/>
  <c r="I201" i="66"/>
  <c r="I112" i="66"/>
  <c r="I72" i="66"/>
  <c r="F157" i="66"/>
  <c r="F157" i="72" s="1"/>
  <c r="C6" i="80"/>
  <c r="D6" i="85"/>
  <c r="J6" i="75"/>
  <c r="C6" i="90"/>
  <c r="J6" i="76"/>
  <c r="M9" i="100"/>
  <c r="M7" i="101"/>
  <c r="C6" i="66"/>
  <c r="G9" i="99"/>
  <c r="M8" i="58"/>
  <c r="K6" i="64"/>
  <c r="C7" i="70"/>
  <c r="C6" i="68"/>
  <c r="K6" i="63"/>
  <c r="N6" i="61"/>
  <c r="M7" i="60"/>
  <c r="I6" i="104"/>
  <c r="N6" i="65"/>
  <c r="D6" i="52"/>
  <c r="E6" i="108"/>
  <c r="C7" i="107"/>
  <c r="C7" i="106"/>
  <c r="D6" i="43"/>
  <c r="D8" i="40"/>
  <c r="F7" i="28"/>
  <c r="J6" i="24"/>
  <c r="L6" i="20"/>
  <c r="M7" i="57"/>
  <c r="L5" i="55"/>
  <c r="O5" i="53"/>
  <c r="G5" i="51"/>
  <c r="D7" i="110"/>
  <c r="D8" i="42"/>
  <c r="F7" i="29"/>
  <c r="G6" i="23"/>
  <c r="G10" i="95"/>
  <c r="L6" i="59"/>
  <c r="E7" i="50"/>
  <c r="D6" i="46"/>
  <c r="D8" i="39"/>
  <c r="D8" i="38"/>
  <c r="F6" i="98"/>
  <c r="I6" i="33"/>
  <c r="F7" i="30"/>
  <c r="J6" i="25"/>
  <c r="I6" i="115"/>
  <c r="I8" i="14"/>
  <c r="K7" i="13"/>
  <c r="I6" i="3"/>
  <c r="O8" i="112"/>
  <c r="C6" i="72"/>
  <c r="L6" i="56"/>
  <c r="J5" i="47"/>
  <c r="F6" i="35"/>
  <c r="I6" i="119"/>
  <c r="H6" i="22"/>
  <c r="K6" i="18"/>
  <c r="I8" i="15"/>
  <c r="K7" i="12"/>
  <c r="D6" i="10"/>
  <c r="N8" i="113"/>
  <c r="N7" i="5"/>
  <c r="D8" i="41"/>
  <c r="N6" i="118"/>
  <c r="L6" i="34"/>
  <c r="I6" i="8"/>
  <c r="H6" i="97"/>
  <c r="L6" i="62"/>
  <c r="G6" i="105"/>
  <c r="M5" i="117"/>
  <c r="D6" i="109"/>
  <c r="E7" i="36"/>
  <c r="G7" i="32"/>
  <c r="F7" i="31"/>
  <c r="G6" i="26"/>
  <c r="L6" i="21"/>
  <c r="L6" i="19"/>
  <c r="K6" i="17"/>
  <c r="J6" i="16"/>
  <c r="J6" i="9"/>
  <c r="H6" i="89"/>
  <c r="I6" i="4"/>
  <c r="M5" i="49"/>
  <c r="D8" i="37"/>
  <c r="L6" i="94"/>
  <c r="I124" i="2"/>
  <c r="H189" i="90"/>
  <c r="H187" i="90"/>
  <c r="H184" i="90"/>
  <c r="H181" i="90"/>
  <c r="J181" i="90" s="1"/>
  <c r="H177" i="90"/>
  <c r="H174" i="90"/>
  <c r="H172" i="90"/>
  <c r="H170" i="90"/>
  <c r="H168" i="90"/>
  <c r="H161" i="90"/>
  <c r="H159" i="90"/>
  <c r="H157" i="90"/>
  <c r="H155" i="90"/>
  <c r="H153" i="90"/>
  <c r="L153" i="90" s="1"/>
  <c r="H150" i="90"/>
  <c r="H148" i="90"/>
  <c r="H146" i="90"/>
  <c r="H144" i="90"/>
  <c r="H142" i="90"/>
  <c r="H135" i="90"/>
  <c r="H133" i="90"/>
  <c r="H131" i="90"/>
  <c r="L131" i="90" s="1"/>
  <c r="H129" i="90"/>
  <c r="J129" i="90" s="1"/>
  <c r="H127" i="90"/>
  <c r="H124" i="90"/>
  <c r="H122" i="90"/>
  <c r="H120" i="90"/>
  <c r="H118" i="90"/>
  <c r="H116" i="90"/>
  <c r="H114" i="90"/>
  <c r="H112" i="90"/>
  <c r="L112" i="90" s="1"/>
  <c r="H110" i="90"/>
  <c r="H107" i="90"/>
  <c r="H105" i="90"/>
  <c r="H103" i="90"/>
  <c r="H97" i="90"/>
  <c r="H95" i="90"/>
  <c r="H93" i="90"/>
  <c r="H91" i="90"/>
  <c r="H84" i="90"/>
  <c r="H80" i="90"/>
  <c r="H74" i="90"/>
  <c r="H72" i="90"/>
  <c r="H257" i="90"/>
  <c r="H253" i="90"/>
  <c r="H251" i="90"/>
  <c r="H249" i="90"/>
  <c r="H245" i="90"/>
  <c r="H242" i="90"/>
  <c r="H240" i="90"/>
  <c r="H238" i="90"/>
  <c r="H236" i="90"/>
  <c r="H190" i="90"/>
  <c r="H188" i="90"/>
  <c r="H185" i="90"/>
  <c r="H183" i="90"/>
  <c r="H175" i="90"/>
  <c r="H173" i="90"/>
  <c r="H171" i="90"/>
  <c r="H169" i="90"/>
  <c r="H162" i="90"/>
  <c r="L162" i="90" s="1"/>
  <c r="H160" i="90"/>
  <c r="H158" i="90"/>
  <c r="H156" i="90"/>
  <c r="H154" i="90"/>
  <c r="H152" i="90"/>
  <c r="H149" i="90"/>
  <c r="H147" i="90"/>
  <c r="H145" i="90"/>
  <c r="H143" i="90"/>
  <c r="H141" i="90"/>
  <c r="H136" i="90"/>
  <c r="H134" i="90"/>
  <c r="L134" i="90" s="1"/>
  <c r="H132" i="90"/>
  <c r="H130" i="90"/>
  <c r="H128" i="90"/>
  <c r="H126" i="90"/>
  <c r="J126" i="90" s="1"/>
  <c r="H123" i="90"/>
  <c r="H121" i="90"/>
  <c r="H119" i="90"/>
  <c r="H117" i="90"/>
  <c r="H115" i="90"/>
  <c r="H113" i="90"/>
  <c r="L113" i="90" s="1"/>
  <c r="H111" i="90"/>
  <c r="L111" i="90" s="1"/>
  <c r="H109" i="90"/>
  <c r="L109" i="90" s="1"/>
  <c r="H106" i="90"/>
  <c r="H104" i="90"/>
  <c r="H96" i="90"/>
  <c r="H94" i="90"/>
  <c r="H92" i="90"/>
  <c r="H83" i="90"/>
  <c r="H79" i="90"/>
  <c r="H73" i="90"/>
  <c r="H71" i="90"/>
  <c r="H68" i="90"/>
  <c r="H66" i="90"/>
  <c r="H64" i="90"/>
  <c r="H61" i="90"/>
  <c r="H59" i="90"/>
  <c r="H57" i="90"/>
  <c r="H254" i="90"/>
  <c r="H237" i="90"/>
  <c r="H231" i="90"/>
  <c r="H227" i="90"/>
  <c r="H221" i="90"/>
  <c r="H216" i="90"/>
  <c r="H212" i="90"/>
  <c r="H206" i="90"/>
  <c r="H202" i="90"/>
  <c r="H198" i="90"/>
  <c r="H63" i="90"/>
  <c r="H252" i="90"/>
  <c r="H244" i="90"/>
  <c r="H235" i="90"/>
  <c r="H230" i="90"/>
  <c r="H220" i="90"/>
  <c r="H215" i="90"/>
  <c r="H211" i="90"/>
  <c r="J211" i="90" s="1"/>
  <c r="H205" i="90"/>
  <c r="H201" i="90"/>
  <c r="H197" i="90"/>
  <c r="H65" i="90"/>
  <c r="H53" i="90"/>
  <c r="H51" i="90"/>
  <c r="H47" i="90"/>
  <c r="H45" i="90"/>
  <c r="H42" i="90"/>
  <c r="H36" i="90"/>
  <c r="H34" i="90"/>
  <c r="H32" i="90"/>
  <c r="H28" i="90"/>
  <c r="H26" i="90"/>
  <c r="H24" i="90"/>
  <c r="H22" i="90"/>
  <c r="H20" i="90"/>
  <c r="H17" i="90"/>
  <c r="H15" i="90"/>
  <c r="H13" i="90"/>
  <c r="H250" i="90"/>
  <c r="H241" i="90"/>
  <c r="H233" i="90"/>
  <c r="H229" i="90"/>
  <c r="H218" i="90"/>
  <c r="H214" i="90"/>
  <c r="H204" i="90"/>
  <c r="H200" i="90"/>
  <c r="H67" i="90"/>
  <c r="H58" i="90"/>
  <c r="H55" i="90"/>
  <c r="H256" i="90"/>
  <c r="H228" i="90"/>
  <c r="H207" i="90"/>
  <c r="H48" i="90"/>
  <c r="H37" i="90"/>
  <c r="H27" i="90"/>
  <c r="H19" i="90"/>
  <c r="H248" i="90"/>
  <c r="H222" i="90"/>
  <c r="H203" i="90"/>
  <c r="H46" i="90"/>
  <c r="H35" i="90"/>
  <c r="H25" i="90"/>
  <c r="H16" i="90"/>
  <c r="H239" i="90"/>
  <c r="H217" i="90"/>
  <c r="H199" i="90"/>
  <c r="H54" i="90"/>
  <c r="H44" i="90"/>
  <c r="H33" i="90"/>
  <c r="H23" i="90"/>
  <c r="H14" i="90"/>
  <c r="H232" i="90"/>
  <c r="H52" i="90"/>
  <c r="H213" i="90"/>
  <c r="H41" i="90"/>
  <c r="H60" i="90"/>
  <c r="H29" i="90"/>
  <c r="H21" i="90"/>
  <c r="H254" i="72"/>
  <c r="H251" i="72"/>
  <c r="H245" i="72"/>
  <c r="H240" i="72"/>
  <c r="H236" i="72"/>
  <c r="H234" i="72"/>
  <c r="H230" i="72"/>
  <c r="H222" i="72"/>
  <c r="H221" i="72"/>
  <c r="H216" i="72"/>
  <c r="H257" i="72"/>
  <c r="H255" i="72"/>
  <c r="H252" i="72"/>
  <c r="H246" i="72"/>
  <c r="H241" i="72"/>
  <c r="H237" i="72"/>
  <c r="H231" i="72"/>
  <c r="H223" i="72"/>
  <c r="H217" i="72"/>
  <c r="H258" i="72"/>
  <c r="H249" i="72"/>
  <c r="H242" i="72"/>
  <c r="H238" i="72"/>
  <c r="H232" i="72"/>
  <c r="H228" i="72"/>
  <c r="H243" i="72"/>
  <c r="H229" i="72"/>
  <c r="H218" i="72"/>
  <c r="H213" i="72"/>
  <c r="H208" i="72"/>
  <c r="H204" i="72"/>
  <c r="H199" i="72"/>
  <c r="H187" i="72"/>
  <c r="H181" i="72"/>
  <c r="H175" i="72"/>
  <c r="H171" i="72"/>
  <c r="H162" i="72"/>
  <c r="L162" i="72" s="1"/>
  <c r="H160" i="72"/>
  <c r="H158" i="72"/>
  <c r="H156" i="72"/>
  <c r="H154" i="72"/>
  <c r="H152" i="72"/>
  <c r="H149" i="72"/>
  <c r="H146" i="72"/>
  <c r="H143" i="72"/>
  <c r="H121" i="72"/>
  <c r="H117" i="72"/>
  <c r="H104" i="72"/>
  <c r="H97" i="72"/>
  <c r="H93" i="72"/>
  <c r="H253" i="72"/>
  <c r="H250" i="72"/>
  <c r="H214" i="72"/>
  <c r="H205" i="72"/>
  <c r="H200" i="72"/>
  <c r="H188" i="72"/>
  <c r="H183" i="72"/>
  <c r="H177" i="72"/>
  <c r="H172" i="72"/>
  <c r="H168" i="72"/>
  <c r="H147" i="72"/>
  <c r="H135" i="72"/>
  <c r="H133" i="72"/>
  <c r="L133" i="72" s="1"/>
  <c r="H131" i="72"/>
  <c r="L131" i="72" s="1"/>
  <c r="H129" i="72"/>
  <c r="H127" i="72"/>
  <c r="L127" i="72" s="1"/>
  <c r="H124" i="72"/>
  <c r="H122" i="72"/>
  <c r="H118" i="72"/>
  <c r="H115" i="72"/>
  <c r="H113" i="72"/>
  <c r="L113" i="72" s="1"/>
  <c r="H111" i="72"/>
  <c r="L111" i="72" s="1"/>
  <c r="H109" i="72"/>
  <c r="L109" i="72" s="1"/>
  <c r="H105" i="72"/>
  <c r="H94" i="72"/>
  <c r="H239" i="72"/>
  <c r="H233" i="72"/>
  <c r="H219" i="72"/>
  <c r="H215" i="72"/>
  <c r="H206" i="72"/>
  <c r="H201" i="72"/>
  <c r="H189" i="72"/>
  <c r="H184" i="72"/>
  <c r="H173" i="72"/>
  <c r="H169" i="72"/>
  <c r="H161" i="72"/>
  <c r="H159" i="72"/>
  <c r="H157" i="72"/>
  <c r="H155" i="72"/>
  <c r="H153" i="72"/>
  <c r="L153" i="72" s="1"/>
  <c r="H150" i="72"/>
  <c r="H148" i="72"/>
  <c r="H144" i="72"/>
  <c r="L144" i="72" s="1"/>
  <c r="H141" i="72"/>
  <c r="H119" i="72"/>
  <c r="H106" i="72"/>
  <c r="H95" i="72"/>
  <c r="H91" i="72"/>
  <c r="H191" i="72"/>
  <c r="H174" i="72"/>
  <c r="H130" i="72"/>
  <c r="H110" i="72"/>
  <c r="H52" i="72"/>
  <c r="H46" i="72"/>
  <c r="H35" i="72"/>
  <c r="H28" i="72"/>
  <c r="H25" i="72"/>
  <c r="H23" i="72"/>
  <c r="H20" i="72"/>
  <c r="H15" i="72"/>
  <c r="H212" i="72"/>
  <c r="H207" i="72"/>
  <c r="H202" i="72"/>
  <c r="H136" i="72"/>
  <c r="H128" i="72"/>
  <c r="H116" i="72"/>
  <c r="H107" i="72"/>
  <c r="H92" i="72"/>
  <c r="H84" i="72"/>
  <c r="H80" i="72"/>
  <c r="H74" i="72"/>
  <c r="H72" i="72"/>
  <c r="H67" i="72"/>
  <c r="H65" i="72"/>
  <c r="H63" i="72"/>
  <c r="H58" i="72"/>
  <c r="H53" i="72"/>
  <c r="H47" i="72"/>
  <c r="H42" i="72"/>
  <c r="H41" i="72"/>
  <c r="H36" i="72"/>
  <c r="H32" i="72"/>
  <c r="H29" i="72"/>
  <c r="H21" i="72"/>
  <c r="H16" i="72"/>
  <c r="H185" i="72"/>
  <c r="H170" i="72"/>
  <c r="H145" i="72"/>
  <c r="H142" i="72"/>
  <c r="H134" i="72"/>
  <c r="H126" i="72"/>
  <c r="H114" i="72"/>
  <c r="H59" i="72"/>
  <c r="H54" i="72"/>
  <c r="H48" i="72"/>
  <c r="H44" i="72"/>
  <c r="H37" i="72"/>
  <c r="H33" i="72"/>
  <c r="H26" i="72"/>
  <c r="H24" i="72"/>
  <c r="H22" i="72"/>
  <c r="H17" i="72"/>
  <c r="H13" i="72"/>
  <c r="L3" i="72"/>
  <c r="H112" i="72"/>
  <c r="L112" i="72" s="1"/>
  <c r="H96" i="72"/>
  <c r="H71" i="72"/>
  <c r="H61" i="72"/>
  <c r="H55" i="72"/>
  <c r="H45" i="72"/>
  <c r="H203" i="72"/>
  <c r="H103" i="72"/>
  <c r="H83" i="72"/>
  <c r="H68" i="72"/>
  <c r="H57" i="72"/>
  <c r="H14" i="72"/>
  <c r="H132" i="72"/>
  <c r="H120" i="72"/>
  <c r="H79" i="72"/>
  <c r="H66" i="72"/>
  <c r="H60" i="72"/>
  <c r="H51" i="72"/>
  <c r="H198" i="72"/>
  <c r="H73" i="72"/>
  <c r="H123" i="72"/>
  <c r="H64" i="72"/>
  <c r="H27" i="72"/>
  <c r="H34" i="72"/>
  <c r="H19" i="72"/>
  <c r="T209" i="68"/>
  <c r="F225" i="68"/>
  <c r="F191" i="90"/>
  <c r="F246" i="90"/>
  <c r="T192" i="68"/>
  <c r="F223" i="90"/>
  <c r="F225" i="72"/>
  <c r="R19" i="59"/>
  <c r="S37" i="59"/>
  <c r="H50" i="82" s="1"/>
  <c r="R50" i="82" s="1"/>
  <c r="D50" i="82" s="1"/>
  <c r="Y39" i="101"/>
  <c r="X39" i="101"/>
  <c r="W39" i="101" s="1"/>
  <c r="X25" i="101"/>
  <c r="W25" i="101" s="1"/>
  <c r="Y25" i="101"/>
  <c r="X20" i="101"/>
  <c r="W20" i="101" s="1"/>
  <c r="Y20" i="101"/>
  <c r="X41" i="101"/>
  <c r="W41" i="101" s="1"/>
  <c r="Y41" i="101"/>
  <c r="X28" i="101"/>
  <c r="W28" i="101" s="1"/>
  <c r="Y28" i="101"/>
  <c r="B18" i="82"/>
  <c r="E36" i="15"/>
  <c r="D35" i="15"/>
  <c r="A12" i="82"/>
  <c r="S32" i="14"/>
  <c r="E35" i="14"/>
  <c r="D34" i="14"/>
  <c r="B7" i="82"/>
  <c r="A7" i="82"/>
  <c r="F155" i="68" l="1"/>
  <c r="T155" i="68" s="1"/>
  <c r="M25" i="13"/>
  <c r="F154" i="66" s="1"/>
  <c r="F154" i="72" s="1"/>
  <c r="J154" i="72" s="1"/>
  <c r="L154" i="72" s="1"/>
  <c r="M27" i="13"/>
  <c r="M60" i="121" s="1"/>
  <c r="M34" i="13"/>
  <c r="F159" i="66" s="1"/>
  <c r="F159" i="72" s="1"/>
  <c r="J159" i="72" s="1"/>
  <c r="L159" i="72" s="1"/>
  <c r="M38" i="13"/>
  <c r="F110" i="68" s="1"/>
  <c r="G110" i="68" s="1"/>
  <c r="M26" i="13"/>
  <c r="F150" i="68" s="1"/>
  <c r="F149" i="90" s="1"/>
  <c r="M31" i="13"/>
  <c r="F157" i="68" s="1"/>
  <c r="M36" i="13"/>
  <c r="F162" i="68" s="1"/>
  <c r="L125" i="90"/>
  <c r="F110" i="66"/>
  <c r="G110" i="66" s="1"/>
  <c r="F111" i="66"/>
  <c r="G111" i="66" s="1"/>
  <c r="J31" i="72"/>
  <c r="L31" i="72"/>
  <c r="L50" i="90"/>
  <c r="J50" i="90"/>
  <c r="L31" i="90"/>
  <c r="J31" i="90"/>
  <c r="L50" i="72"/>
  <c r="J50" i="72"/>
  <c r="A49" i="82"/>
  <c r="J59" i="88"/>
  <c r="C32" i="79"/>
  <c r="AE261" i="80"/>
  <c r="H78" i="92"/>
  <c r="J78" i="92" s="1"/>
  <c r="J151" i="72"/>
  <c r="L151" i="72" s="1"/>
  <c r="L125" i="72"/>
  <c r="J125" i="72"/>
  <c r="J151" i="90"/>
  <c r="L151" i="90" s="1"/>
  <c r="J56" i="72"/>
  <c r="L56" i="72"/>
  <c r="F81" i="66"/>
  <c r="F81" i="72" s="1"/>
  <c r="J81" i="72" s="1"/>
  <c r="F82" i="68"/>
  <c r="L82" i="90"/>
  <c r="J82" i="90"/>
  <c r="L81" i="90"/>
  <c r="J190" i="72"/>
  <c r="L81" i="72"/>
  <c r="J82" i="72"/>
  <c r="L82" i="72"/>
  <c r="C8" i="79"/>
  <c r="K257" i="68" s="1"/>
  <c r="K259" i="68" s="1"/>
  <c r="K261" i="68" s="1"/>
  <c r="H261" i="80"/>
  <c r="C11" i="79"/>
  <c r="N257" i="68" s="1"/>
  <c r="N259" i="68" s="1"/>
  <c r="N261" i="68" s="1"/>
  <c r="K261" i="80"/>
  <c r="C9" i="79"/>
  <c r="L257" i="68" s="1"/>
  <c r="L259" i="68" s="1"/>
  <c r="L261" i="68" s="1"/>
  <c r="I261" i="80"/>
  <c r="D256" i="80"/>
  <c r="C10" i="79"/>
  <c r="M257" i="68" s="1"/>
  <c r="M259" i="68" s="1"/>
  <c r="M261" i="68" s="1"/>
  <c r="J261" i="80"/>
  <c r="C7" i="79"/>
  <c r="J257" i="68" s="1"/>
  <c r="J259" i="68" s="1"/>
  <c r="J261" i="68" s="1"/>
  <c r="G261" i="80"/>
  <c r="G17" i="66"/>
  <c r="G34" i="8"/>
  <c r="D44" i="5"/>
  <c r="H36" i="82"/>
  <c r="R36" i="82" s="1"/>
  <c r="D36" i="82" s="1"/>
  <c r="B36" i="82" s="1"/>
  <c r="J88" i="88"/>
  <c r="M104" i="121" s="1"/>
  <c r="I98" i="66"/>
  <c r="L176" i="72"/>
  <c r="J176" i="90"/>
  <c r="L176" i="90" s="1"/>
  <c r="J49" i="72"/>
  <c r="L49" i="72" s="1"/>
  <c r="I226" i="66"/>
  <c r="F79" i="68"/>
  <c r="F78" i="66"/>
  <c r="F77" i="68"/>
  <c r="F76" i="66"/>
  <c r="J244" i="72"/>
  <c r="L244" i="72" s="1"/>
  <c r="J243" i="90"/>
  <c r="L243" i="90" s="1"/>
  <c r="F152" i="66"/>
  <c r="F152" i="72" s="1"/>
  <c r="J152" i="72" s="1"/>
  <c r="L152" i="72" s="1"/>
  <c r="F78" i="68"/>
  <c r="F77" i="66"/>
  <c r="L49" i="90"/>
  <c r="J234" i="90"/>
  <c r="L234" i="90" s="1"/>
  <c r="J30" i="90"/>
  <c r="L30" i="90" s="1"/>
  <c r="J115" i="72"/>
  <c r="J235" i="72"/>
  <c r="L235" i="72" s="1"/>
  <c r="J30" i="72"/>
  <c r="L30" i="72" s="1"/>
  <c r="J257" i="72"/>
  <c r="L257" i="72" s="1"/>
  <c r="F261" i="66"/>
  <c r="F263" i="66" s="1"/>
  <c r="M100" i="121" s="1"/>
  <c r="T37" i="5"/>
  <c r="AI256" i="80"/>
  <c r="F259" i="80"/>
  <c r="C6" i="79" s="1"/>
  <c r="A25" i="82"/>
  <c r="B6" i="82"/>
  <c r="A6" i="82"/>
  <c r="A38" i="82"/>
  <c r="B38" i="82"/>
  <c r="E259" i="80"/>
  <c r="C5" i="79" s="1"/>
  <c r="B46" i="8"/>
  <c r="A24" i="82"/>
  <c r="F160" i="68"/>
  <c r="T160" i="68" s="1"/>
  <c r="H86" i="92"/>
  <c r="J86" i="92" s="1"/>
  <c r="F89" i="92"/>
  <c r="F91" i="92" s="1"/>
  <c r="H78" i="74"/>
  <c r="J78" i="74" s="1"/>
  <c r="F86" i="74"/>
  <c r="B27" i="82"/>
  <c r="I69" i="66"/>
  <c r="F161" i="68"/>
  <c r="F160" i="90" s="1"/>
  <c r="J160" i="90" s="1"/>
  <c r="L160" i="90" s="1"/>
  <c r="J160" i="72"/>
  <c r="L160" i="72" s="1"/>
  <c r="I178" i="66"/>
  <c r="I163" i="66"/>
  <c r="I211" i="66"/>
  <c r="I137" i="66"/>
  <c r="I192" i="66"/>
  <c r="I249" i="66"/>
  <c r="F158" i="68"/>
  <c r="T158" i="68" s="1"/>
  <c r="I38" i="66"/>
  <c r="I85" i="66"/>
  <c r="F151" i="68"/>
  <c r="F150" i="90" s="1"/>
  <c r="J150" i="90" s="1"/>
  <c r="L150" i="90" s="1"/>
  <c r="F156" i="66"/>
  <c r="F156" i="72" s="1"/>
  <c r="J156" i="72" s="1"/>
  <c r="L156" i="72" s="1"/>
  <c r="J157" i="72"/>
  <c r="L157" i="72" s="1"/>
  <c r="B60" i="5"/>
  <c r="J23" i="72"/>
  <c r="L23" i="72" s="1"/>
  <c r="J184" i="90"/>
  <c r="L184" i="90" s="1"/>
  <c r="H209" i="72"/>
  <c r="J198" i="72"/>
  <c r="L198" i="72" s="1"/>
  <c r="J203" i="72"/>
  <c r="L203" i="72" s="1"/>
  <c r="H38" i="72"/>
  <c r="J13" i="72"/>
  <c r="L13" i="72" s="1"/>
  <c r="J26" i="72"/>
  <c r="L26" i="72" s="1"/>
  <c r="J170" i="72"/>
  <c r="L170" i="72" s="1"/>
  <c r="L42" i="72"/>
  <c r="J42" i="72"/>
  <c r="J107" i="72"/>
  <c r="L107" i="72" s="1"/>
  <c r="J20" i="72"/>
  <c r="L20" i="72" s="1"/>
  <c r="L35" i="72"/>
  <c r="J35" i="72"/>
  <c r="J201" i="72"/>
  <c r="L201" i="72" s="1"/>
  <c r="J129" i="72"/>
  <c r="L129" i="72" s="1"/>
  <c r="J183" i="72"/>
  <c r="L183" i="72" s="1"/>
  <c r="L97" i="72"/>
  <c r="J97" i="72"/>
  <c r="J187" i="72"/>
  <c r="L187" i="72" s="1"/>
  <c r="H247" i="72"/>
  <c r="J228" i="72"/>
  <c r="L228" i="72" s="1"/>
  <c r="J231" i="72"/>
  <c r="L231" i="72" s="1"/>
  <c r="J221" i="72"/>
  <c r="L221" i="72" s="1"/>
  <c r="L254" i="72"/>
  <c r="J254" i="72"/>
  <c r="F156" i="68"/>
  <c r="F155" i="66"/>
  <c r="F155" i="72" s="1"/>
  <c r="J155" i="72" s="1"/>
  <c r="L155" i="72" s="1"/>
  <c r="F73" i="68"/>
  <c r="F72" i="66"/>
  <c r="J232" i="90"/>
  <c r="L232" i="90" s="1"/>
  <c r="J44" i="90"/>
  <c r="L44" i="90" s="1"/>
  <c r="J239" i="90"/>
  <c r="L239" i="90" s="1"/>
  <c r="L46" i="90"/>
  <c r="J46" i="90"/>
  <c r="J19" i="90"/>
  <c r="L19" i="90" s="1"/>
  <c r="J207" i="90"/>
  <c r="L207" i="90" s="1"/>
  <c r="L58" i="90"/>
  <c r="J58" i="90"/>
  <c r="J214" i="90"/>
  <c r="L214" i="90" s="1"/>
  <c r="J241" i="90"/>
  <c r="L241" i="90" s="1"/>
  <c r="J17" i="90"/>
  <c r="L17" i="90" s="1"/>
  <c r="J26" i="90"/>
  <c r="L26" i="90" s="1"/>
  <c r="L36" i="90"/>
  <c r="J36" i="90"/>
  <c r="J51" i="90"/>
  <c r="L51" i="90" s="1"/>
  <c r="J201" i="90"/>
  <c r="L201" i="90" s="1"/>
  <c r="J220" i="90"/>
  <c r="L220" i="90" s="1"/>
  <c r="J206" i="90"/>
  <c r="L206" i="90" s="1"/>
  <c r="H246" i="90"/>
  <c r="J246" i="90" s="1"/>
  <c r="J227" i="90"/>
  <c r="L227" i="90" s="1"/>
  <c r="L57" i="90"/>
  <c r="J57" i="90"/>
  <c r="L96" i="90"/>
  <c r="J96" i="90"/>
  <c r="J119" i="90"/>
  <c r="L119" i="90" s="1"/>
  <c r="J128" i="90"/>
  <c r="L128" i="90" s="1"/>
  <c r="L136" i="90"/>
  <c r="J136" i="90"/>
  <c r="J147" i="90"/>
  <c r="L147" i="90" s="1"/>
  <c r="J169" i="90"/>
  <c r="L169" i="90" s="1"/>
  <c r="J183" i="90"/>
  <c r="L183" i="90" s="1"/>
  <c r="J257" i="90"/>
  <c r="L257" i="90" s="1"/>
  <c r="L97" i="90"/>
  <c r="J97" i="90"/>
  <c r="J118" i="90"/>
  <c r="L118" i="90" s="1"/>
  <c r="L127" i="90"/>
  <c r="J127" i="90"/>
  <c r="J148" i="90"/>
  <c r="L148" i="90" s="1"/>
  <c r="J170" i="90"/>
  <c r="L170" i="90" s="1"/>
  <c r="H191" i="90"/>
  <c r="J191" i="90" s="1"/>
  <c r="L181" i="90"/>
  <c r="J252" i="90"/>
  <c r="L252" i="90" s="1"/>
  <c r="J144" i="72"/>
  <c r="J51" i="72"/>
  <c r="L51" i="72" s="1"/>
  <c r="J120" i="72"/>
  <c r="L120" i="72" s="1"/>
  <c r="L45" i="72"/>
  <c r="J45" i="72"/>
  <c r="L96" i="72"/>
  <c r="J96" i="72"/>
  <c r="J17" i="72"/>
  <c r="L17" i="72" s="1"/>
  <c r="J33" i="72"/>
  <c r="L33" i="72" s="1"/>
  <c r="J54" i="72"/>
  <c r="L54" i="72" s="1"/>
  <c r="L134" i="72"/>
  <c r="J134" i="72"/>
  <c r="L185" i="72"/>
  <c r="J185" i="72"/>
  <c r="J32" i="72"/>
  <c r="L32" i="72" s="1"/>
  <c r="J47" i="72"/>
  <c r="L47" i="72" s="1"/>
  <c r="J207" i="72"/>
  <c r="L207" i="72" s="1"/>
  <c r="L46" i="72"/>
  <c r="J46" i="72"/>
  <c r="J174" i="72"/>
  <c r="L174" i="72" s="1"/>
  <c r="J106" i="72"/>
  <c r="L106" i="72" s="1"/>
  <c r="J148" i="72"/>
  <c r="L148" i="72" s="1"/>
  <c r="J173" i="72"/>
  <c r="L173" i="72" s="1"/>
  <c r="J206" i="72"/>
  <c r="L206" i="72" s="1"/>
  <c r="L239" i="72"/>
  <c r="J239" i="72"/>
  <c r="L122" i="72"/>
  <c r="J122" i="72"/>
  <c r="L168" i="72"/>
  <c r="H178" i="72"/>
  <c r="J168" i="72"/>
  <c r="J188" i="72"/>
  <c r="L188" i="72" s="1"/>
  <c r="J250" i="72"/>
  <c r="L250" i="72" s="1"/>
  <c r="J104" i="72"/>
  <c r="L104" i="72" s="1"/>
  <c r="J146" i="72"/>
  <c r="L146" i="72" s="1"/>
  <c r="J171" i="72"/>
  <c r="L171" i="72" s="1"/>
  <c r="J199" i="72"/>
  <c r="L199" i="72" s="1"/>
  <c r="J218" i="72"/>
  <c r="L218" i="72" s="1"/>
  <c r="J232" i="72"/>
  <c r="L232" i="72" s="1"/>
  <c r="J258" i="72"/>
  <c r="L258" i="72" s="1"/>
  <c r="J237" i="72"/>
  <c r="L237" i="72" s="1"/>
  <c r="L255" i="72"/>
  <c r="J255" i="72"/>
  <c r="J222" i="72"/>
  <c r="L222" i="72" s="1"/>
  <c r="J240" i="72"/>
  <c r="L240" i="72" s="1"/>
  <c r="J236" i="90"/>
  <c r="L236" i="90" s="1"/>
  <c r="F153" i="66"/>
  <c r="F153" i="72" s="1"/>
  <c r="J153" i="72" s="1"/>
  <c r="F154" i="68"/>
  <c r="F162" i="66"/>
  <c r="F162" i="72" s="1"/>
  <c r="J162" i="72" s="1"/>
  <c r="F163" i="68"/>
  <c r="F65" i="68"/>
  <c r="F64" i="66"/>
  <c r="F75" i="68"/>
  <c r="F74" i="66"/>
  <c r="F71" i="66"/>
  <c r="F72" i="68"/>
  <c r="J41" i="90"/>
  <c r="L41" i="90" s="1"/>
  <c r="J14" i="90"/>
  <c r="L14" i="90" s="1"/>
  <c r="J54" i="90"/>
  <c r="L54" i="90" s="1"/>
  <c r="L16" i="90"/>
  <c r="J16" i="90"/>
  <c r="J203" i="90"/>
  <c r="L203" i="90" s="1"/>
  <c r="J27" i="90"/>
  <c r="L27" i="90" s="1"/>
  <c r="L228" i="90"/>
  <c r="J228" i="90"/>
  <c r="J218" i="90"/>
  <c r="L218" i="90" s="1"/>
  <c r="J250" i="90"/>
  <c r="L250" i="90" s="1"/>
  <c r="J20" i="90"/>
  <c r="L20" i="90" s="1"/>
  <c r="J28" i="90"/>
  <c r="L28" i="90" s="1"/>
  <c r="L42" i="90"/>
  <c r="J42" i="90"/>
  <c r="J53" i="90"/>
  <c r="L53" i="90" s="1"/>
  <c r="J205" i="90"/>
  <c r="L205" i="90" s="1"/>
  <c r="J230" i="90"/>
  <c r="L230" i="90" s="1"/>
  <c r="H69" i="90"/>
  <c r="J212" i="90"/>
  <c r="L212" i="90" s="1"/>
  <c r="J231" i="90"/>
  <c r="L231" i="90" s="1"/>
  <c r="L59" i="90"/>
  <c r="J59" i="90"/>
  <c r="J104" i="90"/>
  <c r="L104" i="90" s="1"/>
  <c r="J121" i="90"/>
  <c r="L121" i="90" s="1"/>
  <c r="J130" i="90"/>
  <c r="L130" i="90" s="1"/>
  <c r="H163" i="90"/>
  <c r="J141" i="90"/>
  <c r="L141" i="90" s="1"/>
  <c r="J171" i="90"/>
  <c r="L171" i="90" s="1"/>
  <c r="L185" i="90"/>
  <c r="J185" i="90"/>
  <c r="L238" i="90"/>
  <c r="J238" i="90"/>
  <c r="J249" i="90"/>
  <c r="L249" i="90" s="1"/>
  <c r="H98" i="90"/>
  <c r="J91" i="90"/>
  <c r="L91" i="90" s="1"/>
  <c r="H137" i="90"/>
  <c r="J103" i="90"/>
  <c r="L103" i="90" s="1"/>
  <c r="J120" i="90"/>
  <c r="L120" i="90" s="1"/>
  <c r="L129" i="90"/>
  <c r="J142" i="90"/>
  <c r="L142" i="90" s="1"/>
  <c r="J172" i="90"/>
  <c r="L172" i="90" s="1"/>
  <c r="J135" i="90"/>
  <c r="L135" i="90" s="1"/>
  <c r="J134" i="90"/>
  <c r="Q17" i="8"/>
  <c r="Q34" i="8" s="1"/>
  <c r="J189" i="90"/>
  <c r="L189" i="90" s="1"/>
  <c r="J133" i="72"/>
  <c r="F112" i="66"/>
  <c r="F113" i="68"/>
  <c r="H9" i="82"/>
  <c r="T20" i="5"/>
  <c r="F63" i="66" s="1"/>
  <c r="F66" i="66"/>
  <c r="F67" i="68"/>
  <c r="F80" i="68"/>
  <c r="F79" i="66"/>
  <c r="F81" i="68"/>
  <c r="F80" i="66"/>
  <c r="J21" i="90"/>
  <c r="L21" i="90" s="1"/>
  <c r="J213" i="90"/>
  <c r="L213" i="90" s="1"/>
  <c r="J23" i="90"/>
  <c r="L23" i="90" s="1"/>
  <c r="J199" i="90"/>
  <c r="L199" i="90" s="1"/>
  <c r="J25" i="90"/>
  <c r="L25" i="90" s="1"/>
  <c r="J222" i="90"/>
  <c r="L222" i="90" s="1"/>
  <c r="L37" i="90"/>
  <c r="J37" i="90"/>
  <c r="J200" i="90"/>
  <c r="L200" i="90" s="1"/>
  <c r="L229" i="90"/>
  <c r="J229" i="90"/>
  <c r="H38" i="90"/>
  <c r="J13" i="90"/>
  <c r="L13" i="90" s="1"/>
  <c r="J22" i="90"/>
  <c r="L22" i="90" s="1"/>
  <c r="J32" i="90"/>
  <c r="L32" i="90" s="1"/>
  <c r="L45" i="90"/>
  <c r="J45" i="90"/>
  <c r="L211" i="90"/>
  <c r="H223" i="90"/>
  <c r="J223" i="90" s="1"/>
  <c r="J198" i="90"/>
  <c r="L198" i="90" s="1"/>
  <c r="J237" i="90"/>
  <c r="L237" i="90" s="1"/>
  <c r="J61" i="90"/>
  <c r="L61" i="90" s="1"/>
  <c r="H85" i="90"/>
  <c r="J92" i="90"/>
  <c r="L92" i="90" s="1"/>
  <c r="J106" i="90"/>
  <c r="L106" i="90" s="1"/>
  <c r="J115" i="90"/>
  <c r="L115" i="90" s="1"/>
  <c r="J123" i="90"/>
  <c r="L123" i="90" s="1"/>
  <c r="J132" i="90"/>
  <c r="L132" i="90" s="1"/>
  <c r="L143" i="90"/>
  <c r="J143" i="90"/>
  <c r="J173" i="90"/>
  <c r="L173" i="90" s="1"/>
  <c r="J188" i="90"/>
  <c r="L188" i="90" s="1"/>
  <c r="J240" i="90"/>
  <c r="L240" i="90" s="1"/>
  <c r="J251" i="90"/>
  <c r="L251" i="90" s="1"/>
  <c r="J93" i="90"/>
  <c r="L93" i="90" s="1"/>
  <c r="J105" i="90"/>
  <c r="L105" i="90" s="1"/>
  <c r="J114" i="90"/>
  <c r="L114" i="90" s="1"/>
  <c r="L122" i="90"/>
  <c r="J122" i="90"/>
  <c r="L144" i="90"/>
  <c r="J144" i="90"/>
  <c r="J174" i="90"/>
  <c r="L174" i="90" s="1"/>
  <c r="J235" i="90"/>
  <c r="L235" i="90" s="1"/>
  <c r="J187" i="90"/>
  <c r="L187" i="90" s="1"/>
  <c r="J130" i="72"/>
  <c r="L130" i="72" s="1"/>
  <c r="J27" i="72"/>
  <c r="L27" i="72" s="1"/>
  <c r="L57" i="72"/>
  <c r="J57" i="72"/>
  <c r="H85" i="72"/>
  <c r="J48" i="72"/>
  <c r="L48" i="72" s="1"/>
  <c r="J29" i="72"/>
  <c r="L29" i="72" s="1"/>
  <c r="H69" i="72"/>
  <c r="J202" i="72"/>
  <c r="L202" i="72" s="1"/>
  <c r="J95" i="72"/>
  <c r="L95" i="72" s="1"/>
  <c r="J169" i="72"/>
  <c r="L169" i="72" s="1"/>
  <c r="J233" i="72"/>
  <c r="L233" i="72" s="1"/>
  <c r="J118" i="72"/>
  <c r="L118" i="72" s="1"/>
  <c r="J147" i="72"/>
  <c r="L147" i="72" s="1"/>
  <c r="J214" i="72"/>
  <c r="L214" i="72" s="1"/>
  <c r="L143" i="72"/>
  <c r="J143" i="72"/>
  <c r="J213" i="72"/>
  <c r="L213" i="72" s="1"/>
  <c r="J249" i="72"/>
  <c r="L249" i="72" s="1"/>
  <c r="J252" i="72"/>
  <c r="L252" i="72" s="1"/>
  <c r="J236" i="72"/>
  <c r="L236" i="72" s="1"/>
  <c r="F74" i="68"/>
  <c r="F73" i="66"/>
  <c r="F66" i="68"/>
  <c r="J60" i="90"/>
  <c r="L60" i="90" s="1"/>
  <c r="F153" i="68"/>
  <c r="T153" i="68" s="1"/>
  <c r="J19" i="72"/>
  <c r="L19" i="72" s="1"/>
  <c r="J123" i="72"/>
  <c r="L123" i="72" s="1"/>
  <c r="J60" i="72"/>
  <c r="L60" i="72" s="1"/>
  <c r="J132" i="72"/>
  <c r="L132" i="72" s="1"/>
  <c r="J55" i="72"/>
  <c r="L55" i="72" s="1"/>
  <c r="J22" i="72"/>
  <c r="L22" i="72" s="1"/>
  <c r="L37" i="72"/>
  <c r="J37" i="72"/>
  <c r="J59" i="72"/>
  <c r="L59" i="72" s="1"/>
  <c r="J142" i="72"/>
  <c r="L142" i="72" s="1"/>
  <c r="L16" i="72"/>
  <c r="J16" i="72"/>
  <c r="L36" i="72"/>
  <c r="J36" i="72"/>
  <c r="J53" i="72"/>
  <c r="L53" i="72" s="1"/>
  <c r="J128" i="72"/>
  <c r="L128" i="72" s="1"/>
  <c r="H224" i="72"/>
  <c r="J212" i="72"/>
  <c r="L212" i="72" s="1"/>
  <c r="J25" i="72"/>
  <c r="L25" i="72" s="1"/>
  <c r="J52" i="72"/>
  <c r="L52" i="72" s="1"/>
  <c r="J191" i="72"/>
  <c r="L191" i="72" s="1"/>
  <c r="J119" i="72"/>
  <c r="L119" i="72" s="1"/>
  <c r="L184" i="72"/>
  <c r="J184" i="72"/>
  <c r="J215" i="72"/>
  <c r="L215" i="72" s="1"/>
  <c r="J94" i="72"/>
  <c r="L94" i="72" s="1"/>
  <c r="J124" i="72"/>
  <c r="L124" i="72" s="1"/>
  <c r="J172" i="72"/>
  <c r="L172" i="72" s="1"/>
  <c r="J200" i="72"/>
  <c r="L200" i="72" s="1"/>
  <c r="J253" i="72"/>
  <c r="L253" i="72" s="1"/>
  <c r="J117" i="72"/>
  <c r="L117" i="72" s="1"/>
  <c r="J175" i="72"/>
  <c r="L175" i="72" s="1"/>
  <c r="J204" i="72"/>
  <c r="L204" i="72" s="1"/>
  <c r="L229" i="72"/>
  <c r="J229" i="72"/>
  <c r="J238" i="72"/>
  <c r="L238" i="72" s="1"/>
  <c r="J217" i="72"/>
  <c r="L217" i="72" s="1"/>
  <c r="J241" i="72"/>
  <c r="L241" i="72" s="1"/>
  <c r="L230" i="72"/>
  <c r="J230" i="72"/>
  <c r="J245" i="72"/>
  <c r="L245" i="72" s="1"/>
  <c r="J245" i="90"/>
  <c r="L245" i="90" s="1"/>
  <c r="J126" i="72"/>
  <c r="L126" i="72" s="1"/>
  <c r="J34" i="72"/>
  <c r="L34" i="72" s="1"/>
  <c r="J14" i="72"/>
  <c r="L14" i="72" s="1"/>
  <c r="H137" i="72"/>
  <c r="J103" i="72"/>
  <c r="L103" i="72" s="1"/>
  <c r="J61" i="72"/>
  <c r="L61" i="72" s="1"/>
  <c r="J24" i="72"/>
  <c r="L24" i="72" s="1"/>
  <c r="J44" i="72"/>
  <c r="L44" i="72" s="1"/>
  <c r="J114" i="72"/>
  <c r="L114" i="72" s="1"/>
  <c r="J145" i="72"/>
  <c r="L145" i="72" s="1"/>
  <c r="J21" i="72"/>
  <c r="L21" i="72" s="1"/>
  <c r="J41" i="72"/>
  <c r="L41" i="72" s="1"/>
  <c r="J58" i="72"/>
  <c r="L58" i="72" s="1"/>
  <c r="J92" i="72"/>
  <c r="L92" i="72" s="1"/>
  <c r="L136" i="72"/>
  <c r="J136" i="72"/>
  <c r="J15" i="72"/>
  <c r="L15" i="72" s="1"/>
  <c r="J28" i="72"/>
  <c r="L28" i="72" s="1"/>
  <c r="H98" i="72"/>
  <c r="J91" i="72"/>
  <c r="L91" i="72" s="1"/>
  <c r="H163" i="72"/>
  <c r="J141" i="72"/>
  <c r="L141" i="72" s="1"/>
  <c r="J189" i="72"/>
  <c r="L189" i="72" s="1"/>
  <c r="J219" i="72"/>
  <c r="L219" i="72" s="1"/>
  <c r="J105" i="72"/>
  <c r="L105" i="72" s="1"/>
  <c r="L115" i="72"/>
  <c r="J177" i="72"/>
  <c r="L177" i="72" s="1"/>
  <c r="J205" i="72"/>
  <c r="L205" i="72" s="1"/>
  <c r="J93" i="72"/>
  <c r="L93" i="72" s="1"/>
  <c r="J121" i="72"/>
  <c r="L121" i="72" s="1"/>
  <c r="H192" i="72"/>
  <c r="J181" i="72"/>
  <c r="L181" i="72" s="1"/>
  <c r="J208" i="72"/>
  <c r="L208" i="72" s="1"/>
  <c r="J243" i="72"/>
  <c r="L243" i="72" s="1"/>
  <c r="J242" i="72"/>
  <c r="L242" i="72" s="1"/>
  <c r="J223" i="72"/>
  <c r="L223" i="72" s="1"/>
  <c r="J246" i="72"/>
  <c r="L246" i="72" s="1"/>
  <c r="J216" i="72"/>
  <c r="L216" i="72" s="1"/>
  <c r="J234" i="72"/>
  <c r="L234" i="72" s="1"/>
  <c r="J251" i="72"/>
  <c r="L251" i="72" s="1"/>
  <c r="J135" i="72"/>
  <c r="L135" i="72" s="1"/>
  <c r="F113" i="66"/>
  <c r="F114" i="68"/>
  <c r="F68" i="68"/>
  <c r="F67" i="66"/>
  <c r="F69" i="68"/>
  <c r="F68" i="66"/>
  <c r="F83" i="66"/>
  <c r="J29" i="90"/>
  <c r="L29" i="90" s="1"/>
  <c r="J52" i="90"/>
  <c r="L52" i="90" s="1"/>
  <c r="J33" i="90"/>
  <c r="L33" i="90" s="1"/>
  <c r="J217" i="90"/>
  <c r="L217" i="90" s="1"/>
  <c r="L35" i="90"/>
  <c r="J35" i="90"/>
  <c r="J248" i="90"/>
  <c r="L248" i="90" s="1"/>
  <c r="J48" i="90"/>
  <c r="L48" i="90" s="1"/>
  <c r="J55" i="90"/>
  <c r="L55" i="90" s="1"/>
  <c r="J204" i="90"/>
  <c r="L204" i="90" s="1"/>
  <c r="J233" i="90"/>
  <c r="L233" i="90" s="1"/>
  <c r="J15" i="90"/>
  <c r="L15" i="90" s="1"/>
  <c r="J24" i="90"/>
  <c r="L24" i="90" s="1"/>
  <c r="J34" i="90"/>
  <c r="L34" i="90" s="1"/>
  <c r="J47" i="90"/>
  <c r="L47" i="90" s="1"/>
  <c r="H208" i="90"/>
  <c r="J197" i="90"/>
  <c r="L197" i="90" s="1"/>
  <c r="J215" i="90"/>
  <c r="L215" i="90" s="1"/>
  <c r="J244" i="90"/>
  <c r="L244" i="90" s="1"/>
  <c r="J202" i="90"/>
  <c r="L202" i="90" s="1"/>
  <c r="J221" i="90"/>
  <c r="L221" i="90" s="1"/>
  <c r="L254" i="90"/>
  <c r="J254" i="90"/>
  <c r="J94" i="90"/>
  <c r="L94" i="90" s="1"/>
  <c r="J117" i="90"/>
  <c r="L117" i="90" s="1"/>
  <c r="L126" i="90"/>
  <c r="J145" i="90"/>
  <c r="L145" i="90" s="1"/>
  <c r="J175" i="90"/>
  <c r="L175" i="90" s="1"/>
  <c r="J190" i="90"/>
  <c r="L190" i="90" s="1"/>
  <c r="J242" i="90"/>
  <c r="L242" i="90" s="1"/>
  <c r="L253" i="90"/>
  <c r="J253" i="90"/>
  <c r="J95" i="90"/>
  <c r="L95" i="90" s="1"/>
  <c r="J107" i="90"/>
  <c r="L107" i="90" s="1"/>
  <c r="J116" i="90"/>
  <c r="L116" i="90" s="1"/>
  <c r="J124" i="90"/>
  <c r="L124" i="90" s="1"/>
  <c r="L133" i="90"/>
  <c r="J133" i="90"/>
  <c r="J146" i="90"/>
  <c r="L146" i="90" s="1"/>
  <c r="H178" i="90"/>
  <c r="J168" i="90"/>
  <c r="L168" i="90" s="1"/>
  <c r="J177" i="90"/>
  <c r="L177" i="90" s="1"/>
  <c r="J131" i="90"/>
  <c r="J216" i="90"/>
  <c r="L216" i="90" s="1"/>
  <c r="J116" i="72"/>
  <c r="L116" i="72" s="1"/>
  <c r="J131" i="72"/>
  <c r="J127" i="72"/>
  <c r="F224" i="90"/>
  <c r="F247" i="90" s="1"/>
  <c r="T225" i="68"/>
  <c r="F248" i="68"/>
  <c r="F248" i="72"/>
  <c r="B50" i="82"/>
  <c r="A50" i="82"/>
  <c r="D36" i="15"/>
  <c r="E37" i="15"/>
  <c r="D35" i="14"/>
  <c r="E36" i="14"/>
  <c r="F154" i="90"/>
  <c r="J154" i="90" s="1"/>
  <c r="L154" i="90" s="1"/>
  <c r="F110" i="72"/>
  <c r="J110" i="72" s="1"/>
  <c r="L110" i="72" s="1"/>
  <c r="F161" i="66" l="1"/>
  <c r="F161" i="72" s="1"/>
  <c r="J161" i="72" s="1"/>
  <c r="L161" i="72" s="1"/>
  <c r="T162" i="68"/>
  <c r="F161" i="90"/>
  <c r="J161" i="90" s="1"/>
  <c r="L161" i="90" s="1"/>
  <c r="F149" i="66"/>
  <c r="F149" i="72" s="1"/>
  <c r="F156" i="90"/>
  <c r="J156" i="90" s="1"/>
  <c r="L156" i="90" s="1"/>
  <c r="T157" i="68"/>
  <c r="F150" i="66"/>
  <c r="F150" i="72" s="1"/>
  <c r="J150" i="72" s="1"/>
  <c r="L150" i="72" s="1"/>
  <c r="F109" i="66"/>
  <c r="F137" i="66" s="1"/>
  <c r="F111" i="72"/>
  <c r="J111" i="72" s="1"/>
  <c r="F112" i="68"/>
  <c r="F111" i="90" s="1"/>
  <c r="J111" i="90" s="1"/>
  <c r="F111" i="68"/>
  <c r="T111" i="68" s="1"/>
  <c r="C39" i="79"/>
  <c r="T82" i="68"/>
  <c r="F81" i="90"/>
  <c r="J81" i="90" s="1"/>
  <c r="T44" i="5"/>
  <c r="A36" i="82"/>
  <c r="J91" i="88"/>
  <c r="T110" i="68"/>
  <c r="F109" i="90"/>
  <c r="J109" i="90" s="1"/>
  <c r="I227" i="66"/>
  <c r="I250" i="66" s="1"/>
  <c r="I258" i="66" s="1"/>
  <c r="I261" i="66" s="1"/>
  <c r="I263" i="66" s="1"/>
  <c r="G77" i="66"/>
  <c r="F77" i="72"/>
  <c r="J77" i="72" s="1"/>
  <c r="L77" i="72" s="1"/>
  <c r="T77" i="68"/>
  <c r="F76" i="90"/>
  <c r="J76" i="90" s="1"/>
  <c r="L76" i="90" s="1"/>
  <c r="T78" i="68"/>
  <c r="F77" i="90"/>
  <c r="J77" i="90" s="1"/>
  <c r="L77" i="90" s="1"/>
  <c r="G78" i="66"/>
  <c r="F78" i="72"/>
  <c r="J78" i="72" s="1"/>
  <c r="L78" i="72" s="1"/>
  <c r="T79" i="68"/>
  <c r="F78" i="90"/>
  <c r="J78" i="90" s="1"/>
  <c r="L78" i="90" s="1"/>
  <c r="F76" i="68"/>
  <c r="F75" i="66"/>
  <c r="G76" i="66"/>
  <c r="F76" i="72"/>
  <c r="J76" i="72" s="1"/>
  <c r="L76" i="72" s="1"/>
  <c r="F157" i="90"/>
  <c r="J157" i="90" s="1"/>
  <c r="L157" i="90" s="1"/>
  <c r="F159" i="90"/>
  <c r="J159" i="90" s="1"/>
  <c r="L159" i="90" s="1"/>
  <c r="AI259" i="80"/>
  <c r="F261" i="80"/>
  <c r="D259" i="80"/>
  <c r="E261" i="80"/>
  <c r="T150" i="68"/>
  <c r="H86" i="74"/>
  <c r="J86" i="74" s="1"/>
  <c r="F89" i="74"/>
  <c r="F91" i="74" s="1"/>
  <c r="I86" i="66"/>
  <c r="I88" i="66" s="1"/>
  <c r="T161" i="68"/>
  <c r="I165" i="66"/>
  <c r="T151" i="68"/>
  <c r="F152" i="90"/>
  <c r="J152" i="90" s="1"/>
  <c r="L152" i="90" s="1"/>
  <c r="F68" i="90"/>
  <c r="J68" i="90" s="1"/>
  <c r="L68" i="90" s="1"/>
  <c r="G69" i="68"/>
  <c r="T69" i="68"/>
  <c r="F113" i="72"/>
  <c r="J113" i="72" s="1"/>
  <c r="G113" i="66"/>
  <c r="J192" i="72"/>
  <c r="L192" i="72" s="1"/>
  <c r="H165" i="72"/>
  <c r="G65" i="66"/>
  <c r="F65" i="72"/>
  <c r="J65" i="72" s="1"/>
  <c r="L65" i="72" s="1"/>
  <c r="F79" i="72"/>
  <c r="J79" i="72" s="1"/>
  <c r="L79" i="72" s="1"/>
  <c r="G79" i="66"/>
  <c r="F64" i="68"/>
  <c r="G113" i="68"/>
  <c r="F112" i="90"/>
  <c r="J112" i="90" s="1"/>
  <c r="T113" i="68"/>
  <c r="F85" i="68"/>
  <c r="F84" i="66"/>
  <c r="F74" i="72"/>
  <c r="J74" i="72" s="1"/>
  <c r="L74" i="72" s="1"/>
  <c r="G74" i="66"/>
  <c r="T163" i="68"/>
  <c r="F162" i="90"/>
  <c r="J162" i="90" s="1"/>
  <c r="J178" i="90"/>
  <c r="L178" i="90" s="1"/>
  <c r="F83" i="72"/>
  <c r="J83" i="72" s="1"/>
  <c r="L83" i="72" s="1"/>
  <c r="G83" i="66"/>
  <c r="F67" i="72"/>
  <c r="J67" i="72" s="1"/>
  <c r="L67" i="72" s="1"/>
  <c r="G67" i="66"/>
  <c r="F73" i="72"/>
  <c r="J73" i="72" s="1"/>
  <c r="L73" i="72" s="1"/>
  <c r="G73" i="66"/>
  <c r="J38" i="90"/>
  <c r="L38" i="90" s="1"/>
  <c r="F79" i="90"/>
  <c r="J79" i="90" s="1"/>
  <c r="L79" i="90" s="1"/>
  <c r="G80" i="68"/>
  <c r="T80" i="68"/>
  <c r="G112" i="66"/>
  <c r="F112" i="72"/>
  <c r="J112" i="72" s="1"/>
  <c r="F74" i="90"/>
  <c r="J74" i="90" s="1"/>
  <c r="L74" i="90" s="1"/>
  <c r="T75" i="68"/>
  <c r="G75" i="68"/>
  <c r="J178" i="72"/>
  <c r="L178" i="72" s="1"/>
  <c r="L191" i="90"/>
  <c r="T156" i="68"/>
  <c r="F155" i="90"/>
  <c r="J155" i="90" s="1"/>
  <c r="L155" i="90" s="1"/>
  <c r="J247" i="72"/>
  <c r="L247" i="72" s="1"/>
  <c r="F83" i="90"/>
  <c r="J83" i="90" s="1"/>
  <c r="L83" i="90" s="1"/>
  <c r="G84" i="68"/>
  <c r="F67" i="90"/>
  <c r="J67" i="90" s="1"/>
  <c r="L67" i="90" s="1"/>
  <c r="G68" i="68"/>
  <c r="T68" i="68"/>
  <c r="J98" i="72"/>
  <c r="L98" i="72" s="1"/>
  <c r="F73" i="90"/>
  <c r="J73" i="90" s="1"/>
  <c r="L73" i="90" s="1"/>
  <c r="G74" i="68"/>
  <c r="T74" i="68"/>
  <c r="F80" i="72"/>
  <c r="J80" i="72" s="1"/>
  <c r="L80" i="72" s="1"/>
  <c r="G80" i="66"/>
  <c r="F66" i="90"/>
  <c r="J66" i="90" s="1"/>
  <c r="L66" i="90" s="1"/>
  <c r="G67" i="68"/>
  <c r="T67" i="68"/>
  <c r="J98" i="90"/>
  <c r="L98" i="90" s="1"/>
  <c r="F71" i="90"/>
  <c r="T72" i="68"/>
  <c r="G72" i="68"/>
  <c r="G64" i="66"/>
  <c r="F64" i="72"/>
  <c r="J64" i="72" s="1"/>
  <c r="L64" i="72" s="1"/>
  <c r="F153" i="90"/>
  <c r="J153" i="90" s="1"/>
  <c r="T154" i="68"/>
  <c r="F72" i="72"/>
  <c r="J72" i="72" s="1"/>
  <c r="L72" i="72" s="1"/>
  <c r="G72" i="66"/>
  <c r="J38" i="72"/>
  <c r="L38" i="72" s="1"/>
  <c r="H224" i="90"/>
  <c r="J208" i="90"/>
  <c r="L208" i="90" s="1"/>
  <c r="F68" i="72"/>
  <c r="J68" i="72" s="1"/>
  <c r="L68" i="72" s="1"/>
  <c r="G68" i="66"/>
  <c r="F113" i="90"/>
  <c r="J113" i="90" s="1"/>
  <c r="G114" i="68"/>
  <c r="T114" i="68"/>
  <c r="J224" i="72"/>
  <c r="L224" i="72" s="1"/>
  <c r="F65" i="90"/>
  <c r="J65" i="90" s="1"/>
  <c r="L65" i="90" s="1"/>
  <c r="G66" i="68"/>
  <c r="T66" i="68"/>
  <c r="H86" i="72"/>
  <c r="L223" i="90"/>
  <c r="F80" i="90"/>
  <c r="J80" i="90" s="1"/>
  <c r="L80" i="90" s="1"/>
  <c r="T81" i="68"/>
  <c r="G81" i="68"/>
  <c r="F66" i="72"/>
  <c r="J66" i="72" s="1"/>
  <c r="L66" i="72" s="1"/>
  <c r="G66" i="66"/>
  <c r="F159" i="68"/>
  <c r="F158" i="66"/>
  <c r="I9" i="82"/>
  <c r="U9" i="82" s="1"/>
  <c r="H165" i="90"/>
  <c r="H86" i="90"/>
  <c r="F71" i="72"/>
  <c r="G71" i="66"/>
  <c r="F64" i="90"/>
  <c r="J64" i="90" s="1"/>
  <c r="L64" i="90" s="1"/>
  <c r="T65" i="68"/>
  <c r="G65" i="68"/>
  <c r="L246" i="90"/>
  <c r="F72" i="90"/>
  <c r="J72" i="90" s="1"/>
  <c r="L72" i="90" s="1"/>
  <c r="T73" i="68"/>
  <c r="G73" i="68"/>
  <c r="H225" i="72"/>
  <c r="J209" i="72"/>
  <c r="L209" i="72" s="1"/>
  <c r="F255" i="90"/>
  <c r="F256" i="68"/>
  <c r="T248" i="68"/>
  <c r="F256" i="72"/>
  <c r="D37" i="15"/>
  <c r="D38" i="15"/>
  <c r="D36" i="14"/>
  <c r="E37" i="14"/>
  <c r="J149" i="90"/>
  <c r="L149" i="90" s="1"/>
  <c r="J149" i="72"/>
  <c r="L149" i="72" s="1"/>
  <c r="F109" i="72" l="1"/>
  <c r="J109" i="72" s="1"/>
  <c r="G109" i="66"/>
  <c r="G112" i="68"/>
  <c r="T112" i="68"/>
  <c r="G111" i="68"/>
  <c r="F110" i="90"/>
  <c r="J110" i="90" s="1"/>
  <c r="L110" i="90" s="1"/>
  <c r="F138" i="68"/>
  <c r="T138" i="68" s="1"/>
  <c r="F86" i="68"/>
  <c r="T86" i="68" s="1"/>
  <c r="F85" i="66"/>
  <c r="G75" i="66"/>
  <c r="F75" i="72"/>
  <c r="J75" i="72" s="1"/>
  <c r="L75" i="72" s="1"/>
  <c r="T76" i="68"/>
  <c r="F75" i="90"/>
  <c r="J75" i="90" s="1"/>
  <c r="L75" i="90" s="1"/>
  <c r="C38" i="79"/>
  <c r="F38" i="79" s="1"/>
  <c r="I257" i="68"/>
  <c r="F5" i="79"/>
  <c r="I194" i="66"/>
  <c r="I196" i="66"/>
  <c r="T9" i="82"/>
  <c r="R9" i="82" s="1"/>
  <c r="D9" i="82" s="1"/>
  <c r="F63" i="90"/>
  <c r="T64" i="68"/>
  <c r="G64" i="68"/>
  <c r="F70" i="68"/>
  <c r="H248" i="72"/>
  <c r="J225" i="72"/>
  <c r="L225" i="72" s="1"/>
  <c r="F158" i="72"/>
  <c r="F163" i="66"/>
  <c r="F165" i="66" s="1"/>
  <c r="J71" i="90"/>
  <c r="L71" i="90" s="1"/>
  <c r="G63" i="66"/>
  <c r="F63" i="72"/>
  <c r="F69" i="66"/>
  <c r="T159" i="68"/>
  <c r="F158" i="90"/>
  <c r="F164" i="68"/>
  <c r="H88" i="90"/>
  <c r="G84" i="66"/>
  <c r="F84" i="72"/>
  <c r="J84" i="72" s="1"/>
  <c r="L84" i="72" s="1"/>
  <c r="J71" i="72"/>
  <c r="L71" i="72" s="1"/>
  <c r="H247" i="90"/>
  <c r="J224" i="90"/>
  <c r="L224" i="90" s="1"/>
  <c r="H88" i="72"/>
  <c r="F84" i="90"/>
  <c r="J84" i="90" s="1"/>
  <c r="L84" i="90" s="1"/>
  <c r="T85" i="68"/>
  <c r="G85" i="68"/>
  <c r="F259" i="72"/>
  <c r="F261" i="72" s="1"/>
  <c r="D39" i="15"/>
  <c r="E38" i="15"/>
  <c r="D38" i="14"/>
  <c r="D37" i="14"/>
  <c r="F137" i="72" l="1"/>
  <c r="J137" i="72" s="1"/>
  <c r="L137" i="72" s="1"/>
  <c r="F137" i="90"/>
  <c r="J137" i="90" s="1"/>
  <c r="L137" i="90" s="1"/>
  <c r="F257" i="68"/>
  <c r="I259" i="68"/>
  <c r="I261" i="68" s="1"/>
  <c r="T164" i="68"/>
  <c r="F166" i="68"/>
  <c r="T166" i="68" s="1"/>
  <c r="J63" i="72"/>
  <c r="L63" i="72" s="1"/>
  <c r="F69" i="72"/>
  <c r="H255" i="90"/>
  <c r="J247" i="90"/>
  <c r="L247" i="90" s="1"/>
  <c r="J158" i="90"/>
  <c r="L158" i="90" s="1"/>
  <c r="F163" i="90"/>
  <c r="H256" i="72"/>
  <c r="J248" i="72"/>
  <c r="L248" i="72" s="1"/>
  <c r="H194" i="72"/>
  <c r="F85" i="90"/>
  <c r="J85" i="90" s="1"/>
  <c r="L85" i="90" s="1"/>
  <c r="J158" i="72"/>
  <c r="L158" i="72" s="1"/>
  <c r="F163" i="72"/>
  <c r="F69" i="90"/>
  <c r="J63" i="90"/>
  <c r="L63" i="90" s="1"/>
  <c r="F85" i="72"/>
  <c r="J85" i="72" s="1"/>
  <c r="L85" i="72" s="1"/>
  <c r="H193" i="90"/>
  <c r="G182" i="66"/>
  <c r="F86" i="66"/>
  <c r="F88" i="66" s="1"/>
  <c r="G181" i="66"/>
  <c r="G182" i="68"/>
  <c r="T70" i="68"/>
  <c r="F87" i="68"/>
  <c r="B9" i="82"/>
  <c r="A9" i="82"/>
  <c r="E39" i="15"/>
  <c r="D40" i="15"/>
  <c r="E38" i="14"/>
  <c r="D39" i="14"/>
  <c r="B123" i="126" l="1"/>
  <c r="B124" i="126"/>
  <c r="B121" i="126"/>
  <c r="B126" i="126"/>
  <c r="B127" i="126"/>
  <c r="B119" i="126"/>
  <c r="B125" i="126"/>
  <c r="B120" i="126"/>
  <c r="B122" i="126"/>
  <c r="B118" i="126"/>
  <c r="C95" i="11"/>
  <c r="C100" i="11"/>
  <c r="C91" i="11"/>
  <c r="C98" i="11"/>
  <c r="C92" i="11"/>
  <c r="C97" i="11"/>
  <c r="C96" i="11"/>
  <c r="C93" i="11"/>
  <c r="C94" i="11"/>
  <c r="C99" i="11"/>
  <c r="F256" i="90"/>
  <c r="T257" i="68"/>
  <c r="F263" i="68"/>
  <c r="F259" i="68"/>
  <c r="F89" i="68"/>
  <c r="T87" i="68"/>
  <c r="F196" i="66"/>
  <c r="M99" i="121" s="1"/>
  <c r="F194" i="66"/>
  <c r="F86" i="72"/>
  <c r="J69" i="72"/>
  <c r="L69" i="72" s="1"/>
  <c r="H259" i="72"/>
  <c r="H261" i="72" s="1"/>
  <c r="J256" i="72"/>
  <c r="L256" i="72" s="1"/>
  <c r="J69" i="90"/>
  <c r="L69" i="90" s="1"/>
  <c r="F86" i="90"/>
  <c r="H258" i="90"/>
  <c r="H260" i="90" s="1"/>
  <c r="J255" i="90"/>
  <c r="L255" i="90" s="1"/>
  <c r="B48" i="41"/>
  <c r="B54" i="24"/>
  <c r="B126" i="110"/>
  <c r="B39" i="53"/>
  <c r="B45" i="36"/>
  <c r="B78" i="3"/>
  <c r="B42" i="36"/>
  <c r="B91" i="55"/>
  <c r="B85" i="97"/>
  <c r="B55" i="24"/>
  <c r="B56" i="12"/>
  <c r="B51" i="13"/>
  <c r="B40" i="43"/>
  <c r="B120" i="110"/>
  <c r="B53" i="24"/>
  <c r="B34" i="53"/>
  <c r="B113" i="115"/>
  <c r="B84" i="57"/>
  <c r="B62" i="22"/>
  <c r="B111" i="115"/>
  <c r="B56" i="49"/>
  <c r="B55" i="8"/>
  <c r="B125" i="110"/>
  <c r="B44" i="37"/>
  <c r="C55" i="56"/>
  <c r="B94" i="55"/>
  <c r="B39" i="39"/>
  <c r="B40" i="36"/>
  <c r="B48" i="8"/>
  <c r="B112" i="115"/>
  <c r="B40" i="37"/>
  <c r="C44" i="59"/>
  <c r="B36" i="53"/>
  <c r="B80" i="3"/>
  <c r="B41" i="38"/>
  <c r="C78" i="17"/>
  <c r="B119" i="110"/>
  <c r="B58" i="22"/>
  <c r="B56" i="89"/>
  <c r="C42" i="59"/>
  <c r="B35" i="37"/>
  <c r="B47" i="89"/>
  <c r="B79" i="97"/>
  <c r="B35" i="53"/>
  <c r="B74" i="3"/>
  <c r="B48" i="12"/>
  <c r="B59" i="22"/>
  <c r="B44" i="40"/>
  <c r="C45" i="59"/>
  <c r="B88" i="97"/>
  <c r="B49" i="41"/>
  <c r="B47" i="40"/>
  <c r="B32" i="47"/>
  <c r="B50" i="13"/>
  <c r="B43" i="41"/>
  <c r="B84" i="14"/>
  <c r="B73" i="3"/>
  <c r="B61" i="22"/>
  <c r="B41" i="53"/>
  <c r="B118" i="110"/>
  <c r="B40" i="42"/>
  <c r="B76" i="57"/>
  <c r="C75" i="17"/>
  <c r="B75" i="3"/>
  <c r="B41" i="40"/>
  <c r="B67" i="22"/>
  <c r="C49" i="59"/>
  <c r="B82" i="3"/>
  <c r="B92" i="55"/>
  <c r="B47" i="8"/>
  <c r="B116" i="115"/>
  <c r="B123" i="110"/>
  <c r="B45" i="41"/>
  <c r="B40" i="47"/>
  <c r="B44" i="46"/>
  <c r="B45" i="43"/>
  <c r="B85" i="57"/>
  <c r="B76" i="14"/>
  <c r="C80" i="17"/>
  <c r="B45" i="38"/>
  <c r="B57" i="12"/>
  <c r="B52" i="13"/>
  <c r="B58" i="49"/>
  <c r="C81" i="17"/>
  <c r="B44" i="42"/>
  <c r="B77" i="14"/>
  <c r="B58" i="13"/>
  <c r="B82" i="97"/>
  <c r="B52" i="24"/>
  <c r="B45" i="42"/>
  <c r="B74" i="15"/>
  <c r="B78" i="14"/>
  <c r="B122" i="110"/>
  <c r="B79" i="3"/>
  <c r="B41" i="37"/>
  <c r="B39" i="40"/>
  <c r="B37" i="46"/>
  <c r="B54" i="8"/>
  <c r="B82" i="14"/>
  <c r="B98" i="55"/>
  <c r="C53" i="56"/>
  <c r="B81" i="15"/>
  <c r="B41" i="42"/>
  <c r="B56" i="13"/>
  <c r="B96" i="55"/>
  <c r="B39" i="36"/>
  <c r="B38" i="47"/>
  <c r="B63" i="5"/>
  <c r="B50" i="41"/>
  <c r="B118" i="115"/>
  <c r="B76" i="3"/>
  <c r="B87" i="97"/>
  <c r="C51" i="56"/>
  <c r="C54" i="56"/>
  <c r="B124" i="110"/>
  <c r="B115" i="115"/>
  <c r="B78" i="15"/>
  <c r="B120" i="115"/>
  <c r="B43" i="46"/>
  <c r="B78" i="57"/>
  <c r="B59" i="13"/>
  <c r="B69" i="5"/>
  <c r="B53" i="89"/>
  <c r="B48" i="39"/>
  <c r="C52" i="56"/>
  <c r="B54" i="49"/>
  <c r="B50" i="12"/>
  <c r="B55" i="13"/>
  <c r="B50" i="49"/>
  <c r="B41" i="47"/>
  <c r="B47" i="36"/>
  <c r="B81" i="3"/>
  <c r="B119" i="115"/>
  <c r="B93" i="55"/>
  <c r="B43" i="42"/>
  <c r="C58" i="56"/>
  <c r="C57" i="56"/>
  <c r="B56" i="24"/>
  <c r="B39" i="38"/>
  <c r="B60" i="22"/>
  <c r="B37" i="37"/>
  <c r="B53" i="13"/>
  <c r="B121" i="110"/>
  <c r="C66" i="17"/>
  <c r="B40" i="53"/>
  <c r="B54" i="89"/>
  <c r="B40" i="39"/>
  <c r="B77" i="3"/>
  <c r="B57" i="49"/>
  <c r="C48" i="59"/>
  <c r="B57" i="24"/>
  <c r="B66" i="22"/>
  <c r="B47" i="41"/>
  <c r="B37" i="47"/>
  <c r="B46" i="38"/>
  <c r="B45" i="39"/>
  <c r="B68" i="5"/>
  <c r="C79" i="17"/>
  <c r="C43" i="59"/>
  <c r="B64" i="22"/>
  <c r="B43" i="37"/>
  <c r="B51" i="89"/>
  <c r="B49" i="12"/>
  <c r="B61" i="24"/>
  <c r="B80" i="97"/>
  <c r="B52" i="89"/>
  <c r="C73" i="17"/>
  <c r="B73" i="15"/>
  <c r="B50" i="89"/>
  <c r="C50" i="59"/>
  <c r="B44" i="38"/>
  <c r="B50" i="8"/>
  <c r="B48" i="36"/>
  <c r="B46" i="41"/>
  <c r="B61" i="5"/>
  <c r="B82" i="15"/>
  <c r="B55" i="49"/>
  <c r="B54" i="13"/>
  <c r="B32" i="53"/>
  <c r="B65" i="22"/>
  <c r="B49" i="43"/>
  <c r="B51" i="49"/>
  <c r="B35" i="47"/>
  <c r="B33" i="47"/>
  <c r="B48" i="38"/>
  <c r="B55" i="12"/>
  <c r="B67" i="5"/>
  <c r="B52" i="49"/>
  <c r="B62" i="5"/>
  <c r="B39" i="47"/>
  <c r="C51" i="59"/>
  <c r="B43" i="36"/>
  <c r="B45" i="40"/>
  <c r="B57" i="13"/>
  <c r="B52" i="12"/>
  <c r="B34" i="47"/>
  <c r="B47" i="42"/>
  <c r="B46" i="42"/>
  <c r="B53" i="8"/>
  <c r="B48" i="43"/>
  <c r="B41" i="46"/>
  <c r="B40" i="40"/>
  <c r="B44" i="41"/>
  <c r="C46" i="59"/>
  <c r="B97" i="55"/>
  <c r="B65" i="5"/>
  <c r="B114" i="115"/>
  <c r="C59" i="56"/>
  <c r="B38" i="53"/>
  <c r="B59" i="24"/>
  <c r="B43" i="38"/>
  <c r="B42" i="40"/>
  <c r="B53" i="49"/>
  <c r="B39" i="46"/>
  <c r="B81" i="97"/>
  <c r="B43" i="39"/>
  <c r="B79" i="15"/>
  <c r="B46" i="39"/>
  <c r="B64" i="5"/>
  <c r="B52" i="8"/>
  <c r="B37" i="53"/>
  <c r="B80" i="14"/>
  <c r="C47" i="59"/>
  <c r="B33" i="53"/>
  <c r="B83" i="57"/>
  <c r="B42" i="46"/>
  <c r="C77" i="17"/>
  <c r="B36" i="47"/>
  <c r="B40" i="46"/>
  <c r="B38" i="46"/>
  <c r="B42" i="37"/>
  <c r="B43" i="43"/>
  <c r="C76" i="17"/>
  <c r="B80" i="57"/>
  <c r="B41" i="39"/>
  <c r="B77" i="15"/>
  <c r="B42" i="43"/>
  <c r="B44" i="43"/>
  <c r="B38" i="37"/>
  <c r="B42" i="38"/>
  <c r="B49" i="8"/>
  <c r="B48" i="89"/>
  <c r="B75" i="15"/>
  <c r="B58" i="24"/>
  <c r="B35" i="46"/>
  <c r="B40" i="38"/>
  <c r="B46" i="43"/>
  <c r="B42" i="42"/>
  <c r="B66" i="5"/>
  <c r="C56" i="56"/>
  <c r="B77" i="57"/>
  <c r="B43" i="40"/>
  <c r="B79" i="14"/>
  <c r="B85" i="14"/>
  <c r="B117" i="115"/>
  <c r="B47" i="38"/>
  <c r="B42" i="39"/>
  <c r="B60" i="24"/>
  <c r="B39" i="42"/>
  <c r="B55" i="89"/>
  <c r="B95" i="55"/>
  <c r="C74" i="17"/>
  <c r="B81" i="14"/>
  <c r="B41" i="43"/>
  <c r="B81" i="57"/>
  <c r="B46" i="36"/>
  <c r="B79" i="57"/>
  <c r="B48" i="40"/>
  <c r="B41" i="41"/>
  <c r="B44" i="36"/>
  <c r="B49" i="89"/>
  <c r="B36" i="46"/>
  <c r="B51" i="12"/>
  <c r="B48" i="42"/>
  <c r="B46" i="40"/>
  <c r="C50" i="56"/>
  <c r="B42" i="41"/>
  <c r="B49" i="49"/>
  <c r="B82" i="57"/>
  <c r="B76" i="15"/>
  <c r="B80" i="15"/>
  <c r="B47" i="39"/>
  <c r="B53" i="12"/>
  <c r="B54" i="12"/>
  <c r="B90" i="55"/>
  <c r="B127" i="110"/>
  <c r="B47" i="43"/>
  <c r="B39" i="37"/>
  <c r="B51" i="8"/>
  <c r="B36" i="37"/>
  <c r="B99" i="55"/>
  <c r="B44" i="39"/>
  <c r="B84" i="97"/>
  <c r="B63" i="22"/>
  <c r="B41" i="36"/>
  <c r="B86" i="97"/>
  <c r="B83" i="14"/>
  <c r="B83" i="97"/>
  <c r="J163" i="72"/>
  <c r="L163" i="72" s="1"/>
  <c r="F165" i="72"/>
  <c r="J165" i="72" s="1"/>
  <c r="L165" i="72" s="1"/>
  <c r="J163" i="90"/>
  <c r="L163" i="90" s="1"/>
  <c r="F165" i="90"/>
  <c r="J165" i="90" s="1"/>
  <c r="L165" i="90" s="1"/>
  <c r="E40" i="15"/>
  <c r="D41" i="15"/>
  <c r="E39" i="14"/>
  <c r="D40" i="14"/>
  <c r="F261" i="68" l="1"/>
  <c r="T259" i="68"/>
  <c r="J256" i="90"/>
  <c r="L256" i="90" s="1"/>
  <c r="F258" i="90"/>
  <c r="F260" i="90" s="1"/>
  <c r="I33" i="60"/>
  <c r="I53" i="60"/>
  <c r="I49" i="60"/>
  <c r="I41" i="60"/>
  <c r="I17" i="60"/>
  <c r="S17" i="60" s="1"/>
  <c r="I54" i="60"/>
  <c r="I40" i="60"/>
  <c r="I19" i="60"/>
  <c r="I38" i="60"/>
  <c r="I42" i="60"/>
  <c r="I34" i="60"/>
  <c r="I24" i="60"/>
  <c r="I45" i="60"/>
  <c r="I48" i="60"/>
  <c r="I37" i="60"/>
  <c r="I30" i="60"/>
  <c r="I47" i="60"/>
  <c r="I29" i="60"/>
  <c r="I28" i="60"/>
  <c r="I26" i="60"/>
  <c r="I31" i="60"/>
  <c r="I52" i="60"/>
  <c r="I55" i="60"/>
  <c r="I44" i="60"/>
  <c r="I23" i="60"/>
  <c r="I50" i="60"/>
  <c r="I43" i="60"/>
  <c r="I32" i="60"/>
  <c r="I16" i="60"/>
  <c r="I18" i="60"/>
  <c r="I20" i="60"/>
  <c r="I51" i="60"/>
  <c r="I27" i="60"/>
  <c r="I22" i="60"/>
  <c r="I46" i="60"/>
  <c r="I21" i="60"/>
  <c r="I25" i="60"/>
  <c r="I39" i="60"/>
  <c r="J86" i="90"/>
  <c r="L86" i="90" s="1"/>
  <c r="F88" i="90"/>
  <c r="J86" i="72"/>
  <c r="L86" i="72" s="1"/>
  <c r="F88" i="72"/>
  <c r="T89" i="68"/>
  <c r="F194" i="68"/>
  <c r="D42" i="15"/>
  <c r="E41" i="15"/>
  <c r="D41" i="14"/>
  <c r="E40" i="14"/>
  <c r="N50" i="72" l="1"/>
  <c r="N31" i="72"/>
  <c r="N13" i="72"/>
  <c r="N86" i="72"/>
  <c r="N85" i="72"/>
  <c r="N176" i="90"/>
  <c r="N243" i="90"/>
  <c r="N176" i="72"/>
  <c r="N244" i="72"/>
  <c r="N49" i="90"/>
  <c r="N75" i="90"/>
  <c r="N76" i="90"/>
  <c r="N77" i="90"/>
  <c r="N78" i="90"/>
  <c r="N234" i="90"/>
  <c r="N30" i="90"/>
  <c r="N49" i="72"/>
  <c r="N75" i="72"/>
  <c r="N76" i="72"/>
  <c r="N77" i="72"/>
  <c r="N78" i="72"/>
  <c r="N235" i="72"/>
  <c r="N30" i="72"/>
  <c r="S25" i="60"/>
  <c r="S21" i="61"/>
  <c r="N216" i="90"/>
  <c r="N153" i="90"/>
  <c r="N109" i="90"/>
  <c r="N64" i="90"/>
  <c r="N13" i="90"/>
  <c r="N220" i="90"/>
  <c r="N158" i="90"/>
  <c r="N130" i="90"/>
  <c r="N97" i="90"/>
  <c r="N53" i="90"/>
  <c r="N16" i="90"/>
  <c r="N214" i="90"/>
  <c r="N155" i="90"/>
  <c r="N111" i="90"/>
  <c r="N46" i="90"/>
  <c r="N239" i="90"/>
  <c r="N173" i="90"/>
  <c r="N132" i="90"/>
  <c r="N95" i="90"/>
  <c r="N51" i="90"/>
  <c r="N253" i="90"/>
  <c r="N212" i="90"/>
  <c r="N168" i="90"/>
  <c r="N123" i="90"/>
  <c r="N74" i="90"/>
  <c r="N44" i="90"/>
  <c r="N248" i="90"/>
  <c r="N200" i="90"/>
  <c r="N143" i="90"/>
  <c r="N93" i="90"/>
  <c r="N47" i="90"/>
  <c r="N244" i="90"/>
  <c r="N206" i="90"/>
  <c r="N141" i="90"/>
  <c r="N112" i="90"/>
  <c r="N55" i="90"/>
  <c r="N19" i="90"/>
  <c r="N159" i="90"/>
  <c r="N231" i="90"/>
  <c r="N57" i="90"/>
  <c r="N15" i="90"/>
  <c r="N34" i="90"/>
  <c r="N249" i="90"/>
  <c r="N201" i="90"/>
  <c r="N144" i="90"/>
  <c r="N103" i="90"/>
  <c r="N48" i="90"/>
  <c r="N252" i="90"/>
  <c r="N211" i="90"/>
  <c r="N149" i="90"/>
  <c r="N124" i="90"/>
  <c r="N73" i="90"/>
  <c r="N42" i="90"/>
  <c r="N245" i="90"/>
  <c r="N207" i="90"/>
  <c r="N142" i="90"/>
  <c r="N92" i="90"/>
  <c r="N28" i="90"/>
  <c r="N230" i="90"/>
  <c r="N160" i="90"/>
  <c r="N118" i="90"/>
  <c r="N71" i="90"/>
  <c r="N33" i="90"/>
  <c r="N242" i="90"/>
  <c r="N205" i="90"/>
  <c r="N157" i="90"/>
  <c r="N121" i="90"/>
  <c r="N68" i="90"/>
  <c r="N36" i="90"/>
  <c r="N237" i="90"/>
  <c r="N171" i="90"/>
  <c r="N134" i="90"/>
  <c r="J88" i="90"/>
  <c r="L88" i="90" s="1"/>
  <c r="N29" i="90"/>
  <c r="N235" i="90"/>
  <c r="N198" i="90"/>
  <c r="N128" i="90"/>
  <c r="N91" i="90"/>
  <c r="N45" i="90"/>
  <c r="N251" i="90"/>
  <c r="N96" i="90"/>
  <c r="N218" i="90"/>
  <c r="N72" i="90"/>
  <c r="N105" i="90"/>
  <c r="N240" i="90"/>
  <c r="N238" i="90"/>
  <c r="N172" i="90"/>
  <c r="N133" i="90"/>
  <c r="N94" i="90"/>
  <c r="N32" i="90"/>
  <c r="N241" i="90"/>
  <c r="N204" i="90"/>
  <c r="N147" i="90"/>
  <c r="N120" i="90"/>
  <c r="N67" i="90"/>
  <c r="N35" i="90"/>
  <c r="N236" i="90"/>
  <c r="N199" i="90"/>
  <c r="N127" i="90"/>
  <c r="N80" i="90"/>
  <c r="N20" i="90"/>
  <c r="N217" i="90"/>
  <c r="N152" i="90"/>
  <c r="N108" i="90"/>
  <c r="N65" i="90"/>
  <c r="N23" i="90"/>
  <c r="N233" i="90"/>
  <c r="N197" i="90"/>
  <c r="N148" i="90"/>
  <c r="N113" i="90"/>
  <c r="N59" i="90"/>
  <c r="N26" i="90"/>
  <c r="N228" i="90"/>
  <c r="N162" i="90"/>
  <c r="N116" i="90"/>
  <c r="N83" i="90"/>
  <c r="N21" i="90"/>
  <c r="N222" i="90"/>
  <c r="N169" i="90"/>
  <c r="N122" i="90"/>
  <c r="N79" i="90"/>
  <c r="N37" i="90"/>
  <c r="N119" i="90"/>
  <c r="N41" i="90"/>
  <c r="N150" i="90"/>
  <c r="N146" i="90"/>
  <c r="N174" i="90"/>
  <c r="N131" i="90"/>
  <c r="N229" i="90"/>
  <c r="N161" i="90"/>
  <c r="N117" i="90"/>
  <c r="N84" i="90"/>
  <c r="N22" i="90"/>
  <c r="N232" i="90"/>
  <c r="N175" i="90"/>
  <c r="N135" i="90"/>
  <c r="N106" i="90"/>
  <c r="N58" i="90"/>
  <c r="N25" i="90"/>
  <c r="N227" i="90"/>
  <c r="N170" i="90"/>
  <c r="N115" i="90"/>
  <c r="N61" i="90"/>
  <c r="N250" i="90"/>
  <c r="N202" i="90"/>
  <c r="N145" i="90"/>
  <c r="N104" i="90"/>
  <c r="N56" i="90"/>
  <c r="N14" i="90"/>
  <c r="N221" i="90"/>
  <c r="N177" i="90"/>
  <c r="N129" i="90"/>
  <c r="N107" i="90"/>
  <c r="N54" i="90"/>
  <c r="N17" i="90"/>
  <c r="N215" i="90"/>
  <c r="N154" i="90"/>
  <c r="N110" i="90"/>
  <c r="N63" i="90"/>
  <c r="N254" i="90"/>
  <c r="N213" i="90"/>
  <c r="N156" i="90"/>
  <c r="N114" i="90"/>
  <c r="N60" i="90"/>
  <c r="N27" i="90"/>
  <c r="N203" i="90"/>
  <c r="N24" i="90"/>
  <c r="N126" i="90"/>
  <c r="N136" i="90"/>
  <c r="N52" i="90"/>
  <c r="N66" i="90"/>
  <c r="F193" i="90"/>
  <c r="S17" i="61"/>
  <c r="S21" i="60"/>
  <c r="S32" i="60"/>
  <c r="S28" i="61"/>
  <c r="S22" i="61"/>
  <c r="S26" i="60"/>
  <c r="S30" i="60"/>
  <c r="S26" i="61"/>
  <c r="S20" i="61"/>
  <c r="S24" i="60"/>
  <c r="S15" i="61"/>
  <c r="S19" i="60"/>
  <c r="S16" i="61"/>
  <c r="S20" i="60"/>
  <c r="S24" i="61"/>
  <c r="S28" i="60"/>
  <c r="S30" i="61"/>
  <c r="S34" i="60"/>
  <c r="N217" i="72"/>
  <c r="N153" i="72"/>
  <c r="N106" i="72"/>
  <c r="N58" i="72"/>
  <c r="N25" i="72"/>
  <c r="N233" i="72"/>
  <c r="N175" i="72"/>
  <c r="N135" i="72"/>
  <c r="N92" i="72"/>
  <c r="N28" i="72"/>
  <c r="N228" i="72"/>
  <c r="N170" i="72"/>
  <c r="N127" i="72"/>
  <c r="N95" i="72"/>
  <c r="N51" i="72"/>
  <c r="N251" i="72"/>
  <c r="N203" i="72"/>
  <c r="N145" i="72"/>
  <c r="N107" i="72"/>
  <c r="N54" i="72"/>
  <c r="N17" i="72"/>
  <c r="N222" i="72"/>
  <c r="N177" i="72"/>
  <c r="N134" i="72"/>
  <c r="N93" i="72"/>
  <c r="N47" i="72"/>
  <c r="N238" i="72"/>
  <c r="N171" i="72"/>
  <c r="N131" i="72"/>
  <c r="N96" i="72"/>
  <c r="N52" i="72"/>
  <c r="N15" i="72"/>
  <c r="N219" i="72"/>
  <c r="N150" i="72"/>
  <c r="N114" i="72"/>
  <c r="N60" i="72"/>
  <c r="N27" i="72"/>
  <c r="N236" i="72"/>
  <c r="N199" i="72"/>
  <c r="N133" i="72"/>
  <c r="N103" i="72"/>
  <c r="N48" i="72"/>
  <c r="N250" i="72"/>
  <c r="N202" i="72"/>
  <c r="N144" i="72"/>
  <c r="N97" i="72"/>
  <c r="N53" i="72"/>
  <c r="N16" i="72"/>
  <c r="N221" i="72"/>
  <c r="N158" i="72"/>
  <c r="N130" i="72"/>
  <c r="N80" i="72"/>
  <c r="N20" i="72"/>
  <c r="N215" i="72"/>
  <c r="N155" i="72"/>
  <c r="N118" i="72"/>
  <c r="N71" i="72"/>
  <c r="N33" i="72"/>
  <c r="N240" i="72"/>
  <c r="N173" i="72"/>
  <c r="N123" i="72"/>
  <c r="N74" i="72"/>
  <c r="N44" i="72"/>
  <c r="N254" i="72"/>
  <c r="N213" i="72"/>
  <c r="N168" i="72"/>
  <c r="N129" i="72"/>
  <c r="J88" i="72"/>
  <c r="L88" i="72" s="1"/>
  <c r="N29" i="72"/>
  <c r="N229" i="72"/>
  <c r="N162" i="72"/>
  <c r="N126" i="72"/>
  <c r="N72" i="72"/>
  <c r="N41" i="72"/>
  <c r="N252" i="72"/>
  <c r="N204" i="72"/>
  <c r="N146" i="72"/>
  <c r="N112" i="72"/>
  <c r="N55" i="72"/>
  <c r="N19" i="72"/>
  <c r="N223" i="72"/>
  <c r="N169" i="72"/>
  <c r="N128" i="72"/>
  <c r="N94" i="72"/>
  <c r="N32" i="72"/>
  <c r="N239" i="72"/>
  <c r="N172" i="72"/>
  <c r="N124" i="72"/>
  <c r="N73" i="72"/>
  <c r="N42" i="72"/>
  <c r="N253" i="72"/>
  <c r="N212" i="72"/>
  <c r="N149" i="72"/>
  <c r="N115" i="72"/>
  <c r="N61" i="72"/>
  <c r="N246" i="72"/>
  <c r="N208" i="72"/>
  <c r="N142" i="72"/>
  <c r="N108" i="72"/>
  <c r="N65" i="72"/>
  <c r="N23" i="72"/>
  <c r="N231" i="72"/>
  <c r="N160" i="72"/>
  <c r="N121" i="72"/>
  <c r="N68" i="72"/>
  <c r="N36" i="72"/>
  <c r="N243" i="72"/>
  <c r="N206" i="72"/>
  <c r="N157" i="72"/>
  <c r="N116" i="72"/>
  <c r="N83" i="72"/>
  <c r="N21" i="72"/>
  <c r="N216" i="72"/>
  <c r="N154" i="72"/>
  <c r="N119" i="72"/>
  <c r="N66" i="72"/>
  <c r="N34" i="72"/>
  <c r="N241" i="72"/>
  <c r="N174" i="72"/>
  <c r="N136" i="72"/>
  <c r="N91" i="72"/>
  <c r="N45" i="72"/>
  <c r="N255" i="72"/>
  <c r="N214" i="72"/>
  <c r="N156" i="72"/>
  <c r="N117" i="72"/>
  <c r="N84" i="72"/>
  <c r="N22" i="72"/>
  <c r="N230" i="72"/>
  <c r="N161" i="72"/>
  <c r="N120" i="72"/>
  <c r="N67" i="72"/>
  <c r="N35" i="72"/>
  <c r="N242" i="72"/>
  <c r="N205" i="72"/>
  <c r="N147" i="72"/>
  <c r="N111" i="72"/>
  <c r="N46" i="72"/>
  <c r="N237" i="72"/>
  <c r="N200" i="72"/>
  <c r="N132" i="72"/>
  <c r="N104" i="72"/>
  <c r="N56" i="72"/>
  <c r="N14" i="72"/>
  <c r="N218" i="72"/>
  <c r="N152" i="72"/>
  <c r="N113" i="72"/>
  <c r="N59" i="72"/>
  <c r="N26" i="72"/>
  <c r="N234" i="72"/>
  <c r="N198" i="72"/>
  <c r="N148" i="72"/>
  <c r="N110" i="72"/>
  <c r="N63" i="72"/>
  <c r="N249" i="72"/>
  <c r="N201" i="72"/>
  <c r="N143" i="72"/>
  <c r="N105" i="72"/>
  <c r="N57" i="72"/>
  <c r="N24" i="72"/>
  <c r="N232" i="72"/>
  <c r="N159" i="72"/>
  <c r="N122" i="72"/>
  <c r="N79" i="72"/>
  <c r="N37" i="72"/>
  <c r="N245" i="72"/>
  <c r="N207" i="72"/>
  <c r="N141" i="72"/>
  <c r="N109" i="72"/>
  <c r="N64" i="72"/>
  <c r="F194" i="72"/>
  <c r="S18" i="61"/>
  <c r="S22" i="60"/>
  <c r="S14" i="61"/>
  <c r="S18" i="60"/>
  <c r="S29" i="60"/>
  <c r="S25" i="61"/>
  <c r="S27" i="60"/>
  <c r="S23" i="61"/>
  <c r="S16" i="60"/>
  <c r="I35" i="60"/>
  <c r="M92" i="121" s="1"/>
  <c r="S23" i="60"/>
  <c r="S19" i="61"/>
  <c r="S31" i="60"/>
  <c r="S27" i="61"/>
  <c r="S29" i="61"/>
  <c r="S33" i="60"/>
  <c r="E42" i="15"/>
  <c r="D43" i="15"/>
  <c r="E41" i="14"/>
  <c r="D42" i="14"/>
  <c r="N88" i="72" l="1"/>
  <c r="I56" i="60"/>
  <c r="I58" i="60" s="1"/>
  <c r="K58" i="60" s="1"/>
  <c r="S35" i="60"/>
  <c r="S31" i="61"/>
  <c r="S32" i="61" s="1"/>
  <c r="L4" i="72"/>
  <c r="L4" i="90"/>
  <c r="D44" i="15"/>
  <c r="E43" i="15"/>
  <c r="D43" i="14"/>
  <c r="E42" i="14"/>
  <c r="E44" i="15" l="1"/>
  <c r="D45" i="15"/>
  <c r="E45" i="15" s="1"/>
  <c r="E43" i="14"/>
  <c r="D44" i="14"/>
  <c r="D45" i="14" l="1"/>
  <c r="E45" i="14" s="1"/>
  <c r="E4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D18" authorId="0" shapeId="0" xr:uid="{00000000-0006-0000-0700-000001000000}">
      <text>
        <r>
          <rPr>
            <sz val="8"/>
            <color indexed="81"/>
            <rFont val="Tahoma"/>
            <family val="2"/>
          </rPr>
          <t xml:space="preserve">Cells in this column contain a formula to populate beginning bal for agencies using ws905 - do not key over these beg bal amts. If ws905 is NA for your agency and the cell is displaying as a blank cell, key your beginning bal over the formula.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G14" authorId="0" shapeId="0" xr:uid="{00000000-0006-0000-0800-000001000000}">
      <text>
        <r>
          <rPr>
            <sz val="8"/>
            <color indexed="81"/>
            <rFont val="Tahoma"/>
            <family val="2"/>
          </rPr>
          <t>Cells in this column contain a formula to populate the beginning bal for agencies using ws905 - do not key over these beg bal amts.  If ws905 is NA for your agency and the cell is displaying as blank, key your beginning bal over the formula.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E15" authorId="0" shapeId="0" xr:uid="{00000000-0006-0000-0D00-000001000000}">
      <text>
        <r>
          <rPr>
            <sz val="8"/>
            <color indexed="81"/>
            <rFont val="Tahoma"/>
            <family val="2"/>
          </rPr>
          <t xml:space="preserve">Cells in this column contain a formula to populate beginning bal for agencies using ws905 - do not key over these beg bal amts. If ws905 is NA for your agency and the cell is displaying as a blank cell, key your beginning bal over the formula.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H32" authorId="0" shapeId="0" xr:uid="{00000000-0006-0000-3B00-000001000000}">
      <text>
        <r>
          <rPr>
            <sz val="9"/>
            <color indexed="81"/>
            <rFont val="Tahoma"/>
            <family val="2"/>
          </rPr>
          <t xml:space="preserve">Refer to captions on ws 905 for more info
</t>
        </r>
      </text>
    </comment>
    <comment ref="H48" authorId="0" shapeId="0" xr:uid="{00000000-0006-0000-3B00-000002000000}">
      <text>
        <r>
          <rPr>
            <sz val="9"/>
            <color indexed="81"/>
            <rFont val="Tahoma"/>
            <family val="2"/>
          </rPr>
          <t xml:space="preserve">Refer to captions on ws 905 for more info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Helen Vozzo</author>
    <author>Administrator</author>
    <author>tc={6E589C20-8CC6-48E5-9761-4F45E006DB12}</author>
    <author>tc={F9708C46-9873-4941-B230-59E081783605}</author>
    <author>Helen K. Vozzo</author>
    <author>tc={58892122-B2EB-45B2-B33D-B968846C629F}</author>
    <author>tc={FDFB080B-7697-4EE2-AC35-246E5D5BC83F}</author>
    <author>Sisson, Virginia P</author>
    <author>tc={E516E17E-FF41-4685-A8CE-FF4788FBCBD0}</author>
    <author>tc={F236B703-065B-44F7-9B54-0E6382764ABB}</author>
    <author>tc={21F9FA95-98E5-4723-8F27-74809263C196}</author>
    <author>tc={8C0E3826-3596-4385-8E32-7756BE9D2DDA}</author>
    <author>Debbie Dryer</author>
    <author>tc={A615783C-1191-4045-98F6-5DA93EB3548F}</author>
    <author>tc={E88BAAE7-59B6-49B2-BFA5-5FE8C4DBA888}</author>
    <author>tc={0665821F-2F78-4D93-BB0F-0CF65F131A8B}</author>
    <author>tc={C9B88260-7184-4C17-BD71-E4AA1246D0AC}</author>
  </authors>
  <commentList>
    <comment ref="C7" authorId="0" shapeId="0" xr:uid="{00000000-0006-0000-4A00-000001000000}">
      <text>
        <r>
          <rPr>
            <sz val="8"/>
            <color indexed="81"/>
            <rFont val="Tahoma"/>
            <family val="2"/>
          </rPr>
          <t xml:space="preserve">Complete the Index sheet first. This cell uses the agency number from the Index Sheet to populate the GASB fund number from the NetAssets table.
</t>
        </r>
      </text>
    </comment>
    <comment ref="B17" authorId="0" shapeId="0" xr:uid="{00000000-0006-0000-4A00-000002000000}">
      <text>
        <r>
          <rPr>
            <sz val="8"/>
            <color indexed="81"/>
            <rFont val="Tahoma"/>
            <family val="2"/>
          </rPr>
          <t xml:space="preserve">Added securities lending caption in 2011. This is not applicable for universities but adding in case other agencies need.  This caption is on the NCAS CAFR 11p balance sheet.
</t>
        </r>
      </text>
    </comment>
    <comment ref="B25" authorId="1" shapeId="0" xr:uid="{00000000-0006-0000-4A00-000003000000}">
      <text>
        <r>
          <rPr>
            <sz val="9"/>
            <color indexed="81"/>
            <rFont val="Tahoma"/>
            <family val="2"/>
          </rPr>
          <t>Complete w/s 616 first and total will automatically populate here.</t>
        </r>
      </text>
    </comment>
    <comment ref="B31" authorId="2" shapeId="0" xr:uid="{6E589C20-8CC6-48E5-9761-4F45E006DB12}">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B45" authorId="0" shapeId="0" xr:uid="{00000000-0006-0000-4A00-000004000000}">
      <text>
        <r>
          <rPr>
            <sz val="8"/>
            <color indexed="81"/>
            <rFont val="Tahoma"/>
            <family val="2"/>
          </rPr>
          <t xml:space="preserve">'Intergovernmental receivables - noncurrent' is not a caption in DSS, but we had it on the offline agency template in 2010 so we are keeping it on the 905 template.
</t>
        </r>
      </text>
    </comment>
    <comment ref="B50" authorId="3" shapeId="0" xr:uid="{F9708C46-9873-4941-B230-59E081783605}">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https://www.osc.nc.gov/state-agency-resources/chart-of-accounts?field_site_page_terms_target_id_1=2119&amp;combine=</t>
      </text>
    </comment>
    <comment ref="B52" authorId="4" shapeId="0" xr:uid="{00000000-0006-0000-4A00-000005000000}">
      <text>
        <r>
          <rPr>
            <sz val="9"/>
            <color indexed="81"/>
            <rFont val="Tahoma"/>
            <family val="2"/>
          </rPr>
          <t xml:space="preserve">In FY 2014, we renamed the caption from 'Deferred charges' to 'Prepaid items'. GASB 65 only allows the term 'Deferred' to be used for Deferred outflows or inflows as specifically defined by GASB. 
</t>
        </r>
      </text>
    </comment>
    <comment ref="B56" authorId="0" shapeId="0" xr:uid="{00000000-0006-0000-4A00-000006000000}">
      <text>
        <r>
          <rPr>
            <sz val="8"/>
            <color indexed="81"/>
            <rFont val="Tahoma"/>
            <family val="2"/>
          </rPr>
          <t xml:space="preserve">Added caption back to template in 2009. Did not have in 2008 but did in prior years.  Rolls w/ Restricted investments for CAFR. Do not have this caption on DSS. Kept on template because SEAA uses this caption.  (Note: Post GASB 61, SEAA is no longer a major CU and no longer completes 905.)  </t>
        </r>
      </text>
    </comment>
    <comment ref="B62" authorId="0" shapeId="0" xr:uid="{00000000-0006-0000-4A00-000007000000}">
      <text>
        <r>
          <rPr>
            <sz val="8"/>
            <color indexed="81"/>
            <rFont val="Tahoma"/>
            <family val="2"/>
          </rPr>
          <t xml:space="preserve">Complete the 201 worksheet first and the totals will populate here.
</t>
        </r>
      </text>
    </comment>
    <comment ref="B68" authorId="4" shapeId="0" xr:uid="{00000000-0006-0000-4A00-000008000000}">
      <text>
        <r>
          <rPr>
            <sz val="9"/>
            <color indexed="81"/>
            <rFont val="Tahoma"/>
            <family val="2"/>
          </rPr>
          <t>Added to template in 2012</t>
        </r>
      </text>
    </comment>
    <comment ref="B70" authorId="0" shapeId="0" xr:uid="{00000000-0006-0000-4A00-000009000000}">
      <text>
        <r>
          <rPr>
            <sz val="8"/>
            <color indexed="81"/>
            <rFont val="Tahoma"/>
            <family val="2"/>
          </rPr>
          <t xml:space="preserve">Complete ws 201 first and totals will populate from 201
</t>
        </r>
      </text>
    </comment>
    <comment ref="B81" authorId="5" shapeId="0" xr:uid="{58892122-B2EB-45B2-B33D-B968846C629F}">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B82" authorId="6" shapeId="0" xr:uid="{FDFB080B-7697-4EE2-AC35-246E5D5BC83F}">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B84" authorId="0" shapeId="0" xr:uid="{00000000-0006-0000-4A00-00000A000000}">
      <text>
        <r>
          <rPr>
            <sz val="8"/>
            <color indexed="81"/>
            <rFont val="Tahoma"/>
            <family val="2"/>
          </rPr>
          <t>Removed amortization in 2012</t>
        </r>
      </text>
    </comment>
    <comment ref="D90" authorId="4" shapeId="0" xr:uid="{00000000-0006-0000-4A00-00000B000000}">
      <text>
        <r>
          <rPr>
            <sz val="9"/>
            <color indexed="81"/>
            <rFont val="Tahoma"/>
            <family val="2"/>
          </rPr>
          <t xml:space="preserve">New F/S element starting FY 2013 w/ implementation of GASB 63
</t>
        </r>
      </text>
    </comment>
    <comment ref="B91" authorId="4" shapeId="0" xr:uid="{00000000-0006-0000-4A00-00000C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2" authorId="4" shapeId="0" xr:uid="{00000000-0006-0000-4A00-00000D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3" authorId="7" shapeId="0" xr:uid="{2A661E8B-9782-4660-AA0E-0252D714E2BF}">
      <text>
        <r>
          <rPr>
            <sz val="9"/>
            <color indexed="81"/>
            <rFont val="Tahoma"/>
            <family val="2"/>
          </rPr>
          <t>New caption for 2019 - GASB 83</t>
        </r>
      </text>
    </comment>
    <comment ref="B94" authorId="4" shapeId="0" xr:uid="{00000000-0006-0000-4A00-00000E000000}">
      <text>
        <r>
          <rPr>
            <sz val="8"/>
            <color indexed="81"/>
            <rFont val="Tahoma"/>
            <family val="2"/>
          </rPr>
          <t xml:space="preserve">Added in FY2015 with the implementation of GASB 68 - for new NCAS Acct 129710 Deferred outflows for pensions. </t>
        </r>
      </text>
    </comment>
    <comment ref="B96" authorId="4" shapeId="0" xr:uid="{00000000-0006-0000-4A00-00000F000000}">
      <text>
        <r>
          <rPr>
            <sz val="8"/>
            <color indexed="81"/>
            <rFont val="Tahoma"/>
            <family val="2"/>
          </rPr>
          <t>Added in FY2015 with the implementation of GASB 69 Government Combinations and Disposals of Government Operations. For new NCAS Acct 129705 Excess consideration provided for acquisition.</t>
        </r>
      </text>
    </comment>
    <comment ref="B97" authorId="4" shapeId="0" xr:uid="{00000000-0006-0000-4A00-000010000000}">
      <text>
        <r>
          <rPr>
            <sz val="8"/>
            <color indexed="81"/>
            <rFont val="Tahoma"/>
            <family val="2"/>
          </rPr>
          <t xml:space="preserve">Added in FY2014 for GASB 65-  new acct 129703 Other Deferred outflow of resources, per GASB 65 that are not classified in a more specific account. </t>
        </r>
      </text>
    </comment>
    <comment ref="D102" authorId="0" shapeId="0" xr:uid="{00000000-0006-0000-4A00-000011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 account to the accounts payable caption.
</t>
        </r>
      </text>
    </comment>
    <comment ref="B103" authorId="0" shapeId="0" xr:uid="{00000000-0006-0000-4A00-000012000000}">
      <text>
        <r>
          <rPr>
            <sz val="8"/>
            <color indexed="81"/>
            <rFont val="Tahoma"/>
            <family val="2"/>
          </rPr>
          <t xml:space="preserve">In 2011, Accounts payable began including Other payables, which had been a separate subcaption in prior years.
</t>
        </r>
      </text>
    </comment>
    <comment ref="B108" authorId="0" shapeId="0" xr:uid="{00000000-0006-0000-4A00-000013000000}">
      <text>
        <r>
          <rPr>
            <b/>
            <sz val="8"/>
            <color indexed="81"/>
            <rFont val="Tahoma"/>
            <family val="2"/>
          </rPr>
          <t>Short-term debt caption added 5/27/09 for FY 2009. For 2011 adding detail captions  - see below:
Revolving line of credit and loans payable, commercial paper, anticipation notes.  Amts  should tie to w/s 310</t>
        </r>
        <r>
          <rPr>
            <sz val="8"/>
            <color indexed="81"/>
            <rFont val="Tahoma"/>
            <family val="2"/>
          </rPr>
          <t xml:space="preserve">
</t>
        </r>
      </text>
    </comment>
    <comment ref="B109" authorId="0" shapeId="0" xr:uid="{00000000-0006-0000-4A00-000014000000}">
      <text>
        <r>
          <rPr>
            <sz val="8"/>
            <color indexed="81"/>
            <rFont val="Tahoma"/>
            <family val="2"/>
          </rPr>
          <t xml:space="preserve">Caption title on NCAS CAFR 11p does not include loans payable, but title on template broader to include loans.
</t>
        </r>
      </text>
    </comment>
    <comment ref="B115" authorId="1" shapeId="0" xr:uid="{00000000-0006-0000-4A00-000015000000}">
      <text>
        <r>
          <rPr>
            <b/>
            <sz val="9"/>
            <color indexed="81"/>
            <rFont val="Tahoma"/>
            <family val="2"/>
          </rPr>
          <t>Complete w/s 616 first and total will populate here on 905.</t>
        </r>
      </text>
    </comment>
    <comment ref="B119" authorId="0" shapeId="0" xr:uid="{00000000-0006-0000-4A00-000016000000}">
      <text>
        <r>
          <rPr>
            <sz val="8"/>
            <color indexed="81"/>
            <rFont val="Tahoma"/>
            <family val="2"/>
          </rPr>
          <t xml:space="preserve">Added Obligations under securities lending caption for 2011. </t>
        </r>
        <r>
          <rPr>
            <b/>
            <sz val="8"/>
            <color indexed="81"/>
            <rFont val="Tahoma"/>
            <family val="2"/>
          </rPr>
          <t>This is not applicable for universities</t>
        </r>
        <r>
          <rPr>
            <sz val="8"/>
            <color indexed="81"/>
            <rFont val="Tahoma"/>
            <family val="2"/>
          </rPr>
          <t xml:space="preserve"> but adding in case other agencies need, and this caption is on the NCAS CAFR 11p balance sheet.</t>
        </r>
      </text>
    </comment>
    <comment ref="B121" authorId="0" shapeId="0" xr:uid="{00000000-0006-0000-4A00-000017000000}">
      <text>
        <r>
          <rPr>
            <sz val="8"/>
            <color indexed="81"/>
            <rFont val="Tahoma"/>
            <family val="2"/>
          </rPr>
          <t>SEAA uses this for Due to IRS Sec 529 (college savings) plan participants</t>
        </r>
      </text>
    </comment>
    <comment ref="B125" authorId="8" shapeId="0" xr:uid="{E516E17E-FF41-4685-A8CE-FF4788FBCBD0}">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30" authorId="0" shapeId="0" xr:uid="{00000000-0006-0000-4A00-000018000000}">
      <text>
        <r>
          <rPr>
            <sz val="8"/>
            <color indexed="81"/>
            <rFont val="Tahoma"/>
            <family val="2"/>
          </rPr>
          <t>Caption added in 2009 - see w/s 322</t>
        </r>
      </text>
    </comment>
    <comment ref="B131" authorId="7" shapeId="0" xr:uid="{AA5FDBE1-56C3-4838-8705-2BDD85B8BCCA}">
      <text>
        <r>
          <rPr>
            <sz val="9"/>
            <color indexed="81"/>
            <rFont val="Tahoma"/>
            <family val="2"/>
          </rPr>
          <t>New caption for 2019 - GASB 83</t>
        </r>
      </text>
    </comment>
    <comment ref="B132" authorId="4" shapeId="0" xr:uid="{00000000-0006-0000-4A00-000019000000}">
      <text>
        <r>
          <rPr>
            <sz val="9"/>
            <color indexed="81"/>
            <rFont val="Tahoma"/>
            <family val="2"/>
          </rPr>
          <t>In FY 2015, we updated this caption from Accrued vacation leave to Compensated absences to match w/s 310 and CAFR terminology</t>
        </r>
        <r>
          <rPr>
            <b/>
            <sz val="9"/>
            <color indexed="81"/>
            <rFont val="Tahoma"/>
            <family val="2"/>
          </rPr>
          <t xml:space="preserve">
 </t>
        </r>
        <r>
          <rPr>
            <sz val="9"/>
            <color indexed="81"/>
            <rFont val="Tahoma"/>
            <family val="2"/>
          </rPr>
          <t xml:space="preserve">
</t>
        </r>
      </text>
    </comment>
    <comment ref="B133" authorId="4" shapeId="0" xr:uid="{00000000-0006-0000-4A00-00001A000000}">
      <text>
        <r>
          <rPr>
            <sz val="8"/>
            <color indexed="81"/>
            <rFont val="Tahoma"/>
            <family val="2"/>
          </rPr>
          <t>Added caption in FY 2015 with the implementation of GASB 68.  Because our pension plans are so well funded, we will not need to report a current  portion.  There is no NCAS account set up for a current portion of the Net pension liability.</t>
        </r>
      </text>
    </comment>
    <comment ref="B136" authorId="0" shapeId="0" xr:uid="{00000000-0006-0000-4A00-00001B000000}">
      <text>
        <r>
          <rPr>
            <sz val="8"/>
            <color indexed="81"/>
            <rFont val="Tahoma"/>
            <family val="2"/>
          </rPr>
          <t>Added to template in 2011.  This is a NOT a caption on the CAFR 11p; however, it is on the 310 worksheet.</t>
        </r>
      </text>
    </comment>
    <comment ref="D140" authorId="0" shapeId="0" xr:uid="{00000000-0006-0000-4A00-00001C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liabilities-noncurrent account to the accounts payable-noncurrent caption.
</t>
        </r>
      </text>
    </comment>
    <comment ref="B141" authorId="0" shapeId="0" xr:uid="{00000000-0006-0000-4A00-00001D000000}">
      <text>
        <r>
          <rPr>
            <sz val="8"/>
            <color indexed="81"/>
            <rFont val="Tahoma"/>
            <family val="2"/>
          </rPr>
          <t>The noncurrent accounts payable caption was added to the template in 2011, but it was an existing caption on the DSS CAFR 11P reports.  The noncurrent investment derivative liability would be included in this caption as well as other payables-noncurrent which had a separate subcaption in prior years.</t>
        </r>
      </text>
    </comment>
    <comment ref="B144" authorId="0" shapeId="0" xr:uid="{00000000-0006-0000-4A00-00001E000000}">
      <text>
        <r>
          <rPr>
            <sz val="8"/>
            <color indexed="81"/>
            <rFont val="Tahoma"/>
            <family val="2"/>
          </rPr>
          <t>Complete w/s 535 first</t>
        </r>
      </text>
    </comment>
    <comment ref="B147" authorId="0" shapeId="0" xr:uid="{00000000-0006-0000-4A00-00001F000000}">
      <text>
        <r>
          <rPr>
            <sz val="8"/>
            <color indexed="81"/>
            <rFont val="Tahoma"/>
            <family val="2"/>
          </rPr>
          <t>SEAA uses this for Due to IRS Sec 529 (college savings) plan participants</t>
        </r>
      </text>
    </comment>
    <comment ref="B148" authorId="0" shapeId="0" xr:uid="{00000000-0006-0000-4A00-000020000000}">
      <text>
        <r>
          <rPr>
            <sz val="8"/>
            <color indexed="81"/>
            <rFont val="Tahoma"/>
            <family val="2"/>
          </rPr>
          <t>New caption for implementation of GASB 53 Derivatives for 2010</t>
        </r>
      </text>
    </comment>
    <comment ref="K150" authorId="9" shapeId="0" xr:uid="{F236B703-065B-44F7-9B54-0E6382764ABB}">
      <text>
        <t>[Threaded comment]
Your version of Excel allows you to read this threaded comment; however, any edits to it will get removed if the file is opened in a newer version of Excel. Learn more: https://go.microsoft.com/fwlink/?linkid=870924
Comment:
    from lease payable to lease liability</t>
      </text>
    </comment>
    <comment ref="B151" authorId="10" shapeId="0" xr:uid="{21F9FA95-98E5-4723-8F27-74809263C196}">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2" authorId="0" shapeId="0" xr:uid="{00000000-0006-0000-4A00-000021000000}">
      <text>
        <r>
          <rPr>
            <sz val="8"/>
            <color indexed="81"/>
            <rFont val="Tahoma"/>
            <family val="2"/>
          </rPr>
          <t xml:space="preserve">Not new, but updating title for 2011 to be consistent with NCAS CAFR 11p caption
</t>
        </r>
      </text>
    </comment>
    <comment ref="B154" authorId="4" shapeId="0" xr:uid="{00000000-0006-0000-4A00-000022000000}">
      <text>
        <r>
          <rPr>
            <b/>
            <sz val="9"/>
            <color indexed="81"/>
            <rFont val="Tahoma"/>
            <family val="2"/>
          </rPr>
          <t>FY 2014</t>
        </r>
        <r>
          <rPr>
            <sz val="9"/>
            <color indexed="81"/>
            <rFont val="Tahoma"/>
            <family val="2"/>
          </rPr>
          <t>added workers comp line on 905-to feed from ws 310</t>
        </r>
      </text>
    </comment>
    <comment ref="B155" authorId="0" shapeId="0" xr:uid="{00000000-0006-0000-4A00-000023000000}">
      <text>
        <r>
          <rPr>
            <sz val="8"/>
            <color indexed="81"/>
            <rFont val="Tahoma"/>
            <family val="2"/>
          </rPr>
          <t>Adding to template for 2011; this is a caption on NCAS CAFR 11p</t>
        </r>
        <r>
          <rPr>
            <sz val="8"/>
            <color indexed="81"/>
            <rFont val="Tahoma"/>
            <family val="2"/>
          </rPr>
          <t xml:space="preserve">
</t>
        </r>
      </text>
    </comment>
    <comment ref="B156" authorId="0" shapeId="0" xr:uid="{00000000-0006-0000-4A00-000024000000}">
      <text>
        <r>
          <rPr>
            <sz val="8"/>
            <color indexed="81"/>
            <rFont val="Tahoma"/>
            <family val="2"/>
          </rPr>
          <t xml:space="preserve">New caption for 2009 - see w/s322
</t>
        </r>
      </text>
    </comment>
    <comment ref="B157" authorId="7" shapeId="0" xr:uid="{DA25F59C-7F39-4E63-853D-B530C0019156}">
      <text>
        <r>
          <rPr>
            <sz val="9"/>
            <color indexed="81"/>
            <rFont val="Tahoma"/>
            <family val="2"/>
          </rPr>
          <t>New Captionfor 2019 - GASB 83</t>
        </r>
      </text>
    </comment>
    <comment ref="B158" authorId="4" shapeId="0" xr:uid="{00000000-0006-0000-4A00-000025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59" authorId="4" shapeId="0" xr:uid="{00000000-0006-0000-4A00-000026000000}">
      <text>
        <r>
          <rPr>
            <sz val="8"/>
            <color indexed="81"/>
            <rFont val="Tahoma"/>
            <family val="2"/>
          </rPr>
          <t>Starting FY15 with implementation of GASB68 for NCAS acct 229150 Net pension liability-noncurrent</t>
        </r>
      </text>
    </comment>
    <comment ref="B161" authorId="0" shapeId="0" xr:uid="{00000000-0006-0000-4A00-000027000000}">
      <text>
        <r>
          <rPr>
            <sz val="8"/>
            <color indexed="81"/>
            <rFont val="Tahoma"/>
            <family val="2"/>
          </rPr>
          <t>Adding to template for 2011; this is a caption on NCAS CAFR 11p</t>
        </r>
      </text>
    </comment>
    <comment ref="B162" authorId="0" shapeId="0" xr:uid="{00000000-0006-0000-4A00-000028000000}">
      <text>
        <r>
          <rPr>
            <sz val="8"/>
            <color indexed="81"/>
            <rFont val="Tahoma"/>
            <family val="2"/>
          </rPr>
          <t>Adding to template for 2011; this is a NOT a caption on NCAS CAFR 11p, however it is on worksheet 310.</t>
        </r>
      </text>
    </comment>
    <comment ref="D167" authorId="4" shapeId="0" xr:uid="{00000000-0006-0000-4A00-000029000000}">
      <text>
        <r>
          <rPr>
            <sz val="9"/>
            <color indexed="81"/>
            <rFont val="Tahoma"/>
            <family val="2"/>
          </rPr>
          <t xml:space="preserve">New F/S element starting FY 2013 w/ implementation of GASB 63
</t>
        </r>
      </text>
    </comment>
    <comment ref="B168" authorId="4" shapeId="0" xr:uid="{00000000-0006-0000-4A00-00002A000000}">
      <text>
        <r>
          <rPr>
            <sz val="7"/>
            <color indexed="81"/>
            <rFont val="Tahoma"/>
            <family val="2"/>
          </rPr>
          <t xml:space="preserve">ForFY13 acct229201 Accum Incr in fair val of hedging deriv (new acct title) goes here. Former acct title is Deferred inflow of resources
</t>
        </r>
      </text>
    </comment>
    <comment ref="B169" authorId="11" shapeId="0" xr:uid="{8C0E3826-3596-4385-8E32-7756BE9D2DDA}">
      <text>
        <t>[Threaded comment]
Your version of Excel allows you to read this threaded comment; however, any edits to it will get removed if the file is opened in a newer version of Excel. Learn more: https://go.microsoft.com/fwlink/?linkid=870924
Comment:
    * For FY13, new NCAS acct 229202 added for implementation of GASB60 Service Concession Arrangements.
* For FY23, new title changed from Service Concession Arrangement (SCA) revenue applicable to future years to Deferred inflows for PPP Arrangements per GASB94.</t>
      </text>
    </comment>
    <comment ref="B170" authorId="4" shapeId="0" xr:uid="{00000000-0006-0000-4A00-00002C000000}">
      <text>
        <r>
          <rPr>
            <sz val="7"/>
            <color indexed="81"/>
            <rFont val="Tahoma"/>
            <family val="2"/>
          </rPr>
          <t xml:space="preserve">Added FY14 for GASB65,NCAS acct 229203 Def gain on refunding bonds. For more info refer to GASB Resources webpage available from OSC homepage www.osc.nc.gov
</t>
        </r>
      </text>
    </comment>
    <comment ref="B171" authorId="4" shapeId="0" xr:uid="{00000000-0006-0000-4A00-00002D000000}">
      <text>
        <r>
          <rPr>
            <sz val="7"/>
            <color indexed="81"/>
            <rFont val="Tahoma"/>
            <family val="2"/>
          </rPr>
          <t>Added FY14 for GASB65;  NCAS acct 229204 Def Inflows-nonexchange transactions.  Refer to GASB Resources webpage available from OSC homepage www.osc.nc.gov</t>
        </r>
      </text>
    </comment>
    <comment ref="B172" authorId="4" shapeId="0" xr:uid="{00000000-0006-0000-4A00-00002E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4" authorId="4" shapeId="0" xr:uid="{00000000-0006-0000-4A00-00002F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5" authorId="4" shapeId="0" xr:uid="{00000000-0006-0000-4A00-000030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7" authorId="4" shapeId="0" xr:uid="{00000000-0006-0000-4A00-000031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180" authorId="4" shapeId="0" xr:uid="{00000000-0006-0000-4A00-000032000000}">
      <text>
        <r>
          <rPr>
            <sz val="9"/>
            <color indexed="81"/>
            <rFont val="Tahoma"/>
            <family val="2"/>
          </rPr>
          <t xml:space="preserve">For GASB63 effective for FY2013, changed from Net assets to Net position </t>
        </r>
      </text>
    </comment>
    <comment ref="B181" authorId="4" shapeId="0" xr:uid="{00000000-0006-0000-4A00-000033000000}">
      <text>
        <r>
          <rPr>
            <sz val="8"/>
            <color indexed="81"/>
            <rFont val="Tahoma"/>
            <family val="2"/>
          </rPr>
          <t>For GASB63 effective for FY2013 new title for this component of net position. (former title is Invested in capital assets, net of related debt.)</t>
        </r>
        <r>
          <rPr>
            <sz val="9"/>
            <color indexed="81"/>
            <rFont val="Tahoma"/>
            <family val="2"/>
          </rPr>
          <t xml:space="preserve">
</t>
        </r>
      </text>
    </comment>
    <comment ref="E194" authorId="4" shapeId="0" xr:uid="{00000000-0006-0000-4A00-000034000000}">
      <text>
        <r>
          <rPr>
            <sz val="9"/>
            <color indexed="81"/>
            <rFont val="Tahoma"/>
            <family val="2"/>
          </rPr>
          <t xml:space="preserve">New equation based on GASB63 effective FY2013
</t>
        </r>
      </text>
    </comment>
    <comment ref="B200" authorId="0" shapeId="0" xr:uid="{00000000-0006-0000-4A00-000035000000}">
      <text>
        <r>
          <rPr>
            <sz val="8"/>
            <color indexed="81"/>
            <rFont val="Tahoma"/>
            <family val="2"/>
          </rPr>
          <t xml:space="preserve">added net 2011
</t>
        </r>
      </text>
    </comment>
    <comment ref="B201" authorId="0" shapeId="0" xr:uid="{00000000-0006-0000-4A00-000036000000}">
      <text>
        <r>
          <rPr>
            <sz val="8"/>
            <color indexed="81"/>
            <rFont val="Tahoma"/>
            <family val="2"/>
          </rPr>
          <t>Adding to template for 2011; this is a caption on NCAS CAFR 11p</t>
        </r>
      </text>
    </comment>
    <comment ref="B202" authorId="0" shapeId="0" xr:uid="{00000000-0006-0000-4A00-000037000000}">
      <text>
        <r>
          <rPr>
            <sz val="8"/>
            <color indexed="81"/>
            <rFont val="Tahoma"/>
            <family val="2"/>
          </rPr>
          <t>Adding to template for 2011; this is a caption on NCAS CAFR 11p</t>
        </r>
      </text>
    </comment>
    <comment ref="B203" authorId="0" shapeId="0" xr:uid="{00000000-0006-0000-4A00-000038000000}">
      <text>
        <r>
          <rPr>
            <sz val="8"/>
            <color indexed="81"/>
            <rFont val="Tahoma"/>
            <family val="2"/>
          </rPr>
          <t>Adding to template for 2011; this is a caption on NCAS CAFR 11p</t>
        </r>
      </text>
    </comment>
    <comment ref="B214" authorId="4" shapeId="0" xr:uid="{00000000-0006-0000-4A00-000039000000}">
      <text>
        <r>
          <rPr>
            <sz val="9"/>
            <color indexed="81"/>
            <rFont val="Tahoma"/>
            <family val="2"/>
          </rPr>
          <t xml:space="preserve">FY15-Includes new acct for GASB 68 - NCAS acct 531595 Pension expense .
</t>
        </r>
      </text>
    </comment>
    <comment ref="B215" authorId="12" shapeId="0" xr:uid="{00000000-0006-0000-4A00-00003A000000}">
      <text>
        <r>
          <rPr>
            <sz val="9"/>
            <color indexed="81"/>
            <rFont val="Tahoma"/>
            <family val="2"/>
          </rPr>
          <t xml:space="preserve">Beginning FY2013, includes capital outlay/noncap equip
</t>
        </r>
      </text>
    </comment>
    <comment ref="B219" authorId="4" shapeId="0" xr:uid="{00000000-0006-0000-4A00-00003B000000}">
      <text>
        <r>
          <rPr>
            <sz val="8"/>
            <color indexed="81"/>
            <rFont val="Tahoma"/>
            <family val="2"/>
          </rPr>
          <t>FY2012 removed amortization from caption title</t>
        </r>
      </text>
    </comment>
    <comment ref="B221" authorId="0" shapeId="0" xr:uid="{00000000-0006-0000-4A00-00003C000000}">
      <text>
        <r>
          <rPr>
            <sz val="8"/>
            <color indexed="81"/>
            <rFont val="Tahoma"/>
            <family val="2"/>
          </rPr>
          <t xml:space="preserve">Added to template 2011; this is a caption on the NCAS operating statement
</t>
        </r>
      </text>
    </comment>
    <comment ref="B222" authorId="0" shapeId="0" xr:uid="{00000000-0006-0000-4A00-00003D000000}">
      <text>
        <r>
          <rPr>
            <sz val="8"/>
            <color indexed="81"/>
            <rFont val="Tahoma"/>
            <family val="2"/>
          </rPr>
          <t>Prior year template did not show detail. For 2011 added subcaptions making up other expenses on NCAS operating statement.
Beginning FY2013, Other does not include capital outlay-moved to Supplies &amp; materials.</t>
        </r>
      </text>
    </comment>
    <comment ref="B230" authorId="0" shapeId="0" xr:uid="{00000000-0006-0000-4A00-00003E000000}">
      <text>
        <r>
          <rPr>
            <sz val="8"/>
            <color indexed="81"/>
            <rFont val="Tahoma"/>
            <family val="2"/>
          </rPr>
          <t>Caption added to template 2011. State appropriations are funds appropriated by the legislature for general use by a specific agency. For NCAS agencies, this represents the 439100 account balance in the general fund budget code. This caption should not include state aid-program or state capital aid or state capital appropriations in a 4xxxx capital projects budget code.</t>
        </r>
      </text>
    </comment>
    <comment ref="B233" authorId="13" shapeId="0" xr:uid="{A615783C-1191-4045-98F6-5DA93EB3548F}">
      <text>
        <t>[Threaded comment]
Your version of Excel allows you to read this threaded comment; however, any edits to it will get removed if the file is opened in a newer version of Excel. Learn more: https://go.microsoft.com/fwlink/?linkid=870924
Comment:
    This account maps to NCAS Account 432905. This account should only be used for entities receiving coronavirus relief funds or American Rescue Plan State Fiscal Recovery Funds DIRECTLY from OSBM. Coronavirus relief funds or ARP State Fiscal Recovery Funds received from the UNC System Office should be reported in University Transfers Account 438700, and Worksheet 565 should be filled out.</t>
      </text>
    </comment>
    <comment ref="B235" authorId="14" shapeId="0" xr:uid="{E88BAAE7-59B6-49B2-BFA5-5FE8C4DBA888}">
      <text>
        <t>[Threaded comment]
Your version of Excel allows you to read this threaded comment; however, any edits to it will get removed if the file is opened in a newer version of Excel. Learn more: https://go.microsoft.com/fwlink/?linkid=870924
Comment: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
      </text>
    </comment>
    <comment ref="B237" authorId="15" shapeId="0" xr:uid="{0665821F-2F78-4D93-BB0F-0CF65F131A8B}">
      <text>
        <t>[Threaded comment]
Your version of Excel allows you to read this threaded comment; however, any edits to it will get removed if the file is opened in a newer version of Excel. Learn more: https://go.microsoft.com/fwlink/?linkid=870924
Comment:
    This is a new account caption on the 905 and in NCAS for FY2021. Amounts in this caption should reflect the proportionate share of the State Health Plan's contribution to the Retiree Health Benefit Fund (RHBF) for employer participants. This caption maps to NCAS Account 436207.</t>
      </text>
    </comment>
    <comment ref="B238" authorId="16" shapeId="0" xr:uid="{C9B88260-7184-4C17-BD71-E4AA1246D0AC}">
      <text>
        <t>[Threaded comment]
Your version of Excel allows you to read this threaded comment; however, any edits to it will get removed if the file is opened in a newer version of Excel. Learn more: https://go.microsoft.com/fwlink/?linkid=870924
Comment:
    This includes new account - 535327 SBITA INTEREST PAYMENTS.</t>
      </text>
    </comment>
    <comment ref="B245" authorId="0" shapeId="0" xr:uid="{00000000-0006-0000-4A00-00003F000000}">
      <text>
        <r>
          <rPr>
            <sz val="8"/>
            <color indexed="81"/>
            <rFont val="Tahoma"/>
            <family val="2"/>
          </rPr>
          <t>Added to template 2011; this is a caption on the NCAS operating statement</t>
        </r>
      </text>
    </comment>
    <comment ref="B251" authorId="0" shapeId="0" xr:uid="{00000000-0006-0000-4A00-000040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252" authorId="0" shapeId="0" xr:uid="{00000000-0006-0000-4A00-000041000000}">
      <text>
        <r>
          <rPr>
            <sz val="8"/>
            <color indexed="81"/>
            <rFont val="Tahoma"/>
            <family val="2"/>
          </rPr>
          <t>Capital grants include federal, state and local capital grants, including the ARRA energy grants from the NC Dept of Commerce.</t>
        </r>
      </text>
    </comment>
    <comment ref="B254" authorId="0" shapeId="0" xr:uid="{00000000-0006-0000-4A00-000042000000}">
      <text>
        <r>
          <rPr>
            <sz val="8"/>
            <color indexed="81"/>
            <rFont val="Tahoma"/>
            <family val="2"/>
          </rPr>
          <t>Added to template 2011; this is a caption on the NCAS operating statement</t>
        </r>
      </text>
    </comment>
    <comment ref="B255" authorId="0" shapeId="0" xr:uid="{00000000-0006-0000-4A00-000043000000}">
      <text>
        <r>
          <rPr>
            <sz val="8"/>
            <color indexed="81"/>
            <rFont val="Tahoma"/>
            <family val="2"/>
          </rPr>
          <t>Added to template 2011; this is a caption on the NCAS operating statement. Complete ws 565 first.</t>
        </r>
      </text>
    </comment>
    <comment ref="F259" authorId="0" shapeId="0" xr:uid="{00000000-0006-0000-4A00-000044000000}">
      <text>
        <r>
          <rPr>
            <sz val="8"/>
            <color indexed="81"/>
            <rFont val="Tahoma"/>
            <family val="2"/>
          </rPr>
          <t xml:space="preserve">Complete the Index sheet first. This cell uses the agency number from the Index Sheet to populate the beginning net position number from the table built from the prior year CAFR ending net position balance .  Any difference  including audit adjustments must be entered on the restatements line.
</t>
        </r>
      </text>
    </comment>
    <comment ref="B260" authorId="4" shapeId="0" xr:uid="{00000000-0006-0000-4A00-000045000000}">
      <text>
        <r>
          <rPr>
            <sz val="9"/>
            <color indexed="81"/>
            <rFont val="Tahoma"/>
            <family val="2"/>
          </rPr>
          <t>Tie to ws 430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tc={5E0EC07F-2FD0-42BD-8F67-AD975E4240E6}</author>
    <author>tc={B83E7636-C6AD-4B09-A2E8-7267B7FA5B91}</author>
    <author>tc={7C6CE1D7-3D60-4313-897C-9BE7C8BC3C3F}</author>
    <author>tc={65E3A937-0C3C-4804-BC4D-57980FA99690}</author>
  </authors>
  <commentList>
    <comment ref="A162" authorId="0" shapeId="0" xr:uid="{5E0EC07F-2FD0-42BD-8F67-AD975E4240E6}">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A282" authorId="1" shapeId="0" xr:uid="{B83E7636-C6AD-4B09-A2E8-7267B7FA5B91}">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C688" authorId="2" shapeId="0" xr:uid="{7C6CE1D7-3D60-4313-897C-9BE7C8BC3C3F}">
      <text>
        <t xml:space="preserve">[Threaded comment]
Your version of Excel allows you to read this threaded comment; however, any edits to it will get removed if the file is opened in a newer version of Excel. Learn more: https://go.microsoft.com/fwlink/?linkid=870924
Comment:
    Added in FY2023.
No balance in the past. </t>
      </text>
    </comment>
    <comment ref="A711" authorId="3" shapeId="0" xr:uid="{65E3A937-0C3C-4804-BC4D-57980FA99690}">
      <text>
        <t>[Threaded comment]
Your version of Excel allows you to read this threaded comment; however, any edits to it will get removed if the file is opened in a newer version of Excel. Learn more: https://go.microsoft.com/fwlink/?linkid=870924
Comment:
    Title change from "SCA REV APPLIC FUTURE YRS" tp "Deferred Inflows for PPP Arrangements".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Helen Vozzo</author>
    <author>tc={E05F9015-BBA7-4F41-B3C6-BFC0CCC75953}</author>
    <author>tc={3C06B7EF-E58B-4228-9127-17537D60B5D2}</author>
    <author>Helen K. Vozzo</author>
    <author>tc={FECDB75A-DE6D-4152-89F7-E5E48BD40ED0}</author>
    <author>tc={54D3CDC2-C2C8-4E6B-8846-5F0F63B706B3}</author>
    <author>Administrator</author>
    <author>tc={1AD230D2-1978-4F76-8203-C86148E0DE78}</author>
    <author>tc={47ECF78E-7D66-434D-917F-F9752AA0C418}</author>
    <author>tc={76EA8710-07A3-480D-B4C3-12002537D5C0}</author>
    <author>Debbie Dryer</author>
    <author>tc={C46C3533-8015-459F-8AF8-C93EA45BF696}</author>
    <author>tc={0CEA98A3-49A5-493C-A194-BF74532B95A1}</author>
  </authors>
  <commentList>
    <comment ref="C5" authorId="0" shapeId="0" xr:uid="{00000000-0006-0000-4C00-000001000000}">
      <text>
        <r>
          <rPr>
            <sz val="8"/>
            <color indexed="81"/>
            <rFont val="Tahoma"/>
            <family val="2"/>
          </rPr>
          <t>Complete the Index sheet first.</t>
        </r>
      </text>
    </comment>
    <comment ref="C7" authorId="0" shapeId="0" xr:uid="{00000000-0006-0000-4C00-000002000000}">
      <text>
        <r>
          <rPr>
            <sz val="8"/>
            <color indexed="81"/>
            <rFont val="Tahoma"/>
            <family val="2"/>
          </rPr>
          <t xml:space="preserve">Complete the Index sheet first. This cell uses the agency number from the Index Sheet to populate the GASB fund number from the NetAssets table.
</t>
        </r>
      </text>
    </comment>
    <comment ref="B18" authorId="0" shapeId="0" xr:uid="{00000000-0006-0000-4C00-000003000000}">
      <text>
        <r>
          <rPr>
            <sz val="8"/>
            <color indexed="81"/>
            <rFont val="Tahoma"/>
            <family val="2"/>
          </rPr>
          <t xml:space="preserve">Added securities lending caption in 2011. This is not applicable for universities but added in case other agencies need.  This caption is on the NCAS CAFR 11p balance sheet.
</t>
        </r>
      </text>
    </comment>
    <comment ref="F25" authorId="0" shapeId="0" xr:uid="{00000000-0006-0000-4C00-000004000000}">
      <text>
        <r>
          <rPr>
            <sz val="8"/>
            <color indexed="81"/>
            <rFont val="Tahoma"/>
            <family val="2"/>
          </rPr>
          <t xml:space="preserve">Complete ws525 first
</t>
        </r>
      </text>
    </comment>
    <comment ref="F26" authorId="0" shapeId="0" xr:uid="{00000000-0006-0000-4C00-000005000000}">
      <text>
        <r>
          <rPr>
            <sz val="8"/>
            <color indexed="81"/>
            <rFont val="Tahoma"/>
            <family val="2"/>
          </rPr>
          <t>Complete worksheet 616 and the total will automatically populate here.</t>
        </r>
      </text>
    </comment>
    <comment ref="F27" authorId="0" shapeId="0" xr:uid="{00000000-0006-0000-4C00-000006000000}">
      <text>
        <r>
          <rPr>
            <sz val="8"/>
            <color indexed="81"/>
            <rFont val="Tahoma"/>
            <family val="2"/>
          </rPr>
          <t>Complete ws 515 first</t>
        </r>
      </text>
    </comment>
    <comment ref="B32" authorId="1" shapeId="0" xr:uid="{E05F9015-BBA7-4F41-B3C6-BFC0CCC75953}">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46" authorId="0" shapeId="0" xr:uid="{00000000-0006-0000-4C00-000007000000}">
      <text>
        <r>
          <rPr>
            <sz val="8"/>
            <color indexed="81"/>
            <rFont val="Tahoma"/>
            <family val="2"/>
          </rPr>
          <t xml:space="preserve">'Intergovernmental receivables - noncurrent' is not a caption in DSS, but we had it on the offline agency template in 2010 so we are keeping it on the 905 template.
</t>
        </r>
      </text>
    </comment>
    <comment ref="B51" authorId="2" shapeId="0" xr:uid="{3C06B7EF-E58B-4228-9127-17537D60B5D2}">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53" authorId="3" shapeId="0" xr:uid="{00000000-0006-0000-4C00-000008000000}">
      <text>
        <r>
          <rPr>
            <sz val="9"/>
            <color indexed="81"/>
            <rFont val="Tahoma"/>
            <family val="2"/>
          </rPr>
          <t xml:space="preserve">In FY 2014, we renamed the caption from 'Deferred charges' to 'Prepaid items'. GASB 65 only allows the term 'Deferred' to be used for Deferred outflows or inflows as specifically defined by GASB.  
</t>
        </r>
      </text>
    </comment>
    <comment ref="B57" authorId="0" shapeId="0" xr:uid="{00000000-0006-0000-4C00-000009000000}">
      <text>
        <r>
          <rPr>
            <sz val="8"/>
            <color indexed="81"/>
            <rFont val="Tahoma"/>
            <family val="2"/>
          </rPr>
          <t xml:space="preserve">Added caption back to template in 2009. Did not have in 2008 but did in prior years.  Rolls w/ Restricted investments for CAFR. Do not have this caption on DSS. Kept on template because SEAA uses this caption.  (Note: Post GASB 61, SEAA is no longer a major CU and no longer completes 905.)  </t>
        </r>
      </text>
    </comment>
    <comment ref="F58" authorId="0" shapeId="0" xr:uid="{00000000-0006-0000-4C00-00000A000000}">
      <text>
        <r>
          <rPr>
            <sz val="8"/>
            <color indexed="81"/>
            <rFont val="Tahoma"/>
            <family val="2"/>
          </rPr>
          <t>Complete ws 525 first</t>
        </r>
      </text>
    </comment>
    <comment ref="F59" authorId="0" shapeId="0" xr:uid="{00000000-0006-0000-4C00-00000B000000}">
      <text>
        <r>
          <rPr>
            <sz val="8"/>
            <color indexed="81"/>
            <rFont val="Tahoma"/>
            <family val="2"/>
          </rPr>
          <t>Complete ws 515 first</t>
        </r>
      </text>
    </comment>
    <comment ref="B63" authorId="0" shapeId="0" xr:uid="{00000000-0006-0000-4C00-00000C000000}">
      <text>
        <r>
          <rPr>
            <sz val="8"/>
            <color indexed="81"/>
            <rFont val="Tahoma"/>
            <family val="2"/>
          </rPr>
          <t xml:space="preserve">Complete the 201 worksheet first and the totals will populate here.
</t>
        </r>
      </text>
    </comment>
    <comment ref="B71" authorId="0" shapeId="0" xr:uid="{00000000-0006-0000-4C00-00000D000000}">
      <text>
        <r>
          <rPr>
            <sz val="8"/>
            <color indexed="81"/>
            <rFont val="Tahoma"/>
            <family val="2"/>
          </rPr>
          <t xml:space="preserve">Complete worksheet 201 first and totals will populate here.
</t>
        </r>
      </text>
    </comment>
    <comment ref="B82" authorId="4" shapeId="0" xr:uid="{FECDB75A-DE6D-4152-89F7-E5E48BD40ED0}">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B83" authorId="5" shapeId="0" xr:uid="{54D3CDC2-C2C8-4E6B-8846-5F0F63B706B3}">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F85" authorId="0" shapeId="0" xr:uid="{00000000-0006-0000-4C00-00000E000000}">
      <text>
        <r>
          <rPr>
            <sz val="8"/>
            <color indexed="81"/>
            <rFont val="Tahoma"/>
            <family val="2"/>
          </rPr>
          <t xml:space="preserve">Complete ws 210 first
</t>
        </r>
      </text>
    </comment>
    <comment ref="D91" authorId="3" shapeId="0" xr:uid="{00000000-0006-0000-4C00-00000F000000}">
      <text>
        <r>
          <rPr>
            <sz val="9"/>
            <color indexed="81"/>
            <rFont val="Tahoma"/>
            <family val="2"/>
          </rPr>
          <t xml:space="preserve">New F/S element starting FY 2013 w/ implementation of GASB 63
</t>
        </r>
      </text>
    </comment>
    <comment ref="B92" authorId="3" shapeId="0" xr:uid="{00000000-0006-0000-4C00-000010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3" authorId="3" shapeId="0" xr:uid="{00000000-0006-0000-4C00-000011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4" authorId="3" shapeId="0" xr:uid="{C5B99692-3024-4023-A70C-4119EFF816D9}">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5" authorId="3" shapeId="0" xr:uid="{00000000-0006-0000-4C00-000012000000}">
      <text>
        <r>
          <rPr>
            <sz val="8"/>
            <color indexed="81"/>
            <rFont val="Tahoma"/>
            <family val="2"/>
          </rPr>
          <t>Added in FY2015 with the implementation of GASB 68 - for new NCAS Acct 129710 Deferred outflows for pensions.</t>
        </r>
      </text>
    </comment>
    <comment ref="B97" authorId="3" shapeId="0" xr:uid="{00000000-0006-0000-4C00-000013000000}">
      <text>
        <r>
          <rPr>
            <sz val="8"/>
            <color indexed="81"/>
            <rFont val="Tahoma"/>
            <family val="2"/>
          </rPr>
          <t>Added in FY2015 with the implementation of GASB 69 Government Combinations and Disposals of Government Operations. For new NCAS Acct 129705 Excess consideration provided for acquisition.</t>
        </r>
      </text>
    </comment>
    <comment ref="B98" authorId="3" shapeId="0" xr:uid="{00000000-0006-0000-4C00-000014000000}">
      <text>
        <r>
          <rPr>
            <sz val="8"/>
            <color indexed="81"/>
            <rFont val="Tahoma"/>
            <family val="2"/>
          </rPr>
          <t xml:space="preserve">Added in FY 2014 for the implementation of GASB 65-  new acct 129703 Other Deferred outflow of resources, per GASB 65 that are not classified in a more specific account. In FY15, updated caption from "Deferred outflows-other" to "Other deferred outflows" to be consistent w/ CAFR. </t>
        </r>
      </text>
    </comment>
    <comment ref="D103" authorId="0" shapeId="0" xr:uid="{00000000-0006-0000-4C00-000015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 account to the accounts payable caption.
</t>
        </r>
      </text>
    </comment>
    <comment ref="B104" authorId="0" shapeId="0" xr:uid="{00000000-0006-0000-4C00-000016000000}">
      <text>
        <r>
          <rPr>
            <sz val="8"/>
            <color indexed="81"/>
            <rFont val="Tahoma"/>
            <family val="2"/>
          </rPr>
          <t xml:space="preserve">For 2011 Accounts payable includes Other payables which had been a separate subcaption in prior years.
</t>
        </r>
      </text>
    </comment>
    <comment ref="B109" authorId="0" shapeId="0" xr:uid="{00000000-0006-0000-4C00-000017000000}">
      <text>
        <r>
          <rPr>
            <b/>
            <sz val="8"/>
            <color indexed="81"/>
            <rFont val="Tahoma"/>
            <family val="2"/>
          </rPr>
          <t>Short-term debt caption added 5/27/09 for FY 2009. For 2011 adding detail captions  - see below:
Revolving line of credit and loans payable, commercial paper, anticipation notes.  Amts  should tie to w/s 310</t>
        </r>
        <r>
          <rPr>
            <sz val="8"/>
            <color indexed="81"/>
            <rFont val="Tahoma"/>
            <family val="2"/>
          </rPr>
          <t xml:space="preserve">
</t>
        </r>
      </text>
    </comment>
    <comment ref="B110" authorId="0" shapeId="0" xr:uid="{00000000-0006-0000-4C00-000018000000}">
      <text>
        <r>
          <rPr>
            <sz val="8"/>
            <color indexed="81"/>
            <rFont val="Tahoma"/>
            <family val="2"/>
          </rPr>
          <t xml:space="preserve">Caption title on NCAS CAFR 11p does not include loans payable, but title on template broader to include loans.
</t>
        </r>
      </text>
    </comment>
    <comment ref="F110" authorId="0" shapeId="0" xr:uid="{00000000-0006-0000-4C00-000019000000}">
      <text>
        <r>
          <rPr>
            <sz val="8"/>
            <color indexed="81"/>
            <rFont val="Tahoma"/>
            <family val="2"/>
          </rPr>
          <t>Complete ws 310 Short term debt section first</t>
        </r>
      </text>
    </comment>
    <comment ref="F111" authorId="0" shapeId="0" xr:uid="{00000000-0006-0000-4C00-00001A000000}">
      <text>
        <r>
          <rPr>
            <sz val="8"/>
            <color indexed="81"/>
            <rFont val="Tahoma"/>
            <family val="2"/>
          </rPr>
          <t>Complete ws 310 Short term debt section first</t>
        </r>
      </text>
    </comment>
    <comment ref="F112" authorId="0" shapeId="0" xr:uid="{F86AE7BB-6987-465A-95B8-F7ABB449A360}">
      <text>
        <r>
          <rPr>
            <sz val="8"/>
            <color indexed="81"/>
            <rFont val="Tahoma"/>
            <family val="2"/>
          </rPr>
          <t>Complete ws 310 Short term debt section first</t>
        </r>
      </text>
    </comment>
    <comment ref="F113" authorId="0" shapeId="0" xr:uid="{51E186D8-1727-4300-9BC5-6A917E51DD89}">
      <text>
        <r>
          <rPr>
            <sz val="8"/>
            <color indexed="81"/>
            <rFont val="Tahoma"/>
            <family val="2"/>
          </rPr>
          <t>Complete ws 310 Short term debt section first</t>
        </r>
      </text>
    </comment>
    <comment ref="F114" authorId="0" shapeId="0" xr:uid="{00000000-0006-0000-4C00-00001B000000}">
      <text>
        <r>
          <rPr>
            <sz val="8"/>
            <color indexed="81"/>
            <rFont val="Tahoma"/>
            <family val="2"/>
          </rPr>
          <t>Complete ws 310 Short term debt section first</t>
        </r>
      </text>
    </comment>
    <comment ref="F115" authorId="0" shapeId="0" xr:uid="{00000000-0006-0000-4C00-00001C000000}">
      <text>
        <r>
          <rPr>
            <sz val="8"/>
            <color indexed="81"/>
            <rFont val="Tahoma"/>
            <family val="2"/>
          </rPr>
          <t>Complete ws 530 first</t>
        </r>
      </text>
    </comment>
    <comment ref="F116" authorId="6" shapeId="0" xr:uid="{00000000-0006-0000-4C00-00001D000000}">
      <text>
        <r>
          <rPr>
            <sz val="9"/>
            <color indexed="81"/>
            <rFont val="Tahoma"/>
            <family val="2"/>
          </rPr>
          <t>Complete worksheet 616 first and the total will automatically populate here.</t>
        </r>
      </text>
    </comment>
    <comment ref="F117" authorId="0" shapeId="0" xr:uid="{00000000-0006-0000-4C00-00001E000000}">
      <text>
        <r>
          <rPr>
            <sz val="8"/>
            <color indexed="81"/>
            <rFont val="Tahoma"/>
            <family val="2"/>
          </rPr>
          <t xml:space="preserve">Complete ws 520 first
</t>
        </r>
      </text>
    </comment>
    <comment ref="B120" authorId="0" shapeId="0" xr:uid="{00000000-0006-0000-4C00-00001F000000}">
      <text>
        <r>
          <rPr>
            <sz val="8"/>
            <color indexed="81"/>
            <rFont val="Tahoma"/>
            <family val="2"/>
          </rPr>
          <t>Added Obligations under securities lending caption for 2011. This is not applicable for universities but adding in case other agencies need, and this caption is on the NCAS CAFR 11p balance sheet.</t>
        </r>
      </text>
    </comment>
    <comment ref="B122" authorId="0" shapeId="0" xr:uid="{00000000-0006-0000-4C00-000020000000}">
      <text>
        <r>
          <rPr>
            <sz val="8"/>
            <color indexed="81"/>
            <rFont val="Tahoma"/>
            <family val="2"/>
          </rPr>
          <t>SEAA uses this for Due to IRS Sec 529 (college savings) plan participants</t>
        </r>
      </text>
    </comment>
    <comment ref="B123" authorId="0" shapeId="0" xr:uid="{00000000-0006-0000-4C00-000021000000}">
      <text>
        <r>
          <rPr>
            <sz val="8"/>
            <color indexed="81"/>
            <rFont val="Tahoma"/>
            <family val="2"/>
          </rPr>
          <t>New caption for implementation of GASB 53 Derivatives for 2010</t>
        </r>
      </text>
    </comment>
    <comment ref="F124" authorId="0" shapeId="0" xr:uid="{57F0012E-8353-475C-BB4C-7464E8F7C418}">
      <text>
        <r>
          <rPr>
            <sz val="8"/>
            <color indexed="81"/>
            <rFont val="Tahoma"/>
            <family val="2"/>
          </rPr>
          <t xml:space="preserve">Complete ws 310 first
</t>
        </r>
      </text>
    </comment>
    <comment ref="F125" authorId="0" shapeId="0" xr:uid="{00000000-0006-0000-4C00-000023000000}">
      <text>
        <r>
          <rPr>
            <sz val="8"/>
            <color indexed="81"/>
            <rFont val="Tahoma"/>
            <family val="2"/>
          </rPr>
          <t xml:space="preserve">Complete ws 310 first
</t>
        </r>
      </text>
    </comment>
    <comment ref="B126" authorId="7" shapeId="0" xr:uid="{1AD230D2-1978-4F76-8203-C86148E0DE7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27" authorId="0" shapeId="0" xr:uid="{00000000-0006-0000-4C00-000024000000}">
      <text>
        <r>
          <rPr>
            <sz val="8"/>
            <color indexed="81"/>
            <rFont val="Tahoma"/>
            <family val="2"/>
          </rPr>
          <t xml:space="preserve">Not new, but updating title for 2011 to be consistent with NCAS CAFR 11p caption. From ws 310
</t>
        </r>
      </text>
    </comment>
    <comment ref="F127" authorId="0" shapeId="0" xr:uid="{00000000-0006-0000-4C00-000025000000}">
      <text>
        <r>
          <rPr>
            <sz val="8"/>
            <color indexed="81"/>
            <rFont val="Tahoma"/>
            <family val="2"/>
          </rPr>
          <t xml:space="preserve">Complete ws 310 first
</t>
        </r>
      </text>
    </comment>
    <comment ref="F128" authorId="0" shapeId="0" xr:uid="{00000000-0006-0000-4C00-000026000000}">
      <text>
        <r>
          <rPr>
            <sz val="8"/>
            <color indexed="81"/>
            <rFont val="Tahoma"/>
            <family val="2"/>
          </rPr>
          <t xml:space="preserve">Complete ws 310 first
</t>
        </r>
      </text>
    </comment>
    <comment ref="B129" authorId="3" shapeId="0" xr:uid="{00000000-0006-0000-4C00-000027000000}">
      <text>
        <r>
          <rPr>
            <b/>
            <sz val="9"/>
            <color indexed="81"/>
            <rFont val="Tahoma"/>
            <family val="2"/>
          </rPr>
          <t>FY 2014-</t>
        </r>
        <r>
          <rPr>
            <sz val="9"/>
            <color indexed="81"/>
            <rFont val="Tahoma"/>
            <family val="2"/>
          </rPr>
          <t>added workers comp line on 905-to feed from ws 310</t>
        </r>
      </text>
    </comment>
    <comment ref="F129" authorId="0" shapeId="0" xr:uid="{00000000-0006-0000-4C00-000028000000}">
      <text>
        <r>
          <rPr>
            <sz val="8"/>
            <color indexed="81"/>
            <rFont val="Tahoma"/>
            <family val="2"/>
          </rPr>
          <t xml:space="preserve">Complete ws 310 first
</t>
        </r>
      </text>
    </comment>
    <comment ref="B130" authorId="0" shapeId="0" xr:uid="{00000000-0006-0000-4C00-000029000000}">
      <text>
        <r>
          <rPr>
            <sz val="8"/>
            <color indexed="81"/>
            <rFont val="Tahoma"/>
            <family val="2"/>
          </rPr>
          <t>Adding to template for 2011; this is a caption on NCAS CAFR 11p</t>
        </r>
        <r>
          <rPr>
            <sz val="8"/>
            <color indexed="81"/>
            <rFont val="Tahoma"/>
            <family val="2"/>
          </rPr>
          <t xml:space="preserve">
</t>
        </r>
      </text>
    </comment>
    <comment ref="F130" authorId="0" shapeId="0" xr:uid="{00000000-0006-0000-4C00-00002A000000}">
      <text>
        <r>
          <rPr>
            <sz val="8"/>
            <color indexed="81"/>
            <rFont val="Tahoma"/>
            <family val="2"/>
          </rPr>
          <t xml:space="preserve">Complete ws 310 first
</t>
        </r>
      </text>
    </comment>
    <comment ref="B131" authorId="0" shapeId="0" xr:uid="{00000000-0006-0000-4C00-00002B000000}">
      <text>
        <r>
          <rPr>
            <sz val="8"/>
            <color indexed="81"/>
            <rFont val="Tahoma"/>
            <family val="2"/>
          </rPr>
          <t>New caption for 2009 - see w/s 322</t>
        </r>
      </text>
    </comment>
    <comment ref="F131" authorId="0" shapeId="0" xr:uid="{00000000-0006-0000-4C00-00002C000000}">
      <text>
        <r>
          <rPr>
            <sz val="8"/>
            <color indexed="81"/>
            <rFont val="Tahoma"/>
            <family val="2"/>
          </rPr>
          <t xml:space="preserve">Complete ws 310 first
</t>
        </r>
      </text>
    </comment>
    <comment ref="B132" authorId="0" shapeId="0" xr:uid="{D59201A0-4D9B-4F6F-942C-8BE686C03943}">
      <text>
        <r>
          <rPr>
            <sz val="8"/>
            <color indexed="81"/>
            <rFont val="Tahoma"/>
            <family val="2"/>
          </rPr>
          <t>New caption for 2009 - see w/s 322</t>
        </r>
      </text>
    </comment>
    <comment ref="F132" authorId="0" shapeId="0" xr:uid="{6C99DE0E-115D-4DE3-8795-0725B95118A6}">
      <text>
        <r>
          <rPr>
            <sz val="8"/>
            <color indexed="81"/>
            <rFont val="Tahoma"/>
            <family val="2"/>
          </rPr>
          <t xml:space="preserve">Complete ws 310 first
</t>
        </r>
      </text>
    </comment>
    <comment ref="B133" authorId="3" shapeId="0" xr:uid="{00000000-0006-0000-4C00-00002D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F133" authorId="0" shapeId="0" xr:uid="{00000000-0006-0000-4C00-00002E000000}">
      <text>
        <r>
          <rPr>
            <sz val="8"/>
            <color indexed="81"/>
            <rFont val="Tahoma"/>
            <family val="2"/>
          </rPr>
          <t xml:space="preserve">Complete ws 310 first
</t>
        </r>
      </text>
    </comment>
    <comment ref="B134" authorId="3" shapeId="0" xr:uid="{00000000-0006-0000-4C00-00002F000000}">
      <text>
        <r>
          <rPr>
            <sz val="8"/>
            <color indexed="81"/>
            <rFont val="Tahoma"/>
            <family val="2"/>
          </rPr>
          <t xml:space="preserve">Starting FY15 with implementation of GASB68.  Since our plans are so well funded, we will not need to report a current  portion.  There is no NCAS account set up for the Net pension liability-current.  </t>
        </r>
      </text>
    </comment>
    <comment ref="F134" authorId="0" shapeId="0" xr:uid="{00000000-0006-0000-4C00-000030000000}">
      <text>
        <r>
          <rPr>
            <sz val="8"/>
            <color indexed="81"/>
            <rFont val="Tahoma"/>
            <family val="2"/>
          </rPr>
          <t xml:space="preserve">Complete ws 310 first
</t>
        </r>
      </text>
    </comment>
    <comment ref="F135" authorId="0" shapeId="0" xr:uid="{00000000-0006-0000-4C00-000031000000}">
      <text>
        <r>
          <rPr>
            <sz val="8"/>
            <color indexed="81"/>
            <rFont val="Tahoma"/>
            <family val="2"/>
          </rPr>
          <t xml:space="preserve">Complete ws 310 first
</t>
        </r>
      </text>
    </comment>
    <comment ref="B136" authorId="0" shapeId="0" xr:uid="{00000000-0006-0000-4C00-000032000000}">
      <text>
        <r>
          <rPr>
            <sz val="8"/>
            <color indexed="81"/>
            <rFont val="Tahoma"/>
            <family val="2"/>
          </rPr>
          <t>Adding to template for 2011; this is a caption on NCAS CAFR 11p</t>
        </r>
      </text>
    </comment>
    <comment ref="F136" authorId="0" shapeId="0" xr:uid="{00000000-0006-0000-4C00-000033000000}">
      <text>
        <r>
          <rPr>
            <sz val="8"/>
            <color indexed="81"/>
            <rFont val="Tahoma"/>
            <family val="2"/>
          </rPr>
          <t xml:space="preserve">Complete ws 310 first
</t>
        </r>
      </text>
    </comment>
    <comment ref="B137" authorId="0" shapeId="0" xr:uid="{00000000-0006-0000-4C00-000034000000}">
      <text>
        <r>
          <rPr>
            <sz val="8"/>
            <color indexed="81"/>
            <rFont val="Tahoma"/>
            <family val="2"/>
          </rPr>
          <t>Adding to template for 2011; this is a NOT a caption on NCAS CAFR 11p, however it is on the 310 worksheet</t>
        </r>
      </text>
    </comment>
    <comment ref="F137" authorId="0" shapeId="0" xr:uid="{00000000-0006-0000-4C00-000035000000}">
      <text>
        <r>
          <rPr>
            <sz val="8"/>
            <color indexed="81"/>
            <rFont val="Tahoma"/>
            <family val="2"/>
          </rPr>
          <t xml:space="preserve">Complete ws 310 first
</t>
        </r>
      </text>
    </comment>
    <comment ref="D141" authorId="0" shapeId="0" xr:uid="{00000000-0006-0000-4C00-000036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liabilities-noncurrent account to the accounts payable-noncurrent caption.
</t>
        </r>
      </text>
    </comment>
    <comment ref="B142" authorId="0" shapeId="0" xr:uid="{00000000-0006-0000-4C00-000037000000}">
      <text>
        <r>
          <rPr>
            <sz val="8"/>
            <color indexed="81"/>
            <rFont val="Tahoma"/>
            <family val="2"/>
          </rPr>
          <t xml:space="preserve">The noncurrent accounts payable caption is new on the template for 2011, but it was an existing caption on the DSS CAFR 11P reports.  The noncurrent investment derivative liability would be included in this caption as well as other payables-noncurrent which had a separate subcaption in prior years.
</t>
        </r>
      </text>
    </comment>
    <comment ref="B145" authorId="0" shapeId="0" xr:uid="{00000000-0006-0000-4C00-000038000000}">
      <text>
        <r>
          <rPr>
            <sz val="8"/>
            <color indexed="81"/>
            <rFont val="Tahoma"/>
            <family val="2"/>
          </rPr>
          <t xml:space="preserve">Complete ws 535 first
</t>
        </r>
      </text>
    </comment>
    <comment ref="B148" authorId="0" shapeId="0" xr:uid="{00000000-0006-0000-4C00-000039000000}">
      <text>
        <r>
          <rPr>
            <sz val="8"/>
            <color indexed="81"/>
            <rFont val="Tahoma"/>
            <family val="2"/>
          </rPr>
          <t>SEAA uses this for Due to IRS Sec 529 (college savings) plan participants</t>
        </r>
      </text>
    </comment>
    <comment ref="B149" authorId="0" shapeId="0" xr:uid="{00000000-0006-0000-4C00-00003A000000}">
      <text>
        <r>
          <rPr>
            <sz val="8"/>
            <color indexed="81"/>
            <rFont val="Tahoma"/>
            <family val="2"/>
          </rPr>
          <t>New caption for implementation of GASB 53 Derivatives for 2010</t>
        </r>
      </text>
    </comment>
    <comment ref="F150" authorId="0" shapeId="0" xr:uid="{21647E50-C47E-46A5-9FC8-B6154C5391D5}">
      <text>
        <r>
          <rPr>
            <sz val="8"/>
            <color indexed="81"/>
            <rFont val="Tahoma"/>
            <family val="2"/>
          </rPr>
          <t xml:space="preserve">Complete ws 310 first
</t>
        </r>
      </text>
    </comment>
    <comment ref="F151" authorId="0" shapeId="0" xr:uid="{00000000-0006-0000-4C00-00003C000000}">
      <text>
        <r>
          <rPr>
            <sz val="8"/>
            <color indexed="81"/>
            <rFont val="Tahoma"/>
            <family val="2"/>
          </rPr>
          <t xml:space="preserve">Complete ws 310 first
</t>
        </r>
      </text>
    </comment>
    <comment ref="B152" authorId="8" shapeId="0" xr:uid="{47ECF78E-7D66-434D-917F-F9752AA0C41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3" authorId="0" shapeId="0" xr:uid="{00000000-0006-0000-4C00-00003D000000}">
      <text>
        <r>
          <rPr>
            <sz val="8"/>
            <color indexed="81"/>
            <rFont val="Tahoma"/>
            <family val="2"/>
          </rPr>
          <t xml:space="preserve">Not new, but updating title for 2011 to be consistent with NCAS CAFR 11p caption
</t>
        </r>
      </text>
    </comment>
    <comment ref="F153" authorId="0" shapeId="0" xr:uid="{00000000-0006-0000-4C00-00003E000000}">
      <text>
        <r>
          <rPr>
            <sz val="8"/>
            <color indexed="81"/>
            <rFont val="Tahoma"/>
            <family val="2"/>
          </rPr>
          <t xml:space="preserve">Complete ws 310 first
</t>
        </r>
      </text>
    </comment>
    <comment ref="F154" authorId="0" shapeId="0" xr:uid="{00000000-0006-0000-4C00-00003F000000}">
      <text>
        <r>
          <rPr>
            <sz val="8"/>
            <color indexed="81"/>
            <rFont val="Tahoma"/>
            <family val="2"/>
          </rPr>
          <t xml:space="preserve">Complete ws 310 first
</t>
        </r>
      </text>
    </comment>
    <comment ref="B155" authorId="3" shapeId="0" xr:uid="{00000000-0006-0000-4C00-000040000000}">
      <text>
        <r>
          <rPr>
            <b/>
            <sz val="9"/>
            <color indexed="81"/>
            <rFont val="Tahoma"/>
            <family val="2"/>
          </rPr>
          <t>FY 2014</t>
        </r>
        <r>
          <rPr>
            <sz val="9"/>
            <color indexed="81"/>
            <rFont val="Tahoma"/>
            <family val="2"/>
          </rPr>
          <t>added workers comp line on 905-to feed from ws 310</t>
        </r>
      </text>
    </comment>
    <comment ref="F155" authorId="0" shapeId="0" xr:uid="{00000000-0006-0000-4C00-000041000000}">
      <text>
        <r>
          <rPr>
            <sz val="8"/>
            <color indexed="81"/>
            <rFont val="Tahoma"/>
            <family val="2"/>
          </rPr>
          <t xml:space="preserve">Complete ws 310 first
</t>
        </r>
      </text>
    </comment>
    <comment ref="B156" authorId="0" shapeId="0" xr:uid="{00000000-0006-0000-4C00-000042000000}">
      <text>
        <r>
          <rPr>
            <sz val="8"/>
            <color indexed="81"/>
            <rFont val="Tahoma"/>
            <family val="2"/>
          </rPr>
          <t>Adding to template for 2011; this is a caption on NCAS CAFR 11p</t>
        </r>
        <r>
          <rPr>
            <sz val="8"/>
            <color indexed="81"/>
            <rFont val="Tahoma"/>
            <family val="2"/>
          </rPr>
          <t xml:space="preserve">
</t>
        </r>
      </text>
    </comment>
    <comment ref="F156" authorId="0" shapeId="0" xr:uid="{00000000-0006-0000-4C00-000043000000}">
      <text>
        <r>
          <rPr>
            <sz val="8"/>
            <color indexed="81"/>
            <rFont val="Tahoma"/>
            <family val="2"/>
          </rPr>
          <t xml:space="preserve">Complete ws 310 first
</t>
        </r>
      </text>
    </comment>
    <comment ref="B157" authorId="0" shapeId="0" xr:uid="{00000000-0006-0000-4C00-000044000000}">
      <text>
        <r>
          <rPr>
            <sz val="8"/>
            <color indexed="81"/>
            <rFont val="Tahoma"/>
            <family val="2"/>
          </rPr>
          <t xml:space="preserve">New caption for 2009 - see w/s322
</t>
        </r>
      </text>
    </comment>
    <comment ref="F157" authorId="0" shapeId="0" xr:uid="{00000000-0006-0000-4C00-000045000000}">
      <text>
        <r>
          <rPr>
            <sz val="8"/>
            <color indexed="81"/>
            <rFont val="Tahoma"/>
            <family val="2"/>
          </rPr>
          <t xml:space="preserve">Complete ws 310 first
</t>
        </r>
      </text>
    </comment>
    <comment ref="B158" authorId="0" shapeId="0" xr:uid="{6BDA2ACF-E4DC-42E1-9747-2C8E8B3F5CD9}">
      <text>
        <r>
          <rPr>
            <sz val="8"/>
            <color indexed="81"/>
            <rFont val="Tahoma"/>
            <family val="2"/>
          </rPr>
          <t xml:space="preserve">New caption for 2009 - see w/s322
</t>
        </r>
      </text>
    </comment>
    <comment ref="F158" authorId="0" shapeId="0" xr:uid="{BADB8C6A-B7EC-48E0-87B9-578911B32079}">
      <text>
        <r>
          <rPr>
            <sz val="8"/>
            <color indexed="81"/>
            <rFont val="Tahoma"/>
            <family val="2"/>
          </rPr>
          <t xml:space="preserve">Complete ws 310 first
</t>
        </r>
      </text>
    </comment>
    <comment ref="B159" authorId="3" shapeId="0" xr:uid="{00000000-0006-0000-4C00-000046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F159" authorId="0" shapeId="0" xr:uid="{00000000-0006-0000-4C00-000047000000}">
      <text>
        <r>
          <rPr>
            <sz val="8"/>
            <color indexed="81"/>
            <rFont val="Tahoma"/>
            <family val="2"/>
          </rPr>
          <t xml:space="preserve">Complete ws 310 first
</t>
        </r>
      </text>
    </comment>
    <comment ref="B160" authorId="3" shapeId="0" xr:uid="{00000000-0006-0000-4C00-000048000000}">
      <text>
        <r>
          <rPr>
            <sz val="8"/>
            <color indexed="81"/>
            <rFont val="Tahoma"/>
            <family val="2"/>
          </rPr>
          <t>Starting FY15 with implementation of GASB68 for NCAS acct 229150 Net pension liability-noncurrent</t>
        </r>
      </text>
    </comment>
    <comment ref="F160" authorId="0" shapeId="0" xr:uid="{00000000-0006-0000-4C00-000049000000}">
      <text>
        <r>
          <rPr>
            <sz val="8"/>
            <color indexed="81"/>
            <rFont val="Tahoma"/>
            <family val="2"/>
          </rPr>
          <t xml:space="preserve">Complete ws 310 first
</t>
        </r>
      </text>
    </comment>
    <comment ref="F161" authorId="0" shapeId="0" xr:uid="{00000000-0006-0000-4C00-00004A000000}">
      <text>
        <r>
          <rPr>
            <sz val="8"/>
            <color indexed="81"/>
            <rFont val="Tahoma"/>
            <family val="2"/>
          </rPr>
          <t xml:space="preserve">Complete ws 310 first
</t>
        </r>
      </text>
    </comment>
    <comment ref="B162" authorId="0" shapeId="0" xr:uid="{00000000-0006-0000-4C00-00004B000000}">
      <text>
        <r>
          <rPr>
            <sz val="8"/>
            <color indexed="81"/>
            <rFont val="Tahoma"/>
            <family val="2"/>
          </rPr>
          <t>Adding to template for 2011; this is a caption on NCAS CAFR 11p</t>
        </r>
      </text>
    </comment>
    <comment ref="F162" authorId="0" shapeId="0" xr:uid="{00000000-0006-0000-4C00-00004C000000}">
      <text>
        <r>
          <rPr>
            <sz val="8"/>
            <color indexed="81"/>
            <rFont val="Tahoma"/>
            <family val="2"/>
          </rPr>
          <t xml:space="preserve">Complete ws 310 first
</t>
        </r>
      </text>
    </comment>
    <comment ref="B163" authorId="0" shapeId="0" xr:uid="{00000000-0006-0000-4C00-00004D000000}">
      <text>
        <r>
          <rPr>
            <sz val="8"/>
            <color indexed="81"/>
            <rFont val="Tahoma"/>
            <family val="2"/>
          </rPr>
          <t>Adding to template for 2011; this is a NOT a caption on NCAS CAFR 11p, however it is on worksheet 310.</t>
        </r>
      </text>
    </comment>
    <comment ref="F163" authorId="0" shapeId="0" xr:uid="{00000000-0006-0000-4C00-00004E000000}">
      <text>
        <r>
          <rPr>
            <sz val="8"/>
            <color indexed="81"/>
            <rFont val="Tahoma"/>
            <family val="2"/>
          </rPr>
          <t xml:space="preserve">Complete ws 310 first
</t>
        </r>
      </text>
    </comment>
    <comment ref="D168" authorId="3" shapeId="0" xr:uid="{00000000-0006-0000-4C00-00004F000000}">
      <text>
        <r>
          <rPr>
            <sz val="9"/>
            <color indexed="81"/>
            <rFont val="Tahoma"/>
            <family val="2"/>
          </rPr>
          <t xml:space="preserve">New F/S element starting FY 2013 w/ implementation of GASB 63
</t>
        </r>
      </text>
    </comment>
    <comment ref="B169" authorId="3" shapeId="0" xr:uid="{00000000-0006-0000-4C00-000050000000}">
      <text>
        <r>
          <rPr>
            <sz val="7"/>
            <color indexed="81"/>
            <rFont val="Tahoma"/>
            <family val="2"/>
          </rPr>
          <t xml:space="preserve">ForFY13 acct229201 Accum Incr in fair val of hedging deriv (new acct title) goes here. Former acct title is Deferred inflow of resources
</t>
        </r>
      </text>
    </comment>
    <comment ref="B170" authorId="9" shapeId="0" xr:uid="{76EA8710-07A3-480D-B4C3-12002537D5C0}">
      <text>
        <t xml:space="preserve">[Threaded comment]
Your version of Excel allows you to read this threaded comment; however, any edits to it will get removed if the file is opened in a newer version of Excel. Learn more: https://go.microsoft.com/fwlink/?linkid=870924
Comment:
    * For FY13, new NCAS acct 229202 added for implementation of GASB60 Service Concession Arrangements.
* For FY23, new title changed from Service Concession Arrangement (SCA) revenue applicable to future years to Deferred inflows for PPP Arrangements per GASB94.
</t>
      </text>
    </comment>
    <comment ref="B171" authorId="3" shapeId="0" xr:uid="{00000000-0006-0000-4C00-000052000000}">
      <text>
        <r>
          <rPr>
            <sz val="7"/>
            <color indexed="81"/>
            <rFont val="Tahoma"/>
            <family val="2"/>
          </rPr>
          <t xml:space="preserve">Added FY14 for GASB65,NCAS acct 229203 Def gain on refunding bonds. For more info refer to GASB Resources webpage available from OSC homepage www.osc.nc.gov
</t>
        </r>
      </text>
    </comment>
    <comment ref="B172" authorId="3" shapeId="0" xr:uid="{00000000-0006-0000-4C00-000053000000}">
      <text>
        <r>
          <rPr>
            <sz val="7"/>
            <color indexed="81"/>
            <rFont val="Tahoma"/>
            <family val="2"/>
          </rPr>
          <t>Added FY14 for GASB65;  NCAS acct 229204 Def Inflows-nonexchange transactions.  Refer to GASB Resources webpage available from OSC homepage www.osc.nc.gov</t>
        </r>
      </text>
    </comment>
    <comment ref="B173" authorId="3" shapeId="0" xr:uid="{00000000-0006-0000-4C00-000054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5" authorId="3" shapeId="0" xr:uid="{00000000-0006-0000-4C00-000055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8" authorId="3" shapeId="0" xr:uid="{00000000-0006-0000-4C00-000056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182" authorId="3" shapeId="0" xr:uid="{00000000-0006-0000-4C00-000057000000}">
      <text>
        <r>
          <rPr>
            <sz val="8"/>
            <color indexed="81"/>
            <rFont val="Tahoma"/>
            <family val="2"/>
          </rPr>
          <t>For GASB63 effective for FY2013 new title for this component of net position. (former title is Invested in capital assets, net of related debt.)</t>
        </r>
        <r>
          <rPr>
            <sz val="9"/>
            <color indexed="81"/>
            <rFont val="Tahoma"/>
            <family val="2"/>
          </rPr>
          <t xml:space="preserve">
</t>
        </r>
      </text>
    </comment>
    <comment ref="B183" authorId="0" shapeId="0" xr:uid="{00000000-0006-0000-4C00-000058000000}">
      <text>
        <r>
          <rPr>
            <sz val="8"/>
            <color indexed="81"/>
            <rFont val="Tahoma"/>
            <family val="2"/>
          </rPr>
          <t xml:space="preserve">Added Nonexpendable 7-10-09 - needed by Rex Healthcare.  For 2011 breaking out nonexpendable; in prior year, not detailed, only one line.
</t>
        </r>
      </text>
    </comment>
    <comment ref="B198" authorId="0" shapeId="0" xr:uid="{00000000-0006-0000-4C00-000059000000}">
      <text>
        <r>
          <rPr>
            <sz val="8"/>
            <color indexed="81"/>
            <rFont val="Tahoma"/>
            <family val="2"/>
          </rPr>
          <t xml:space="preserve">added net 2011
</t>
        </r>
      </text>
    </comment>
    <comment ref="B199" authorId="0" shapeId="0" xr:uid="{00000000-0006-0000-4C00-00005A000000}">
      <text>
        <r>
          <rPr>
            <sz val="8"/>
            <color indexed="81"/>
            <rFont val="Tahoma"/>
            <family val="2"/>
          </rPr>
          <t>Adding to template for 2011; this is a caption on NCAS CAFR 11p</t>
        </r>
      </text>
    </comment>
    <comment ref="B200" authorId="0" shapeId="0" xr:uid="{00000000-0006-0000-4C00-00005B000000}">
      <text>
        <r>
          <rPr>
            <sz val="8"/>
            <color indexed="81"/>
            <rFont val="Tahoma"/>
            <family val="2"/>
          </rPr>
          <t>Adding to template for 2011; this is a caption on NCAS CAFR 11p</t>
        </r>
      </text>
    </comment>
    <comment ref="B201" authorId="0" shapeId="0" xr:uid="{00000000-0006-0000-4C00-00005C000000}">
      <text>
        <r>
          <rPr>
            <sz val="8"/>
            <color indexed="81"/>
            <rFont val="Tahoma"/>
            <family val="2"/>
          </rPr>
          <t>Adding to template for 2011; this is a caption on NCAS CAFR 11p</t>
        </r>
      </text>
    </comment>
    <comment ref="B212" authorId="3" shapeId="0" xr:uid="{00000000-0006-0000-4C00-00005D000000}">
      <text>
        <r>
          <rPr>
            <sz val="9"/>
            <color indexed="81"/>
            <rFont val="Tahoma"/>
            <family val="2"/>
          </rPr>
          <t xml:space="preserve">FY15-Includes new acct for GASB 68 - NCAS acct 531595 Pension expense .
</t>
        </r>
      </text>
    </comment>
    <comment ref="B213" authorId="10" shapeId="0" xr:uid="{00000000-0006-0000-4C00-00005E000000}">
      <text>
        <r>
          <rPr>
            <sz val="9"/>
            <color indexed="81"/>
            <rFont val="Tahoma"/>
            <family val="2"/>
          </rPr>
          <t>Beginning FY2013, includes capital outlay/noncap equip.</t>
        </r>
        <r>
          <rPr>
            <sz val="9"/>
            <color indexed="81"/>
            <rFont val="Tahoma"/>
            <family val="2"/>
          </rPr>
          <t xml:space="preserve">
</t>
        </r>
      </text>
    </comment>
    <comment ref="B219" authorId="0" shapeId="0" xr:uid="{00000000-0006-0000-4C00-00005F000000}">
      <text>
        <r>
          <rPr>
            <sz val="8"/>
            <color indexed="81"/>
            <rFont val="Tahoma"/>
            <family val="2"/>
          </rPr>
          <t xml:space="preserve">Added to template 2011; this is a caption on the NCAS operting statement
</t>
        </r>
      </text>
    </comment>
    <comment ref="B220" authorId="0" shapeId="0" xr:uid="{00000000-0006-0000-4C00-000060000000}">
      <text>
        <r>
          <rPr>
            <sz val="8"/>
            <color indexed="81"/>
            <rFont val="Tahoma"/>
            <family val="2"/>
          </rPr>
          <t>Prior year template did not show detail. For 2011 added subcaptions making up other expenses on NCAS operating statement.
Beginning FY2013, Other does not include capital outlay-moved to Supplies &amp; materials</t>
        </r>
      </text>
    </comment>
    <comment ref="B228" authorId="0" shapeId="0" xr:uid="{00000000-0006-0000-4C00-000061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29" authorId="0" shapeId="0" xr:uid="{00000000-0006-0000-4C00-000062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B230" authorId="0" shapeId="0" xr:uid="{00000000-0006-0000-4C00-000063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B235" authorId="11" shapeId="0" xr:uid="{C46C3533-8015-459F-8AF8-C93EA45BF696}">
      <text>
        <t>[Threaded comment]
Your version of Excel allows you to read this threaded comment; however, any edits to it will get removed if the file is opened in a newer version of Excel. Learn more: https://go.microsoft.com/fwlink/?linkid=870924
Comment:
    This is a new account caption on the 905 and in NCAS for FY2021. Amounts in this caption should reflect the proportionate share of the State Health Plan's contribution to the Retiree Health Benefit Fund (RHBF) for employer participants. This caption maps to NCAS Account 436207.</t>
      </text>
    </comment>
    <comment ref="B236" authorId="12" shapeId="0" xr:uid="{0CEA98A3-49A5-493C-A194-BF74532B95A1}">
      <text>
        <t>[Threaded comment]
Your version of Excel allows you to read this threaded comment; however, any edits to it will get removed if the file is opened in a newer version of Excel. Learn more: https://go.microsoft.com/fwlink/?linkid=870924
Comment:
    This includes new account - 535327 SBITA INTEREST PAYMENTS.</t>
      </text>
    </comment>
    <comment ref="B243" authorId="0" shapeId="0" xr:uid="{00000000-0006-0000-4C00-000064000000}">
      <text>
        <r>
          <rPr>
            <sz val="8"/>
            <color indexed="81"/>
            <rFont val="Tahoma"/>
            <family val="2"/>
          </rPr>
          <t>Added to template 2011; this is a caption on the NCAS operating statement</t>
        </r>
      </text>
    </comment>
    <comment ref="B249" authorId="0" shapeId="0" xr:uid="{00000000-0006-0000-4C00-000065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250" authorId="0" shapeId="0" xr:uid="{00000000-0006-0000-4C00-000066000000}">
      <text>
        <r>
          <rPr>
            <sz val="8"/>
            <color indexed="81"/>
            <rFont val="Tahoma"/>
            <family val="2"/>
          </rPr>
          <t>Capital grants include federal, state and local capital grants, including the ARRA energy grants from the NC Dept of Commerce.</t>
        </r>
      </text>
    </comment>
    <comment ref="B252" authorId="0" shapeId="0" xr:uid="{00000000-0006-0000-4C00-000067000000}">
      <text>
        <r>
          <rPr>
            <sz val="8"/>
            <color indexed="81"/>
            <rFont val="Tahoma"/>
            <family val="2"/>
          </rPr>
          <t>Added to template 2011; this is a caption on the NCAS operting statement</t>
        </r>
      </text>
    </comment>
    <comment ref="B253" authorId="0" shapeId="0" xr:uid="{00000000-0006-0000-4C00-000068000000}">
      <text>
        <r>
          <rPr>
            <sz val="8"/>
            <color indexed="81"/>
            <rFont val="Tahoma"/>
            <family val="2"/>
          </rPr>
          <t>Added to template 2011; this is a caption on the NCAS operting statement. ws 565</t>
        </r>
      </text>
    </comment>
    <comment ref="F253" authorId="0" shapeId="0" xr:uid="{00000000-0006-0000-4C00-000069000000}">
      <text>
        <r>
          <rPr>
            <sz val="8"/>
            <color indexed="81"/>
            <rFont val="Tahoma"/>
            <family val="2"/>
          </rPr>
          <t xml:space="preserve">Complete ws 565 first
</t>
        </r>
      </text>
    </comment>
    <comment ref="H257" authorId="0" shapeId="0" xr:uid="{00000000-0006-0000-4C00-00006A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I257" authorId="0" shapeId="0" xr:uid="{00000000-0006-0000-4C00-00006B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J257" authorId="0" shapeId="0" xr:uid="{00000000-0006-0000-4C00-00006C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K257" authorId="0" shapeId="0" xr:uid="{00000000-0006-0000-4C00-00006D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L257" authorId="0" shapeId="0" xr:uid="{00000000-0006-0000-4C00-00006E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M257" authorId="0" shapeId="0" xr:uid="{00000000-0006-0000-4C00-00006F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N257" authorId="0" shapeId="0" xr:uid="{00000000-0006-0000-4C00-000070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O257" authorId="0" shapeId="0" xr:uid="{00000000-0006-0000-4C00-000071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P257" authorId="0" shapeId="0" xr:uid="{C4744EC8-08B3-401B-A7E2-20328CD3746C}">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Q257" authorId="0" shapeId="0" xr:uid="{AF14EC8E-5C2D-4EDB-9028-37A79A0C51D6}">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R257" authorId="0" shapeId="0" xr:uid="{00000000-0006-0000-4C00-000074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S257" authorId="0" shapeId="0" xr:uid="{00000000-0006-0000-4C00-000075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J85" authorId="0" shapeId="0" xr:uid="{00000000-0006-0000-4D00-000001000000}">
      <text>
        <r>
          <rPr>
            <sz val="8"/>
            <color indexed="81"/>
            <rFont val="Tahoma"/>
            <family val="2"/>
          </rPr>
          <t>Complete the Index sheet first. This cell uses the agency number from the Index Sheet to populate the beginning net asets number from the NetAssets table built from the prior year CAFR ending net asset balance.  Any difference must be entered on the restatement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J85" authorId="0" shapeId="0" xr:uid="{00000000-0006-0000-4E00-000001000000}">
      <text>
        <r>
          <rPr>
            <sz val="8"/>
            <color indexed="81"/>
            <rFont val="Tahoma"/>
            <family val="2"/>
          </rPr>
          <t>Complete the Index sheet first. This cell uses the agency number from the Index Sheet to populate the beginning net asets number from the NetAssets table built from the prior year CAFR ending net asset balance.  Any difference must be entered on the restatement line.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Helen Vozzo</author>
    <author>tc={7514A894-4CD8-4D7A-9BA0-ED5B859E3356}</author>
    <author>tc={8F06C560-DC65-4C5A-8FA6-DF394E5B7654}</author>
    <author>tc={F82ED83D-5764-49EC-AD01-49AFC12A5668}</author>
    <author>tc={31599161-0926-40D4-BB96-00906B62F720}</author>
    <author>Helen K. Vozzo</author>
    <author>tc={6F1EFC1A-AB55-4899-A7BC-969273916635}</author>
    <author>tc={DDD2FC2B-3215-47D8-8309-03C9BAAB1F21}</author>
  </authors>
  <commentList>
    <comment ref="C7" authorId="0" shapeId="0" xr:uid="{00000000-0006-0000-5100-000001000000}">
      <text>
        <r>
          <rPr>
            <sz val="8"/>
            <color indexed="81"/>
            <rFont val="Tahoma"/>
            <family val="2"/>
          </rPr>
          <t xml:space="preserve">Complete the Index sheet first. This cell uses the agency number from the Index Sheet to populate the GASB fund number from the NetAssets table.
</t>
        </r>
      </text>
    </comment>
    <comment ref="B31" authorId="1" shapeId="0" xr:uid="{7514A894-4CD8-4D7A-9BA0-ED5B859E3356}">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50" authorId="2" shapeId="0" xr:uid="{8F06C560-DC65-4C5A-8FA6-DF394E5B7654}">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81" authorId="3" shapeId="0" xr:uid="{F82ED83D-5764-49EC-AD01-49AFC12A566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B82" authorId="4" shapeId="0" xr:uid="{31599161-0926-40D4-BB96-00906B62F720}">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F90" authorId="5" shapeId="0" xr:uid="{00000000-0006-0000-5100-000002000000}">
      <text>
        <r>
          <rPr>
            <sz val="9"/>
            <color indexed="81"/>
            <rFont val="Tahoma"/>
            <family val="2"/>
          </rPr>
          <t xml:space="preserve">New F/S element starting FY 2013 w/ implementation of GASB 63
</t>
        </r>
      </text>
    </comment>
    <comment ref="B91" authorId="5" shapeId="0" xr:uid="{00000000-0006-0000-5100-000003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2" authorId="5" shapeId="0" xr:uid="{00000000-0006-0000-5100-000004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4" authorId="5" shapeId="0" xr:uid="{00000000-0006-0000-5100-000005000000}">
      <text>
        <r>
          <rPr>
            <sz val="8"/>
            <color indexed="81"/>
            <rFont val="Tahoma"/>
            <family val="2"/>
          </rPr>
          <t>Starting FY2015 with implementation of GASB 68 - for new NCAS Acct 129710 Deferred outflows for pensions. For more info, see acct definition and the GASB Resources webpage available from the OSC homepage www.osc.nc.gov.</t>
        </r>
      </text>
    </comment>
    <comment ref="B96" authorId="5" shapeId="0" xr:uid="{00000000-0006-0000-5100-000006000000}">
      <text>
        <r>
          <rPr>
            <sz val="8"/>
            <color indexed="81"/>
            <rFont val="Tahoma"/>
            <family val="2"/>
          </rPr>
          <t>Starting FY2015 with implementation of GASB 69 Government Combinations and Disposals of Government Operations. For new NCAS Acct 129705 Excess consideration provided for acquisition. For more info, see acct definition and the GASB Resources webpage available from the OSC homepage www.osc.nc.gov</t>
        </r>
      </text>
    </comment>
    <comment ref="B97" authorId="5" shapeId="0" xr:uid="{00000000-0006-0000-5100-000007000000}">
      <text>
        <r>
          <rPr>
            <sz val="8"/>
            <color indexed="81"/>
            <rFont val="Tahoma"/>
            <family val="2"/>
          </rPr>
          <t>Starting FY2014 for GASB65-  new acct 129703 Other Deferred outflow of resources, per GASB 65 that are not classified in a more specific account.For more info go to GASB Resources webpage available from OSC home page www.osc.nc.gov</t>
        </r>
        <r>
          <rPr>
            <sz val="9"/>
            <color indexed="81"/>
            <rFont val="Tahoma"/>
            <family val="2"/>
          </rPr>
          <t xml:space="preserve">
</t>
        </r>
        <r>
          <rPr>
            <sz val="8"/>
            <color indexed="81"/>
            <rFont val="Tahoma"/>
            <family val="2"/>
          </rPr>
          <t>FY15 updated caption from "Deferred outflows-other" to "Other deferred outflows" to be consistent w/ CAFR.</t>
        </r>
      </text>
    </comment>
    <comment ref="B125" authorId="6" shapeId="0" xr:uid="{6F1EFC1A-AB55-4899-A7BC-969273916635}">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32" authorId="5" shapeId="0" xr:uid="{00000000-0006-0000-5100-000008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33" authorId="5" shapeId="0" xr:uid="{00000000-0006-0000-5100-000009000000}">
      <text>
        <r>
          <rPr>
            <sz val="8"/>
            <color indexed="81"/>
            <rFont val="Tahoma"/>
            <family val="2"/>
          </rPr>
          <t xml:space="preserve">Starting FY15 with implementation of GASB68.  Since our plans are so well funded, we will not need to report a current  portion.  There is no NCAS account set up for the Net pension liability-current.  </t>
        </r>
      </text>
    </comment>
    <comment ref="B151" authorId="7" shapeId="0" xr:uid="{DDD2FC2B-3215-47D8-8309-03C9BAAB1F21}">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8" authorId="5" shapeId="0" xr:uid="{00000000-0006-0000-5100-00000A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59" authorId="5" shapeId="0" xr:uid="{00000000-0006-0000-5100-00000B000000}">
      <text>
        <r>
          <rPr>
            <sz val="8"/>
            <color indexed="81"/>
            <rFont val="Tahoma"/>
            <family val="2"/>
          </rPr>
          <t>Starting FY15 with implementation of GASB68 for NCAS acct 229150 Net pension liability-noncurrent</t>
        </r>
      </text>
    </comment>
    <comment ref="F167" authorId="5" shapeId="0" xr:uid="{00000000-0006-0000-5100-00000C000000}">
      <text>
        <r>
          <rPr>
            <sz val="9"/>
            <color indexed="81"/>
            <rFont val="Tahoma"/>
            <family val="2"/>
          </rPr>
          <t xml:space="preserve">New F/S element starting FY 2013 w/ implementation of GASB 63
</t>
        </r>
      </text>
    </comment>
    <comment ref="B168" authorId="5" shapeId="0" xr:uid="{00000000-0006-0000-5100-00000D000000}">
      <text>
        <r>
          <rPr>
            <sz val="7"/>
            <color indexed="81"/>
            <rFont val="Tahoma"/>
            <family val="2"/>
          </rPr>
          <t xml:space="preserve">ForFY13 acct229201 Accum Incr in fair val of hedging deriv (new acct title) goes here. Former acct title is Deferred inflow of resources
</t>
        </r>
      </text>
    </comment>
    <comment ref="B169" authorId="5" shapeId="0" xr:uid="{00000000-0006-0000-5100-00000E000000}">
      <text>
        <r>
          <rPr>
            <sz val="7"/>
            <color indexed="81"/>
            <rFont val="Tahoma"/>
            <family val="2"/>
          </rPr>
          <t>For FY13, new NCAS acct 229202 added for implementation of GASB60 Service Concession Arrangements</t>
        </r>
      </text>
    </comment>
    <comment ref="B170" authorId="5" shapeId="0" xr:uid="{00000000-0006-0000-5100-00000F000000}">
      <text>
        <r>
          <rPr>
            <sz val="7"/>
            <color indexed="81"/>
            <rFont val="Tahoma"/>
            <family val="2"/>
          </rPr>
          <t xml:space="preserve">Added FY14 for GASB65,NCAS acct 229203 Def gain on refunding bonds. For more info refer to GASB Resources webpage available from OSC homepage www.osc.nc.gov
</t>
        </r>
      </text>
    </comment>
    <comment ref="B171" authorId="5" shapeId="0" xr:uid="{00000000-0006-0000-5100-000010000000}">
      <text>
        <r>
          <rPr>
            <sz val="7"/>
            <color indexed="81"/>
            <rFont val="Tahoma"/>
            <family val="2"/>
          </rPr>
          <t>Added FY14 for GASB65;  NCAS acct 229204 Def Inflows-nonexchange transactions.  Refer to GASB Resources webpage available from OSC homepage www.osc.nc.gov</t>
        </r>
      </text>
    </comment>
    <comment ref="B172" authorId="5" shapeId="0" xr:uid="{00000000-0006-0000-5100-000011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4" authorId="5" shapeId="0" xr:uid="{00000000-0006-0000-5100-000012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7" authorId="5" shapeId="0" xr:uid="{00000000-0006-0000-5100-000013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212" authorId="5" shapeId="0" xr:uid="{00000000-0006-0000-5100-000014000000}">
      <text>
        <r>
          <rPr>
            <sz val="9"/>
            <color indexed="81"/>
            <rFont val="Tahoma"/>
            <family val="2"/>
          </rPr>
          <t xml:space="preserve">FY15-Includes new acct for GASB 68 - NCAS acct 531595 Pension expense .
</t>
        </r>
      </text>
    </comment>
    <comment ref="B228" authorId="0" shapeId="0" xr:uid="{00000000-0006-0000-5100-000015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29" authorId="0" shapeId="0" xr:uid="{00000000-0006-0000-5100-000016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B230" authorId="0" shapeId="0" xr:uid="{00000000-0006-0000-5100-000017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B249" authorId="0" shapeId="0" xr:uid="{00000000-0006-0000-5100-000018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Helen Vozzo</author>
    <author>tc={AF03DD84-5C48-42A2-BF0C-EB83C528DD40}</author>
    <author>tc={D7347BB3-7F16-4E1A-BEA7-C337F52A41DB}</author>
    <author>tc={6FC81978-19F2-403E-836D-2A680FDA91A8}</author>
    <author>tc={323C80D0-7191-47C9-9F47-846FB5958274}</author>
    <author>Helen K. Vozzo</author>
    <author>tc={97DF9D76-21E1-4B1C-B80D-086DB28A1EC1}</author>
    <author>tc={DF8AB67B-DD53-4A87-ABB5-FF017C5B5A7C}</author>
  </authors>
  <commentList>
    <comment ref="C7" authorId="0" shapeId="0" xr:uid="{00000000-0006-0000-5200-000001000000}">
      <text>
        <r>
          <rPr>
            <sz val="8"/>
            <color indexed="81"/>
            <rFont val="Tahoma"/>
            <family val="2"/>
          </rPr>
          <t xml:space="preserve">Complete the Index sheet first. This cell uses the agency number from the Index Sheet to populate the GASB fund number from the NetAssets table.
</t>
        </r>
      </text>
    </comment>
    <comment ref="B31" authorId="1" shapeId="0" xr:uid="{AF03DD84-5C48-42A2-BF0C-EB83C528DD40}">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50" authorId="2" shapeId="0" xr:uid="{D7347BB3-7F16-4E1A-BEA7-C337F52A41DB}">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81" authorId="3" shapeId="0" xr:uid="{6FC81978-19F2-403E-836D-2A680FDA91A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B82" authorId="4" shapeId="0" xr:uid="{323C80D0-7191-47C9-9F47-846FB5958274}">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F90" authorId="5" shapeId="0" xr:uid="{00000000-0006-0000-5200-000002000000}">
      <text>
        <r>
          <rPr>
            <sz val="9"/>
            <color indexed="81"/>
            <rFont val="Tahoma"/>
            <family val="2"/>
          </rPr>
          <t xml:space="preserve">New F/S element starting FY 2013 w/ implementation of GASB 63
</t>
        </r>
      </text>
    </comment>
    <comment ref="B91" authorId="5" shapeId="0" xr:uid="{00000000-0006-0000-5200-000003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2" authorId="5" shapeId="0" xr:uid="{00000000-0006-0000-5200-000004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4" authorId="5" shapeId="0" xr:uid="{00000000-0006-0000-5200-000005000000}">
      <text>
        <r>
          <rPr>
            <sz val="8"/>
            <color indexed="81"/>
            <rFont val="Tahoma"/>
            <family val="2"/>
          </rPr>
          <t>Starting FY2015 with implementation of GASB 68 - for new NCAS Acct 129710 Deferred outflows for pensions. For more info, see acct definition and the GASB Resources webpage available from the OSC homepage www.osc.nc.gov.</t>
        </r>
      </text>
    </comment>
    <comment ref="B96" authorId="5" shapeId="0" xr:uid="{00000000-0006-0000-5200-000006000000}">
      <text>
        <r>
          <rPr>
            <sz val="8"/>
            <color indexed="81"/>
            <rFont val="Tahoma"/>
            <family val="2"/>
          </rPr>
          <t>Starting FY2015 with implementation of GASB 69 Government Combinations and Disposals of Government Operations. For new NCAS Acct 129705 Excess consideration provided for acquisition. For more info, see acct definition and the GASB Resources webpage available from the OSC homepage www.osc.nc.gov</t>
        </r>
      </text>
    </comment>
    <comment ref="B97" authorId="5" shapeId="0" xr:uid="{00000000-0006-0000-5200-000007000000}">
      <text>
        <r>
          <rPr>
            <sz val="8"/>
            <color indexed="81"/>
            <rFont val="Tahoma"/>
            <family val="2"/>
          </rPr>
          <t>Starting FY2014 for GASB65-  new acct 129703 Other Deferred outflow of resources, per GASB 65 that are not classified in a more specific account.For more info go to GASB Resources webpage available from OSC home page www.osc.nc.gov</t>
        </r>
        <r>
          <rPr>
            <sz val="9"/>
            <color indexed="81"/>
            <rFont val="Tahoma"/>
            <family val="2"/>
          </rPr>
          <t xml:space="preserve">
</t>
        </r>
        <r>
          <rPr>
            <sz val="8"/>
            <color indexed="81"/>
            <rFont val="Tahoma"/>
            <family val="2"/>
          </rPr>
          <t>FY15 updated caption from "Deferred outflows-other" to "Other deferred outflows" to be consistent w/ CAFR.</t>
        </r>
      </text>
    </comment>
    <comment ref="B125" authorId="6" shapeId="0" xr:uid="{97DF9D76-21E1-4B1C-B80D-086DB28A1EC1}">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32" authorId="5" shapeId="0" xr:uid="{00000000-0006-0000-5200-000008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33" authorId="5" shapeId="0" xr:uid="{00000000-0006-0000-5200-000009000000}">
      <text>
        <r>
          <rPr>
            <sz val="8"/>
            <color indexed="81"/>
            <rFont val="Tahoma"/>
            <family val="2"/>
          </rPr>
          <t xml:space="preserve">Starting FY15 with implementation of GASB68.  Since our plans are so well funded, we will not need to report a current  portion.  There is no NCAS account set up for the Net pension liability-current.  </t>
        </r>
      </text>
    </comment>
    <comment ref="B151" authorId="7" shapeId="0" xr:uid="{DF8AB67B-DD53-4A87-ABB5-FF017C5B5A7C}">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8" authorId="5" shapeId="0" xr:uid="{00000000-0006-0000-5200-00000A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59" authorId="5" shapeId="0" xr:uid="{00000000-0006-0000-5200-00000B000000}">
      <text>
        <r>
          <rPr>
            <sz val="8"/>
            <color indexed="81"/>
            <rFont val="Tahoma"/>
            <family val="2"/>
          </rPr>
          <t>Starting FY15 with implementation of GASB68 for NCAS acct 229150 Net pension liability-noncurrent</t>
        </r>
      </text>
    </comment>
    <comment ref="F167" authorId="5" shapeId="0" xr:uid="{00000000-0006-0000-5200-00000C000000}">
      <text>
        <r>
          <rPr>
            <sz val="9"/>
            <color indexed="81"/>
            <rFont val="Tahoma"/>
            <family val="2"/>
          </rPr>
          <t xml:space="preserve">New F/S element starting FY 2013 w/ implementation of GASB 63
</t>
        </r>
      </text>
    </comment>
    <comment ref="B168" authorId="5" shapeId="0" xr:uid="{00000000-0006-0000-5200-00000D000000}">
      <text>
        <r>
          <rPr>
            <sz val="7"/>
            <color indexed="81"/>
            <rFont val="Tahoma"/>
            <family val="2"/>
          </rPr>
          <t xml:space="preserve">ForFY13 acct229201 Accum Incr in fair val of hedging deriv (new acct title) goes here. Former acct title is Deferred inflow of resources
</t>
        </r>
      </text>
    </comment>
    <comment ref="B169" authorId="5" shapeId="0" xr:uid="{00000000-0006-0000-5200-00000E000000}">
      <text>
        <r>
          <rPr>
            <sz val="7"/>
            <color indexed="81"/>
            <rFont val="Tahoma"/>
            <family val="2"/>
          </rPr>
          <t>For FY13, new NCAS acct 229202 added for implementation of GASB60 Service Concession Arrangements</t>
        </r>
      </text>
    </comment>
    <comment ref="B170" authorId="5" shapeId="0" xr:uid="{00000000-0006-0000-5200-00000F000000}">
      <text>
        <r>
          <rPr>
            <sz val="7"/>
            <color indexed="81"/>
            <rFont val="Tahoma"/>
            <family val="2"/>
          </rPr>
          <t xml:space="preserve">Added FY14 for GASB65,NCAS acct 229203 Def gain on refunding bonds. For more info refer to GASB Resources webpage available from OSC homepage www.osc.nc.gov
</t>
        </r>
      </text>
    </comment>
    <comment ref="B171" authorId="5" shapeId="0" xr:uid="{00000000-0006-0000-5200-000010000000}">
      <text>
        <r>
          <rPr>
            <sz val="7"/>
            <color indexed="81"/>
            <rFont val="Tahoma"/>
            <family val="2"/>
          </rPr>
          <t>Added FY14 for GASB65;  NCAS acct 229204 Def Inflows-nonexchange transactions.  Refer to GASB Resources webpage available from OSC homepage www.osc.nc.gov</t>
        </r>
      </text>
    </comment>
    <comment ref="B172" authorId="5" shapeId="0" xr:uid="{00000000-0006-0000-5200-000011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4" authorId="5" shapeId="0" xr:uid="{00000000-0006-0000-5200-000012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7" authorId="5" shapeId="0" xr:uid="{00000000-0006-0000-5200-000013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211" authorId="5" shapeId="0" xr:uid="{00000000-0006-0000-5200-000014000000}">
      <text>
        <r>
          <rPr>
            <sz val="9"/>
            <color indexed="81"/>
            <rFont val="Tahoma"/>
            <family val="2"/>
          </rPr>
          <t xml:space="preserve">FY15-Includes new acct for GASB 68 - NCAS acct 531595 Pension expense .
</t>
        </r>
      </text>
    </comment>
    <comment ref="B227" authorId="0" shapeId="0" xr:uid="{00000000-0006-0000-5200-000015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28" authorId="0" shapeId="0" xr:uid="{00000000-0006-0000-5200-000016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B229" authorId="0" shapeId="0" xr:uid="{00000000-0006-0000-5200-000017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B248" authorId="0" shapeId="0" xr:uid="{00000000-0006-0000-5200-000018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Helen Vozzo</author>
    <author>tc={EAF21DE6-4E81-4780-BAEC-2C761BB0C3F0}</author>
    <author>tc={D5DA6438-2B0E-4463-A051-3768B1FD8526}</author>
    <author>tc={E58DD37E-AD40-4BF8-995A-7EBD6AE424B7}</author>
    <author>tc={1C9377B3-D622-475B-AE5F-BAE7CA10D5F9}</author>
    <author>tc={15DB090E-03B4-4E6E-BBE7-E54B6C9447E5}</author>
    <author>tc={30940F18-169A-47EB-9466-D86DD20CA2C3}</author>
    <author>tc={3B1FCA26-9BDD-4D6E-B129-D81698FDBEF8}</author>
    <author>tc={65EEFA2B-8606-4766-925D-88B655915820}</author>
    <author>tc={10CAD8C4-BAB7-4268-87DF-762FC8C59137}</author>
    <author>tc={0FD3E7F6-FAAA-4F86-AC85-BC415972F832}</author>
    <author>tc={D2C60135-9E96-4A98-B0D6-D6C4EC0AF4F7}</author>
    <author>tc={AC6ADA98-FCDA-49FE-B18B-4FB0272BCCE8}</author>
    <author>tc={3CC8925D-A6B8-415A-9676-0CD364EB4271}</author>
    <author>tc={47E47F54-BEA4-4449-9D0E-6FF251CCA006}</author>
    <author>tc={1132E5CC-1F60-4F94-B289-BD1F8D96E971}</author>
    <author>tc={0B4E3B33-2040-4B9F-8676-D74AFABE8890}</author>
    <author>tc={F7AB8CC1-5ED3-4AD9-A34C-2546695B548C}</author>
    <author>tc={661EBCBB-3A63-4155-B97A-73EF7CC8F7BC}</author>
    <author>tc={4F9F59D4-6B70-45B3-A5C1-D13870A0989A}</author>
    <author>tc={540F39D2-9F2B-4DE9-A623-BB5A88D09FC2}</author>
    <author>tc={394496DC-4359-42C0-BB0E-91D3A18B7416}</author>
    <author>tc={C862E26E-7668-48E7-BDB4-6657CB3A4366}</author>
    <author>tc={81CBAEBF-7EFE-4C92-9D66-61C745D37E63}</author>
    <author>tc={10B298EE-0956-4A10-B26F-B52AC3E69CB5}</author>
    <author>tc={DCA708AC-67DE-4D18-AD51-4EFCFD9F5A90}</author>
    <author>tc={75191FE4-E6A5-477D-940C-A72A67B48801}</author>
    <author>tc={EB6AEFB6-7A84-4EB6-97E1-477037D04753}</author>
    <author>tc={0B5CFE4C-9D31-4445-9E7B-BBAFCBBF870F}</author>
    <author>tc={3BA472B1-F593-441B-AAA8-075ADEF52C64}</author>
    <author>tc={30A69176-57D6-4503-82B0-54A4BD09FB8B}</author>
    <author>tc={2CEDED57-B795-4269-AC76-7AC7A4C92787}</author>
  </authors>
  <commentList>
    <comment ref="C7" authorId="0" shapeId="0" xr:uid="{00000000-0006-0000-5A00-000001000000}">
      <text>
        <r>
          <rPr>
            <sz val="8"/>
            <color indexed="81"/>
            <rFont val="Tahoma"/>
            <family val="2"/>
          </rPr>
          <t xml:space="preserve">Complete the Index sheet first. This cell uses the agency number from the Index Sheet to populate the GASB fund number from the NetAssets table.
</t>
        </r>
      </text>
    </comment>
    <comment ref="E24" authorId="1" shapeId="0" xr:uid="{EAF21DE6-4E81-4780-BAEC-2C761BB0C3F0}">
      <text>
        <t>[Threaded comment]
Your version of Excel allows you to read this threaded comment; however, any edits to it will get removed if the file is opened in a newer version of Excel. Learn more: https://go.microsoft.com/fwlink/?linkid=870924
Comment:
    OK = include elimination which agrees to ACFR.</t>
      </text>
    </comment>
    <comment ref="E28" authorId="2" shapeId="0" xr:uid="{D5DA6438-2B0E-4463-A051-3768B1FD8526}">
      <text>
        <t>[Threaded comment]
Your version of Excel allows you to read this threaded comment; however, any edits to it will get removed if the file is opened in a newer version of Excel. Learn more: https://go.microsoft.com/fwlink/?linkid=870924
Comment:
    OK = include elimination which agrees to ACFR.</t>
      </text>
    </comment>
    <comment ref="B31" authorId="3" shapeId="0" xr:uid="{E58DD37E-AD40-4BF8-995A-7EBD6AE424B7}">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50" authorId="4" shapeId="0" xr:uid="{1C9377B3-D622-475B-AE5F-BAE7CA10D5F9}">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81" authorId="5" shapeId="0" xr:uid="{15DB090E-03B4-4E6E-BBE7-E54B6C9447E5}">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B82" authorId="6" shapeId="0" xr:uid="{30940F18-169A-47EB-9466-D86DD20CA2C3}">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E88" authorId="7" shapeId="0" xr:uid="{3B1FCA26-9BDD-4D6E-B129-D81698FDBEF8}">
      <text>
        <t>[Threaded comment]
Your version of Excel allows you to read this threaded comment; however, any edits to it will get removed if the file is opened in a newer version of Excel. Learn more: https://go.microsoft.com/fwlink/?linkid=870924
Comment:
    OK=include elimination</t>
      </text>
    </comment>
    <comment ref="E114" authorId="8" shapeId="0" xr:uid="{65EEFA2B-8606-4766-925D-88B655915820}">
      <text>
        <t>[Threaded comment]
Your version of Excel allows you to read this threaded comment; however, any edits to it will get removed if the file is opened in a newer version of Excel. Learn more: https://go.microsoft.com/fwlink/?linkid=870924
Comment:
    Include elimination of 319,786,379.77</t>
      </text>
    </comment>
    <comment ref="E117" authorId="9" shapeId="0" xr:uid="{10CAD8C4-BAB7-4268-87DF-762FC8C59137}">
      <text>
        <t>[Threaded comment]
Your version of Excel allows you to read this threaded comment; however, any edits to it will get removed if the file is opened in a newer version of Excel. Learn more: https://go.microsoft.com/fwlink/?linkid=870924
Comment:
    Include elimination 191,414,382</t>
      </text>
    </comment>
    <comment ref="B125" authorId="10" shapeId="0" xr:uid="{0FD3E7F6-FAAA-4F86-AC85-BC415972F832}">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50" authorId="11" shapeId="0" xr:uid="{D2C60135-9E96-4A98-B0D6-D6C4EC0AF4F7}">
      <text>
        <t>[Threaded comment]
Your version of Excel allows you to read this threaded comment; however, any edits to it will get removed if the file is opened in a newer version of Excel. Learn more: https://go.microsoft.com/fwlink/?linkid=870924
Comment:
    Caption changed from lease payable to lease liability</t>
      </text>
    </comment>
    <comment ref="B151" authorId="12" shapeId="0" xr:uid="{AC6ADA98-FCDA-49FE-B18B-4FB0272BCCE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F192" authorId="13" shapeId="0" xr:uid="{3CC8925D-A6B8-415A-9676-0CD364EB4271}">
      <text>
        <t>[Threaded comment]
Your version of Excel allows you to read this threaded comment; however, any edits to it will get removed if the file is opened in a newer version of Excel. Learn more: https://go.microsoft.com/fwlink/?linkid=870924
Comment:
    Total net position doesn't agree to the audit report ($1,248,556,212). The difference is $3,320,807.83.</t>
      </text>
    </comment>
    <comment ref="E198" authorId="14" shapeId="0" xr:uid="{47E47F54-BEA4-4449-9D0E-6FF251CCA006}">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07" authorId="15" shapeId="0" xr:uid="{1132E5CC-1F60-4F94-B289-BD1F8D96E971}">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08" authorId="16" shapeId="0" xr:uid="{0B4E3B33-2040-4B9F-8676-D74AFABE8890}">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13" authorId="17" shapeId="0" xr:uid="{F7AB8CC1-5ED3-4AD9-A34C-2546695B548C}">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14" authorId="18" shapeId="0" xr:uid="{661EBCBB-3A63-4155-B97A-73EF7CC8F7BC}">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16" authorId="19" shapeId="0" xr:uid="{4F9F59D4-6B70-45B3-A5C1-D13870A0989A}">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B228" authorId="0" shapeId="0" xr:uid="{00000000-0006-0000-5A00-000002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29" authorId="0" shapeId="0" xr:uid="{00000000-0006-0000-5A00-000003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B230" authorId="0" shapeId="0" xr:uid="{00000000-0006-0000-5A00-000004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S230" authorId="20" shapeId="0" xr:uid="{540F39D2-9F2B-4DE9-A623-BB5A88D09FC2}">
      <text>
        <t>[Threaded comment]
Your version of Excel allows you to read this threaded comment; however, any edits to it will get removed if the file is opened in a newer version of Excel. Learn more: https://go.microsoft.com/fwlink/?linkid=870924
Comment:
    Reclass to 2710 noncapital gift</t>
      </text>
    </comment>
    <comment ref="Q231" authorId="21" shapeId="0" xr:uid="{394496DC-4359-42C0-BB0E-91D3A18B7416}">
      <text>
        <t>[Threaded comment]
Your version of Excel allows you to read this threaded comment; however, any edits to it will get removed if the file is opened in a newer version of Excel. Learn more: https://go.microsoft.com/fwlink/?linkid=870924
Comment:
    COVID-19 aid</t>
      </text>
    </comment>
    <comment ref="S231" authorId="22" shapeId="0" xr:uid="{C862E26E-7668-48E7-BDB4-6657CB3A4366}">
      <text>
        <t>[Threaded comment]
Your version of Excel allows you to read this threaded comment; however, any edits to it will get removed if the file is opened in a newer version of Excel. Learn more: https://go.microsoft.com/fwlink/?linkid=870924
Comment:
    4,926,923.88+13000</t>
      </text>
    </comment>
    <comment ref="AA231" authorId="23" shapeId="0" xr:uid="{81CBAEBF-7EFE-4C92-9D66-61C745D37E63}">
      <text>
        <t>[Threaded comment]
Your version of Excel allows you to read this threaded comment; however, any edits to it will get removed if the file is opened in a newer version of Excel. Learn more: https://go.microsoft.com/fwlink/?linkid=870924
Comment:
    COVID 19 aid from 2692 State aid-program</t>
      </text>
    </comment>
    <comment ref="AC231" authorId="24" shapeId="0" xr:uid="{10B298EE-0956-4A10-B26F-B52AC3E69CB5}">
      <text>
        <t>[Threaded comment]
Your version of Excel allows you to read this threaded comment; however, any edits to it will get removed if the file is opened in a newer version of Excel. Learn more: https://go.microsoft.com/fwlink/?linkid=870924
Comment:
    Reclass from 2700 Noncapital grant revenue</t>
      </text>
    </comment>
    <comment ref="AC232" authorId="25" shapeId="0" xr:uid="{DCA708AC-67DE-4D18-AD51-4EFCFD9F5A90}">
      <text>
        <t>[Threaded comment]
Your version of Excel allows you to read this threaded comment; however, any edits to it will get removed if the file is opened in a newer version of Excel. Learn more: https://go.microsoft.com/fwlink/?linkid=870924
Comment:
    33,139,614.39-1,107,928 (COVID) = 32,031,686.39</t>
      </text>
    </comment>
    <comment ref="E237" authorId="26" shapeId="0" xr:uid="{75191FE4-E6A5-477D-940C-A72A67B48801}">
      <text>
        <t xml:space="preserve">[Threaded comment]
Your version of Excel allows you to read this threaded comment; however, any edits to it will get removed if the file is opened in a newer version of Excel. Learn more: https://go.microsoft.com/fwlink/?linkid=870924
Comment:
    Ok = sum agrees.
</t>
      </text>
    </comment>
    <comment ref="E238" authorId="27" shapeId="0" xr:uid="{EB6AEFB6-7A84-4EB6-97E1-477037D04753}">
      <text>
        <t xml:space="preserve">[Threaded comment]
Your version of Excel allows you to read this threaded comment; however, any edits to it will get removed if the file is opened in a newer version of Excel. Learn more: https://go.microsoft.com/fwlink/?linkid=870924
Comment:
    Ok = sum agrees.
</t>
      </text>
    </comment>
    <comment ref="E240" authorId="28" shapeId="0" xr:uid="{0B5CFE4C-9D31-4445-9E7B-BBAFCBBF870F}">
      <text>
        <t>[Threaded comment]
Your version of Excel allows you to read this threaded comment; however, any edits to it will get removed if the file is opened in a newer version of Excel. Learn more: https://go.microsoft.com/fwlink/?linkid=870924
Comment:
    Ok = sum agrees.</t>
      </text>
    </comment>
    <comment ref="E245" authorId="29" shapeId="0" xr:uid="{3BA472B1-F593-441B-AAA8-075ADEF52C64}">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46" authorId="30" shapeId="0" xr:uid="{30A69176-57D6-4503-82B0-54A4BD09FB8B}">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B249" authorId="0" shapeId="0" xr:uid="{00000000-0006-0000-5A00-000005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Q249" authorId="31" shapeId="0" xr:uid="{2CEDED57-B795-4269-AC76-7AC7A4C92787}">
      <text>
        <t>[Threaded comment]
Your version of Excel allows you to read this threaded comment; however, any edits to it will get removed if the file is opened in a newer version of Excel. Learn more: https://go.microsoft.com/fwlink/?linkid=870924
Comment:
    41,539,626.80-12,337,585 = 29,202,041.80</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D7" authorId="0" shapeId="0" xr:uid="{00000000-0006-0000-5B00-000001000000}">
      <text>
        <r>
          <rPr>
            <sz val="8"/>
            <color indexed="81"/>
            <rFont val="Tahoma"/>
            <family val="2"/>
          </rPr>
          <t>Complete the Index sheet first. This cell uses the agency number from the Index Sheet to populate the GASB fund number from the NetAssets table.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<sst xmlns="http://schemas.openxmlformats.org/spreadsheetml/2006/main" count="13412" uniqueCount="6096">
  <si>
    <t>Office of the State Controller</t>
  </si>
  <si>
    <t>Instructions</t>
  </si>
  <si>
    <t>General Instructions</t>
  </si>
  <si>
    <t>–</t>
  </si>
  <si>
    <t xml:space="preserve">Complete the header information on the Index sheet first. This will populate the agency header information </t>
  </si>
  <si>
    <t>for all of the worksheets, as well as other information for certain worksheets.</t>
  </si>
  <si>
    <t>Except as noted otherwise, numbers that are to be subtracted should be entered as negative numbers in the</t>
  </si>
  <si>
    <t xml:space="preserve">cells in order for the formulas to calculate properly. </t>
  </si>
  <si>
    <r>
      <t xml:space="preserve">On the proforma worksheets 905-911, </t>
    </r>
    <r>
      <rPr>
        <b/>
        <sz val="10.5"/>
        <rFont val="Times New Roman"/>
        <family val="1"/>
      </rPr>
      <t>enter dollars and cents</t>
    </r>
    <r>
      <rPr>
        <sz val="10.5"/>
        <rFont val="Times New Roman"/>
        <family val="1"/>
      </rPr>
      <t xml:space="preserve">; </t>
    </r>
    <r>
      <rPr>
        <b/>
        <sz val="10.5"/>
        <rFont val="Times New Roman"/>
        <family val="1"/>
      </rPr>
      <t>do not round to whole dollars</t>
    </r>
    <r>
      <rPr>
        <sz val="10.5"/>
        <rFont val="Times New Roman"/>
        <family val="1"/>
      </rPr>
      <t>.</t>
    </r>
  </si>
  <si>
    <t xml:space="preserve">In general, key positive numbers for financial statement presentation, however on the Statement of Net Position, </t>
  </si>
  <si>
    <t>if the unrestricted net position balance is a deficit, key this as a negative number. Also, on the 905 and 905Hosp</t>
  </si>
  <si>
    <t>operating statement, in the "Nonoperating Revenues (Expenses)" section, key nonoperating expenses as</t>
  </si>
  <si>
    <t>negative numbers.</t>
  </si>
  <si>
    <t xml:space="preserve">Do not delete any worksheets, even if they are NA for your entity. Macros have been added to worksheets and </t>
  </si>
  <si>
    <t>deleting worksheets will negatively impact the macros.</t>
  </si>
  <si>
    <t>Do not delete rows or columns on worksheets as macros have been added to some of the worksheets.</t>
  </si>
  <si>
    <t>Please give us your comments and suggestions on the Comments page at the end of the package.  We value</t>
  </si>
  <si>
    <t xml:space="preserve">your opinion and appreciate your feedback.  Thanks! </t>
  </si>
  <si>
    <t xml:space="preserve">Staggered Due Dates: Earlier submission is strongly encouraged! </t>
  </si>
  <si>
    <t>August 15, 2023 for Tier 1 Entities</t>
  </si>
  <si>
    <t>August 21, 2023 for Tier 2 Entities</t>
  </si>
  <si>
    <t>August 25, 2023 for Tier 3 Entities</t>
  </si>
  <si>
    <t>August 28, 2023 for all others</t>
  </si>
  <si>
    <r>
      <t xml:space="preserve">NOTE:  This workbook is for primary government agencies and </t>
    </r>
    <r>
      <rPr>
        <b/>
        <u/>
        <sz val="10.5"/>
        <rFont val="Times New Roman"/>
        <family val="1"/>
      </rPr>
      <t>major</t>
    </r>
    <r>
      <rPr>
        <sz val="10.5"/>
        <rFont val="Times New Roman"/>
        <family val="1"/>
      </rPr>
      <t xml:space="preserve"> component units only.  All nonmajor </t>
    </r>
  </si>
  <si>
    <t xml:space="preserve">component units, whether offline or on NCAS, must complete the Nonmajor Component unit Comprehensive </t>
  </si>
  <si>
    <t>Annual Financial Report workbook.</t>
  </si>
  <si>
    <t>To make a Copy of a Worksheet</t>
  </si>
  <si>
    <r>
      <t xml:space="preserve">Right click on the tab of the sheet you wish to copy, then select </t>
    </r>
    <r>
      <rPr>
        <u/>
        <sz val="10.5"/>
        <rFont val="Times New Roman"/>
        <family val="1"/>
      </rPr>
      <t>Move or Copy…</t>
    </r>
    <r>
      <rPr>
        <sz val="10.5"/>
        <rFont val="Times New Roman"/>
        <family val="1"/>
      </rPr>
      <t xml:space="preserve">, click </t>
    </r>
    <r>
      <rPr>
        <u/>
        <sz val="10.5"/>
        <rFont val="Times New Roman"/>
        <family val="1"/>
      </rPr>
      <t>Create a copy</t>
    </r>
    <r>
      <rPr>
        <sz val="10.5"/>
        <rFont val="Times New Roman"/>
        <family val="1"/>
      </rPr>
      <t xml:space="preserve">, then </t>
    </r>
  </si>
  <si>
    <r>
      <rPr>
        <sz val="10.5"/>
        <rFont val="Times New Roman"/>
        <family val="1"/>
      </rPr>
      <t xml:space="preserve">select from the list </t>
    </r>
    <r>
      <rPr>
        <u/>
        <sz val="10.5"/>
        <rFont val="Times New Roman"/>
        <family val="1"/>
      </rPr>
      <t>Before sheet</t>
    </r>
    <r>
      <rPr>
        <sz val="10.5"/>
        <rFont val="Times New Roman"/>
        <family val="1"/>
      </rPr>
      <t xml:space="preserve"> to indicate where you want the copy placed, then click </t>
    </r>
    <r>
      <rPr>
        <u/>
        <sz val="10.5"/>
        <rFont val="Times New Roman"/>
        <family val="1"/>
      </rPr>
      <t>OK</t>
    </r>
    <r>
      <rPr>
        <sz val="10.5"/>
        <rFont val="Times New Roman"/>
        <family val="1"/>
      </rPr>
      <t>. This will create a</t>
    </r>
  </si>
  <si>
    <t xml:space="preserve">copy of the worksheet with the very same formatting as the original.  The duplicated worksheet will have the </t>
  </si>
  <si>
    <t>same name on the tab, plus a (2), (3), etc., for example 320 (2).</t>
  </si>
  <si>
    <t>Please DO NOT insert a new sheet and then copy from another worksheet to the new sheet; this will not</t>
  </si>
  <si>
    <t>produce a correct copy. Call your OSC analyst for assistance.</t>
  </si>
  <si>
    <t>Index Instructions</t>
  </si>
  <si>
    <t>To go directly to a specific worksheet, click on the corresponding link on the index. To return to the Index</t>
  </si>
  <si>
    <t>worksheet, click on the words "Office of the State Controller" at the top of any worksheet.</t>
  </si>
  <si>
    <t>To label a worksheet as "Not Applicable" (NA), enter "NA" in the "NA Excel Wsheet" column on the Index.</t>
  </si>
  <si>
    <t>To label a narrative as "Not Applicable" (NA), enter "NA" in the "NA Narrative" column on the Index.</t>
  </si>
  <si>
    <t>Shaded, grayed-out boxes in the "NA Excel" column indicate mandatory worksheets that must be completed.</t>
  </si>
  <si>
    <r>
      <t xml:space="preserve">Please pay careful attention in filling out the Index sheet, marking all </t>
    </r>
    <r>
      <rPr>
        <b/>
        <u/>
        <sz val="10.5"/>
        <rFont val="Times New Roman"/>
        <family val="1"/>
      </rPr>
      <t xml:space="preserve">worksheets and narratives </t>
    </r>
  </si>
  <si>
    <t>that do not apply as NA in the appropriate place on the Index.</t>
  </si>
  <si>
    <t>ACFR Package Narratives</t>
  </si>
  <si>
    <t>Complete the ACFR Package Narratives, as applicable (see separate WORD file).</t>
  </si>
  <si>
    <t>File revision date note:</t>
  </si>
  <si>
    <t>If OSC makes a revision to the package, agencies will be notified and the file revision date will be updated.</t>
  </si>
  <si>
    <t xml:space="preserve">Please note that if OSC makes changes that do not impact the integrity of the package (i.e. cosmetic changes) </t>
  </si>
  <si>
    <t>you may see an updated revision date, but we will not contact the agencies unless the update is mandatory.</t>
  </si>
  <si>
    <r>
      <t>ALL updates made to the package after</t>
    </r>
    <r>
      <rPr>
        <sz val="10.5"/>
        <color rgb="FFFF0000"/>
        <rFont val="Times New Roman"/>
        <family val="1"/>
      </rPr>
      <t xml:space="preserve"> April 28, 2023</t>
    </r>
    <r>
      <rPr>
        <sz val="10.5"/>
        <rFont val="Times New Roman"/>
        <family val="1"/>
      </rPr>
      <t xml:space="preserve">, will be listed on the "Pkg Updates" tab.  </t>
    </r>
  </si>
  <si>
    <t xml:space="preserve">You will need to review prior to submitting your package to determine if the changes impact your entity and </t>
  </si>
  <si>
    <t>whether or not you need to download the updated version.  Contact your OSC analyst if you have any questions.</t>
  </si>
  <si>
    <t xml:space="preserve"> </t>
  </si>
  <si>
    <t>Package Updates made after April 28, 2023</t>
  </si>
  <si>
    <t>Hide Columns G-J before publishing to the web.</t>
  </si>
  <si>
    <t>OSC Only</t>
  </si>
  <si>
    <t>Date of Change</t>
  </si>
  <si>
    <t>Worksheet / Narrative #</t>
  </si>
  <si>
    <t>Description of Change</t>
  </si>
  <si>
    <t>Analyst</t>
  </si>
  <si>
    <t>Web Team Notified to Update SIG</t>
  </si>
  <si>
    <t>Revision Date for SIG</t>
  </si>
  <si>
    <t>Date Agencies Notified</t>
  </si>
  <si>
    <t xml:space="preserve">                                                               Office of the State Controller                                                                </t>
  </si>
  <si>
    <t>Index</t>
  </si>
  <si>
    <t>Header Information</t>
  </si>
  <si>
    <t>Choose your agency:</t>
  </si>
  <si>
    <t>01 North Carolina General Assembly</t>
  </si>
  <si>
    <t>&lt;&lt;&lt; Click on the cell to see a list of agencies.</t>
  </si>
  <si>
    <t>Enter preparer name and phone number below:</t>
  </si>
  <si>
    <t>Agency number:</t>
  </si>
  <si>
    <t>Agency name:</t>
  </si>
  <si>
    <t>Preparer:</t>
  </si>
  <si>
    <t>Email:</t>
  </si>
  <si>
    <t>Phone:</t>
  </si>
  <si>
    <t>Sheet</t>
  </si>
  <si>
    <t>NA Excel Wsheet</t>
  </si>
  <si>
    <t>NA Narrative</t>
  </si>
  <si>
    <t>Worksheet Title</t>
  </si>
  <si>
    <t>Notes</t>
  </si>
  <si>
    <t>NA</t>
  </si>
  <si>
    <t>Summary of Significant Accounting Policies</t>
  </si>
  <si>
    <t>Operating Indicators By Function</t>
  </si>
  <si>
    <t xml:space="preserve">Public-Private &amp; Public-Public Partnership Arrangements </t>
  </si>
  <si>
    <t>N</t>
  </si>
  <si>
    <t>Government Combinations and Disposals of Government Operations</t>
  </si>
  <si>
    <t>Changes in Capital Assets</t>
  </si>
  <si>
    <t>N, R</t>
  </si>
  <si>
    <t xml:space="preserve">Governmental Fund Capital Assets </t>
  </si>
  <si>
    <t xml:space="preserve">Capital Assets Reconciliation Certification </t>
  </si>
  <si>
    <t xml:space="preserve"> R</t>
  </si>
  <si>
    <t>Accumulated Depreciation</t>
  </si>
  <si>
    <t>R</t>
  </si>
  <si>
    <t>Capital Asset Impairments</t>
  </si>
  <si>
    <t>Capital Asset Statistics</t>
  </si>
  <si>
    <t xml:space="preserve">Leases </t>
  </si>
  <si>
    <r>
      <t xml:space="preserve">Subscription Based Information Techology Arrangements (SBITAs) </t>
    </r>
    <r>
      <rPr>
        <sz val="11"/>
        <color rgb="FFFF0000"/>
        <rFont val="Calibri"/>
        <family val="2"/>
      </rPr>
      <t>New FY 2023</t>
    </r>
  </si>
  <si>
    <r>
      <t xml:space="preserve">Summary Table for Leases and SBITAs </t>
    </r>
    <r>
      <rPr>
        <sz val="11"/>
        <color rgb="FFFF0000"/>
        <rFont val="Calibri"/>
        <family val="2"/>
      </rPr>
      <t>New FY 2023</t>
    </r>
  </si>
  <si>
    <t>Changes in Long-Term Liabilities and Short-Term Debt (Governmental)</t>
  </si>
  <si>
    <t>R, N</t>
  </si>
  <si>
    <t>Long-Term and Short-Term Debt (Governmental) (Narrative Only)</t>
  </si>
  <si>
    <t>Changes in Long-Term Liabilities and Short-Term Debt (Business-Type)</t>
  </si>
  <si>
    <t xml:space="preserve">Long-Term and Short-Term Debt (Business-Type) (Narrative Only) </t>
  </si>
  <si>
    <t>Annual Debt Svc Reqmts - Bonds, Special Indebtedness, Notes from Direct Borrowings &amp; Direct Placements - Without Interest Rate Swaps</t>
  </si>
  <si>
    <t>Annual Debt Svc Reqmts - Bonds, Special Indebtedness, Notes from Direct Borrowings &amp; Direct Placements - With Interest Rate Swaps</t>
  </si>
  <si>
    <t>Pollution Remediation Obligations</t>
  </si>
  <si>
    <t xml:space="preserve">Certain Asset Retirement Obligations </t>
  </si>
  <si>
    <t>Pledged Revenue Coverage</t>
  </si>
  <si>
    <t>Disclosure of Pledged Revenues Coverages (Narrative Only)</t>
  </si>
  <si>
    <t>Debt Defeasances</t>
  </si>
  <si>
    <t>Demand Bonds (Narrative Only)</t>
  </si>
  <si>
    <t>Nonexchange Financial Guarantees</t>
  </si>
  <si>
    <t>Derivative Instruments</t>
  </si>
  <si>
    <t xml:space="preserve">Hedging Derivative Instruments </t>
  </si>
  <si>
    <t>Investment Derivative Instruments</t>
  </si>
  <si>
    <t>Contingencies</t>
  </si>
  <si>
    <t>Construction and Other Significant Commitments</t>
  </si>
  <si>
    <t>Subsequent Events/Other Items</t>
  </si>
  <si>
    <t>Related Party Transactions (Narrative Only)</t>
  </si>
  <si>
    <t xml:space="preserve">Restricted Assets  </t>
  </si>
  <si>
    <t>Government Wide - Debt Issuances</t>
  </si>
  <si>
    <t>375-A</t>
  </si>
  <si>
    <t xml:space="preserve">Financial Reporting for Federal Coronavirus (COVID-19) Funds </t>
  </si>
  <si>
    <t>375-B</t>
  </si>
  <si>
    <t>Budget Reporting for Federal Coronavirus (COVID-19) Funds</t>
  </si>
  <si>
    <t>Fund Balance Classifications General Fund</t>
  </si>
  <si>
    <t>Fund Balance Classifications Special Revenue Funds</t>
  </si>
  <si>
    <t>Fund Balance Classifications Capital Projects Funds</t>
  </si>
  <si>
    <t>Fund Balance Classifications Permanent Funds</t>
  </si>
  <si>
    <t xml:space="preserve">Restricted and Unrestricted Net Position - Business Type Activities </t>
  </si>
  <si>
    <t>Stewardship, Compliance, and Accountability</t>
  </si>
  <si>
    <t>430G</t>
  </si>
  <si>
    <t>Restatements Governmental Funds (Part 1 of 2)</t>
  </si>
  <si>
    <t>430BTA</t>
  </si>
  <si>
    <t>Restatements Business Type Activities (Part 1 of 2)</t>
  </si>
  <si>
    <t>430F</t>
  </si>
  <si>
    <t xml:space="preserve">Restatements Fiduciary Activities (Part 1 of 1) </t>
  </si>
  <si>
    <t>431G</t>
  </si>
  <si>
    <t>Restatements Governmental Funds (Part 2 of 2)</t>
  </si>
  <si>
    <t>431BTA</t>
  </si>
  <si>
    <t>Restatements Business Type Activities (Part 2 of 2)</t>
  </si>
  <si>
    <t>Schedule of Intra-Agency Receivables and Payables</t>
  </si>
  <si>
    <t>Schedule of Inter-Agency Receivables</t>
  </si>
  <si>
    <t>Schedule of Inter-Agency Payables</t>
  </si>
  <si>
    <t>Schedule of Due From / Restricted Due From Primary Government</t>
  </si>
  <si>
    <t>Schedule of Due To Primary Government</t>
  </si>
  <si>
    <t>Schedule of Due from / Restricted Due From  State of NC Component Units</t>
  </si>
  <si>
    <t>Schedule of Due to State of NC Component Units</t>
  </si>
  <si>
    <t>Schedule of Advances</t>
  </si>
  <si>
    <t xml:space="preserve">Schedule of Intra-Agency Operating Transfers </t>
  </si>
  <si>
    <t xml:space="preserve">Schedule of Intra-Agency Inter-Company Operating Transfers to be Eliminated at Annual Report Level </t>
  </si>
  <si>
    <r>
      <t xml:space="preserve">Schedule of Intra-Agency Intra-Company Operating Transfers to be Eliminated at Annual Report Level </t>
    </r>
    <r>
      <rPr>
        <sz val="11"/>
        <color rgb="FFFF0000"/>
        <rFont val="Calibri"/>
        <family val="2"/>
      </rPr>
      <t>New FY 2023</t>
    </r>
  </si>
  <si>
    <t xml:space="preserve">Schedule of Inter-Agency Operating Transfers In </t>
  </si>
  <si>
    <t xml:space="preserve">Schedule of Inter-Agency Operating Transfers Out </t>
  </si>
  <si>
    <t xml:space="preserve">Schedule of Agency Nonroutine Transfers  </t>
  </si>
  <si>
    <t>Schedule of Interinstitutional Transfers</t>
  </si>
  <si>
    <t>Receivables</t>
  </si>
  <si>
    <r>
      <t>Employer Contribution Amounts for TSERS and OPEB (</t>
    </r>
    <r>
      <rPr>
        <sz val="11"/>
        <color rgb="FF0000FF"/>
        <rFont val="Calibri"/>
        <family val="2"/>
      </rPr>
      <t>Universities only)</t>
    </r>
  </si>
  <si>
    <t xml:space="preserve">University Optional Retirement Program </t>
  </si>
  <si>
    <t>Significant Transactions Between Component Units (required worksheet for all component units)</t>
  </si>
  <si>
    <t>Foundations Survey</t>
  </si>
  <si>
    <t xml:space="preserve">Schedule of Due from / Due to University Component Units  </t>
  </si>
  <si>
    <t>Analysis of Unavailable Revenues</t>
  </si>
  <si>
    <t>Analytical Review</t>
  </si>
  <si>
    <t>Segments</t>
  </si>
  <si>
    <t xml:space="preserve">Tax Abatements </t>
  </si>
  <si>
    <t>Cash and Cash Equivalents in Banks Outside the State Treasurer - Custodial Credit Risk - Deposits</t>
  </si>
  <si>
    <t>Investments Held Outside the State Treasurer - Custodial Credit Risk - Investments</t>
  </si>
  <si>
    <t>Investments Held Outside the State Treasurer - Custodial Credit Risk - Deposits</t>
  </si>
  <si>
    <t>Investments Held Outside the State Treasurer - Interest Rate Risk</t>
  </si>
  <si>
    <t xml:space="preserve">Investments Held Outside the State Treasurer - Credit Risk </t>
  </si>
  <si>
    <t>Investments Held Outside the State Treasurer - Additional Level of Detail</t>
  </si>
  <si>
    <t>Investments Held Outside the State Treasurer - Concentration of Credit Risk</t>
  </si>
  <si>
    <t>Investments Held Outside the State Treasurer - Foreign Currency</t>
  </si>
  <si>
    <t>Investments Held Outside the State Treasurer - Deposit and Investment Policies</t>
  </si>
  <si>
    <t>Investments Held Outside the State Treasurer - Highly Sensitive Investments (Narrative Only)</t>
  </si>
  <si>
    <t>Investments Held Outside the State Treasurer And Derivatives - Fair Value Measurements</t>
  </si>
  <si>
    <t>Investments Held Outside the State Treasurer - Valuation of Investments (formerly 711)</t>
  </si>
  <si>
    <t>Investments Held Outside the State Treasurer - Investments Measured at NAV</t>
  </si>
  <si>
    <t>Investments Held Outside the State Treasurer - External Investment Pools and Pool Participants</t>
  </si>
  <si>
    <t>Offline Proprietary Proforma - Stmt of Net Position &amp; Stmt of Revs, Exps and Chgs in Net Position and Certification of Data file for Universities</t>
  </si>
  <si>
    <t xml:space="preserve">For 905-NCAS Acct Roll-up </t>
  </si>
  <si>
    <t>Reference</t>
  </si>
  <si>
    <t xml:space="preserve">Roll-up tables for the  11P Stmnt of Net Position &amp;  53P Stmnt of Rev, Exp and Changes in Net Position showing NCAS  accts making  up each caption </t>
  </si>
  <si>
    <t>905Hosp</t>
  </si>
  <si>
    <t>Offline Proprietary Proforma for UNC Health Care Reporting Unit- Combining Statement of Net Position &amp; Statement of Revenues, Expenses and Changes in Net Position</t>
  </si>
  <si>
    <t>906-6B</t>
  </si>
  <si>
    <t>Offline Fiduciary - Stmt of Net Position &amp; Stmt of Chgs in Net position Deferred Comp-6B</t>
  </si>
  <si>
    <t>906-6C</t>
  </si>
  <si>
    <t xml:space="preserve">Offline Fiduciary - Stmt of Net Position &amp; Stmt of Chgs in Net position NC 401(k)-6C </t>
  </si>
  <si>
    <t>906-6BC</t>
  </si>
  <si>
    <t>Offline Fiduciary - Stmt of Net Position &amp; Stmt of Chgs in Net position-Combined DefComp&amp;401(k)</t>
  </si>
  <si>
    <t>Offline Custodial Funds Proforma - Stmt of Changes in Assets and Liabilities</t>
  </si>
  <si>
    <t>Offline Governmental Funds Proforma: Balance Sheet and Statement of Revenue, Expenditures and Changes in Fund Balance</t>
  </si>
  <si>
    <t>Offline Proprietary Analytical Review - Computed Variances</t>
  </si>
  <si>
    <t>910Hosp</t>
  </si>
  <si>
    <t>Offline Proprietary Analytical Review for UNC Health Care Rep Unit Combined Pkg- Computed Variances</t>
  </si>
  <si>
    <t>911-6B</t>
  </si>
  <si>
    <t>Offline Fiduciary Analytical Review  - 6B -  Deferred Comp - Computed Variances</t>
  </si>
  <si>
    <t>911-6C</t>
  </si>
  <si>
    <t>Offline Fiduciary Analytical Review - 6C - 401(k) Computed Variances</t>
  </si>
  <si>
    <t>Exp</t>
  </si>
  <si>
    <t>Worksheet Explanations</t>
  </si>
  <si>
    <t>Comm</t>
  </si>
  <si>
    <t>Your Comments and Suggestions</t>
  </si>
  <si>
    <t>AllAgencies</t>
  </si>
  <si>
    <t xml:space="preserve">List of Agency Names and Numbers </t>
  </si>
  <si>
    <t>OSC Analysts</t>
  </si>
  <si>
    <t>List of OSC Statewide Accounting Financial Reporting Analyst Names and Numbers</t>
  </si>
  <si>
    <t>Functional</t>
  </si>
  <si>
    <t>Functional Table to be used for Fund Balance worksheets 401, 405, 410, and 415</t>
  </si>
  <si>
    <t>NetPosition</t>
  </si>
  <si>
    <t>NetPosition and GASB Table for worksheets 905 &amp; 906</t>
  </si>
  <si>
    <t>PriorYr905</t>
  </si>
  <si>
    <t>Prior Year 905 worksheet - SNP &amp; SRECNP for Computed Variances 910 worksheet</t>
  </si>
  <si>
    <t>PriorYr906</t>
  </si>
  <si>
    <t>Prior Yr 906 worksheet - Stmt of Plan Net Position  &amp; Stmnt of Changes in PNP for Variances 911 ws</t>
  </si>
  <si>
    <t>Notes:</t>
  </si>
  <si>
    <t>N = Worksheet Narrative may also need to be completed</t>
  </si>
  <si>
    <t>R = Must also complete Restatements w/s 430 for any prior year adjustment on this worksheet</t>
  </si>
  <si>
    <t>Dashboard</t>
  </si>
  <si>
    <t>Annual Report E-PACKAGE FILENAME</t>
  </si>
  <si>
    <r>
      <rPr>
        <b/>
        <sz val="10"/>
        <rFont val="Tahoma"/>
        <family val="2"/>
      </rPr>
      <t>OSC Only:  Verify</t>
    </r>
    <r>
      <rPr>
        <sz val="10"/>
        <rFont val="Tahoma"/>
        <family val="2"/>
      </rPr>
      <t xml:space="preserve"> the FCCS Entity on the 905 WS is completed.</t>
    </r>
  </si>
  <si>
    <r>
      <rPr>
        <b/>
        <sz val="10"/>
        <rFont val="Tahoma"/>
        <family val="2"/>
      </rPr>
      <t>OSC Only:  Verify</t>
    </r>
    <r>
      <rPr>
        <sz val="10"/>
        <rFont val="Tahoma"/>
        <family val="2"/>
      </rPr>
      <t xml:space="preserve"> the FCCS Agency on the 905 WS is the 2 digit Entity number on the Index tab </t>
    </r>
  </si>
  <si>
    <t>for that Entiity followed by two zeros.</t>
  </si>
  <si>
    <t>Note: If you make any changes on the Tabs, then you must use the delete key to clear the cell information.</t>
  </si>
  <si>
    <t>Worksheet 101 question #1 answered appropriately - Valuaton Method</t>
  </si>
  <si>
    <t>Worksheet 101 question #2a answered appropriately (Y/N)</t>
  </si>
  <si>
    <t>Worksheet 101 question #2a filled out if answered "NO"</t>
  </si>
  <si>
    <t>Worksheet 101 question #2b answered appropriately (Y/N)</t>
  </si>
  <si>
    <t>Worksheet 101 question #2b filled out if answered "NO"</t>
  </si>
  <si>
    <t>Worksheet 101 question #2c filled in</t>
  </si>
  <si>
    <t>Worksheet 101 question #4 answered appropriately (Y/N)</t>
  </si>
  <si>
    <t>Worksheet 101 question #4 filled out if answered "YES"</t>
  </si>
  <si>
    <t>Worksheet 101 question #5 answered appropriately (Y/N/na)</t>
  </si>
  <si>
    <t>Worksheet 101 question #6 answered appropriately (Y/N)</t>
  </si>
  <si>
    <t>Worksheet 101 question #6 filled out if answered "YES"</t>
  </si>
  <si>
    <t>Worksheet 101 question #7 answered appropriately (Y/N/na)</t>
  </si>
  <si>
    <t>Worksheet 101 question #7 filled out if answered "YES"</t>
  </si>
  <si>
    <t>Worksheet 110 question is answered appropriately (Y/N)</t>
  </si>
  <si>
    <t>Worksheet 120 question is answered appropriately (Y/N)</t>
  </si>
  <si>
    <t>Worksheet 120 question if answered "YES"</t>
  </si>
  <si>
    <t>Worksheet 201 CIP Column must balance to 0</t>
  </si>
  <si>
    <t>Worksheet 202 question #1a answered appropriately (Y/N)</t>
  </si>
  <si>
    <t>Worksheet 202 question #1a if answered "YES"- Type of Asset</t>
  </si>
  <si>
    <t>Worksheet 202 question #1a if answered "YES"- Value of Asset</t>
  </si>
  <si>
    <t>Worksheet 202 question #1b answered appropriately (Y/N/na)</t>
  </si>
  <si>
    <t>Worksheet 202 question #1b filled out if answered "NO"</t>
  </si>
  <si>
    <t>Worksheet 202 question #2 answered appropriately (Y/N) - CIP</t>
  </si>
  <si>
    <t>Worksheet 202 question #2 filled out if answered "YES"</t>
  </si>
  <si>
    <t>Worksheet 202 question #2 answered appropriately (Y/N/na) - Newly constructed asset in FAS</t>
  </si>
  <si>
    <t>Worksheet 202 question #2 filled out if answered "NO"</t>
  </si>
  <si>
    <t>Worksheet 202 question #3 answered appropriately (Y/N)</t>
  </si>
  <si>
    <t>Worksheet 202 question #3 filled out if answered "YES"</t>
  </si>
  <si>
    <t>Worksheet 202 question #4 answered appropriately (Y/N)</t>
  </si>
  <si>
    <t>Worksheet 202 question #4 filled out if answered "YES"</t>
  </si>
  <si>
    <t>Worksheet 202 question #5 answered appropriately (Y/N/na)</t>
  </si>
  <si>
    <t>Worksheet 202 question #5 filled out if answered "NO"</t>
  </si>
  <si>
    <t>Worksheet 203 question #1 answered appropriately (Y/N)</t>
  </si>
  <si>
    <t>Worksheet 203 question #2 answered appropriately (Y/N)</t>
  </si>
  <si>
    <t>Worksheet 203 question #2 filled out if answered "YES"</t>
  </si>
  <si>
    <t>Worksheet 203 question #3 answered appropriately (Y/N)</t>
  </si>
  <si>
    <t>Worksheet 203 question #3 filled out if answered "YES"</t>
  </si>
  <si>
    <t>Worksheet 203 question #4 answered appropriately (Y/N)</t>
  </si>
  <si>
    <t>Worksheet 203 signature required, if applicable</t>
  </si>
  <si>
    <t>Worksheet 301 Lease with another Component Unit question answered appropriately</t>
  </si>
  <si>
    <t>Worksheet 301 amount identified if applicable</t>
  </si>
  <si>
    <t>Worksheet 301 Lease with another Primary Gov't Agency of State  question answered appropriately</t>
  </si>
  <si>
    <t>Worksheet 301 Lease Receivables in Financial Statements</t>
  </si>
  <si>
    <t>Worksheet 301 Lease  Rec with another Component Unit question answered appropriately</t>
  </si>
  <si>
    <t>Worksheet 301 Lease  Rec with another Prim Gov't Agency of State question answered appropriately</t>
  </si>
  <si>
    <t xml:space="preserve">Worksheet 303 Lessee Right to Use Liab total amount equals WS 305/310 Lease Liability total </t>
  </si>
  <si>
    <t>NEW FY 2023</t>
  </si>
  <si>
    <t xml:space="preserve">Worksheet 303 Lessee Right to Use Liab current amount equals WS 305/310 Lease Liability current </t>
  </si>
  <si>
    <t xml:space="preserve">Worksheet 303 SBITA Liab total amount equals WS 305/310 Subscription Liability total </t>
  </si>
  <si>
    <t xml:space="preserve">Worksheet 303 SBITA Liab current amount equals WS 305/310 Subscription Liability current amount </t>
  </si>
  <si>
    <t>Worksheet 305 anawered appropriately (Y/N)</t>
  </si>
  <si>
    <t>Worksheet 322 Reasonability Estimate answered appropriately (Y/N)</t>
  </si>
  <si>
    <t>Worksheet 330 Additions Tie</t>
  </si>
  <si>
    <t>Worksheet 338 answer appropriately (Y/N)</t>
  </si>
  <si>
    <t>Worksheet 345 contingencies question answered (Y/N) - Federal Grants and programs</t>
  </si>
  <si>
    <t>Worksheet 345 contingencies question answered (Y/N) - Food stamps and food commodities</t>
  </si>
  <si>
    <t>Worksheet 345 Food Stamps/Commodites identified if answered "YES"</t>
  </si>
  <si>
    <t>Worksheet 345 contingencies question answered (Y/N) - Contingent liabilities</t>
  </si>
  <si>
    <t>Worksheet 355 Subsequent events (Y/N)</t>
  </si>
  <si>
    <t>Worksheet 355 Subsequent events over $10M (Y/N)</t>
  </si>
  <si>
    <t>Worksheet 370 question #1 is answered appropriately (Y/N)</t>
  </si>
  <si>
    <t>Worksheet 370 question #2 is answered appropriately (Y/N)</t>
  </si>
  <si>
    <t>Worksheet 375-A question A. answered appropriately (Y/N)</t>
  </si>
  <si>
    <t>Worksheet 375 question A identified if answered "YES"</t>
  </si>
  <si>
    <t>Worksheet 375-B question A. answered appropriately (Y/N)</t>
  </si>
  <si>
    <t>Worksheet 375 question B identified if answered "YES"</t>
  </si>
  <si>
    <t>Worksheet 425 question answered appropriately (Y/N)</t>
  </si>
  <si>
    <t>Worksheet 425 question identified if answered "YES"</t>
  </si>
  <si>
    <t>Worksheet 501 Total Col A must equal Col B</t>
  </si>
  <si>
    <t>Worksheet 540 Total Col A must equal Col B</t>
  </si>
  <si>
    <t>Worksheet 545 Total Col A must equal Col B</t>
  </si>
  <si>
    <t>Worksheet 546 Total Col A must equal Col B</t>
  </si>
  <si>
    <t>Worksheet 602 completed showing TSERS, RHBF, &amp; DIPNC contributions</t>
  </si>
  <si>
    <t>Worksheet 605 answered appropriately</t>
  </si>
  <si>
    <t>Worksheet 610 answered appropriately</t>
  </si>
  <si>
    <t xml:space="preserve">Worksheet 616 "Due From" agrees with Worksheet 905 </t>
  </si>
  <si>
    <t xml:space="preserve">Worksheet 616 "Due To" agrees with Worksheet 905 </t>
  </si>
  <si>
    <t>Worksheet 710 is in balance</t>
  </si>
  <si>
    <t>Worksheet 720 is in balance</t>
  </si>
  <si>
    <t>Worksheet 725 question is answered appropriately (Y/N/N-A)</t>
  </si>
  <si>
    <t>Worksheet 725 question if answered "YES"</t>
  </si>
  <si>
    <t>Worksheet 755 first question answered appropriately (Y/N)</t>
  </si>
  <si>
    <t>Worksheet 755 second question answered appropriately (Y/N)</t>
  </si>
  <si>
    <t>Worksheet 765 question A answered appropriately (Y/N)</t>
  </si>
  <si>
    <t>Worksheet 765 question B answered appropriately (Y/N)</t>
  </si>
  <si>
    <r>
      <t>Worksheet 905 Statement of Net Position in balance</t>
    </r>
    <r>
      <rPr>
        <b/>
        <sz val="9"/>
        <color rgb="FFFF0000"/>
        <rFont val="Arial"/>
        <family val="2"/>
      </rPr>
      <t xml:space="preserve"> (Only required for Universities)</t>
    </r>
  </si>
  <si>
    <r>
      <t xml:space="preserve">Worksheet 905 Net position between Statement of Net Position and O/S are equal </t>
    </r>
    <r>
      <rPr>
        <b/>
        <sz val="8"/>
        <color rgb="FFFF0000"/>
        <rFont val="Arial"/>
        <family val="2"/>
      </rPr>
      <t>(Only required for Universities)</t>
    </r>
  </si>
  <si>
    <r>
      <t xml:space="preserve">Worksheet 905 Signature is required  </t>
    </r>
    <r>
      <rPr>
        <b/>
        <sz val="9"/>
        <color rgb="FFFF0000"/>
        <rFont val="Arial"/>
        <family val="2"/>
      </rPr>
      <t>(Only required for universities)</t>
    </r>
  </si>
  <si>
    <t>Worksheet 906-6B in balance</t>
  </si>
  <si>
    <t>Worksheet 906-6C in balance</t>
  </si>
  <si>
    <t>Worksheet 906-6BC in balance</t>
  </si>
  <si>
    <t>SUMMARY OF SIGNIFICANT ACCOUNTING POLICIES (101)</t>
  </si>
  <si>
    <t>GASB Fund:  All GASB Funds</t>
  </si>
  <si>
    <t>Agency No:</t>
  </si>
  <si>
    <t>Agency Name:</t>
  </si>
  <si>
    <t>Preparer/Phone:</t>
  </si>
  <si>
    <t>1)</t>
  </si>
  <si>
    <r>
      <t xml:space="preserve">INVENTORY VALUATION </t>
    </r>
    <r>
      <rPr>
        <sz val="9"/>
        <rFont val="Arial"/>
        <family val="2"/>
      </rPr>
      <t>(Indicate "NA" if no inventories)</t>
    </r>
  </si>
  <si>
    <t>Inventories owned by the State traditionally have been valued by one of the following methods:</t>
  </si>
  <si>
    <t>-</t>
  </si>
  <si>
    <t>First-in, first-out (FIFO)</t>
  </si>
  <si>
    <t>Retail inventory (book stores)</t>
  </si>
  <si>
    <t>Moving weighted average</t>
  </si>
  <si>
    <t>Last invoice cost</t>
  </si>
  <si>
    <t>Indicate the methods used to value your inventories:</t>
  </si>
  <si>
    <t>GASB Fund No.</t>
  </si>
  <si>
    <t>Valuation Method</t>
  </si>
  <si>
    <t>2)</t>
  </si>
  <si>
    <t>CAPITAL ASSETS</t>
  </si>
  <si>
    <t>Capitalization Policy - *Assets Other Than Leases and SBITAs*</t>
  </si>
  <si>
    <t>The OSC capitalization thresholds are as follows: Internally generated computer software – $ 1 million;</t>
  </si>
  <si>
    <t>Intangible assets (except for internally generated computer software &amp; leases) – $100,000;</t>
  </si>
  <si>
    <t>and all other capital assets - $5,000</t>
  </si>
  <si>
    <t>a)</t>
  </si>
  <si>
    <t>Do you use the above thresholds to capitalize capital assets?</t>
  </si>
  <si>
    <t>YES</t>
  </si>
  <si>
    <t>NO</t>
  </si>
  <si>
    <r>
      <t>If NO</t>
    </r>
    <r>
      <rPr>
        <sz val="9"/>
        <rFont val="Arial"/>
        <family val="2"/>
      </rPr>
      <t>, state your threshold amount(s).</t>
    </r>
  </si>
  <si>
    <t>Capitalization Policy - *Leases and SBITAs Only*</t>
  </si>
  <si>
    <t>The OSC capitalization threshold in the primary government is $10,000 or greater for leases and $400,000 or greater for</t>
  </si>
  <si>
    <t>SBITAs of the future lease/SBITA payments through the lease term. Component units may choose a different threshold.</t>
  </si>
  <si>
    <t>b)</t>
  </si>
  <si>
    <t>Do you use the above threshold to capitalize lease assets?</t>
  </si>
  <si>
    <t>c)</t>
  </si>
  <si>
    <t>Do you use the above threshold to capitalize SBITA assets?</t>
  </si>
  <si>
    <t>Proprietary Funds, Agencies Not on NCAS Fixed Assets System, All Component Units</t>
  </si>
  <si>
    <t>(Otherwise, indicate "NA" below)</t>
  </si>
  <si>
    <t>d)</t>
  </si>
  <si>
    <t>List your method of depreciation (e.g., straight-line, etc.):</t>
  </si>
  <si>
    <t>3)</t>
  </si>
  <si>
    <r>
      <t xml:space="preserve">AMORTIZATION </t>
    </r>
    <r>
      <rPr>
        <sz val="9"/>
        <rFont val="Arial"/>
        <family val="2"/>
      </rPr>
      <t>(STATE TREASURER, TRANSPORTATION, ENTERPRISE FUNDS, AND COMPONENT UNITS ONLY)</t>
    </r>
  </si>
  <si>
    <t>List method for amortizing premiums/discounts on long-term debt and deferred charges on refundings</t>
  </si>
  <si>
    <t>(e.g., straight-line, effective interest, proportionate-to-stated interest requirements).</t>
  </si>
  <si>
    <t>If no long-term bonds were outstanding, indicate “NA”. If amounts are immaterial and are not deferred,</t>
  </si>
  <si>
    <t>just indicate "expensed".</t>
  </si>
  <si>
    <t>Unamortized premiums/discounts:</t>
  </si>
  <si>
    <t>Deferred charges on debt refundings:</t>
  </si>
  <si>
    <t>4)</t>
  </si>
  <si>
    <t>PROGRAM REVENUE</t>
  </si>
  <si>
    <t>Does your agency receive interest as program revenue that is restricted</t>
  </si>
  <si>
    <t>for use in capital projects? (exclude capitalized interest earnings)</t>
  </si>
  <si>
    <t>IF "YES", LIST GASB AND AMOUNT</t>
  </si>
  <si>
    <t>5)</t>
  </si>
  <si>
    <r>
      <t xml:space="preserve">INTERNAL ACTIVITY </t>
    </r>
    <r>
      <rPr>
        <sz val="9"/>
        <rFont val="Arial"/>
        <family val="2"/>
      </rPr>
      <t>(NA FOR COMPONENT UNITS)</t>
    </r>
  </si>
  <si>
    <t>Do you charge other departments (through internal service funds or the general fund) for "centralized expenses"</t>
  </si>
  <si>
    <t>that include an administrative overhead component (in addition to direct expenses)?</t>
  </si>
  <si>
    <t>6)</t>
  </si>
  <si>
    <t>CAPITALIZATION OF ARTWORK, HISTORICAL TREASURES, OR ARTIFACTS</t>
  </si>
  <si>
    <t>Do you have any artwork, historical treasures, or artifacts that are not</t>
  </si>
  <si>
    <t>capitalized?</t>
  </si>
  <si>
    <t>If yes, please describe:</t>
  </si>
  <si>
    <t>7)</t>
  </si>
  <si>
    <r>
      <rPr>
        <b/>
        <sz val="9"/>
        <rFont val="Arial"/>
        <family val="2"/>
      </rPr>
      <t>REPORTING ENTITY</t>
    </r>
    <r>
      <rPr>
        <sz val="9"/>
        <rFont val="Arial"/>
        <family val="2"/>
      </rPr>
      <t xml:space="preserve"> (Component Units Only)</t>
    </r>
  </si>
  <si>
    <r>
      <t xml:space="preserve">During the fiscal year, did you </t>
    </r>
    <r>
      <rPr>
        <u/>
        <sz val="9"/>
        <rFont val="Arial"/>
        <family val="2"/>
      </rPr>
      <t>add or remove</t>
    </r>
    <r>
      <rPr>
        <sz val="9"/>
        <rFont val="Arial"/>
        <family val="2"/>
      </rPr>
      <t xml:space="preserve"> any component units or participate in any new </t>
    </r>
  </si>
  <si>
    <t>joint ventures / jointly governed organizations?</t>
  </si>
  <si>
    <t>If yes, disclose</t>
  </si>
  <si>
    <t>a</t>
  </si>
  <si>
    <t>b</t>
  </si>
  <si>
    <t>c</t>
  </si>
  <si>
    <t>d</t>
  </si>
  <si>
    <t>e</t>
  </si>
  <si>
    <t>f</t>
  </si>
  <si>
    <t>g</t>
  </si>
  <si>
    <t>h</t>
  </si>
  <si>
    <t>i</t>
  </si>
  <si>
    <t>j</t>
  </si>
  <si>
    <t>OPERATING INDICATORS BY FUNCTION (105)</t>
  </si>
  <si>
    <t>Instructions to complete worksheet:</t>
  </si>
  <si>
    <t xml:space="preserve">Please locate your agency below and fill in the requested information. </t>
  </si>
  <si>
    <t>Provide explanations for significant changes from the prior year at the bottom of this worksheet.</t>
  </si>
  <si>
    <t>General Government</t>
  </si>
  <si>
    <t>Economic Development</t>
  </si>
  <si>
    <t>Department of Revenue</t>
  </si>
  <si>
    <t xml:space="preserve">Department of Commerce - Division of Employment Security </t>
  </si>
  <si>
    <t>Number of returns filed electronically</t>
  </si>
  <si>
    <t>Total employed</t>
  </si>
  <si>
    <t>Total employed Department of Commerce</t>
  </si>
  <si>
    <t>Number of tax returns processed</t>
  </si>
  <si>
    <t>Percentage of unemployment</t>
  </si>
  <si>
    <t>Number of individual refunds direct deposited</t>
  </si>
  <si>
    <t>Number of individual refunds processed</t>
  </si>
  <si>
    <t>Environment and Natural Resources</t>
  </si>
  <si>
    <t>Number of pieces of incoming mail</t>
  </si>
  <si>
    <t>Department of Environmental Quality</t>
  </si>
  <si>
    <t>Number of pieces of outgoing mail</t>
  </si>
  <si>
    <t>Public drinking water systems in compliance</t>
  </si>
  <si>
    <t>Department of Administration</t>
  </si>
  <si>
    <t>Department of Natural and Cultural Resources</t>
  </si>
  <si>
    <t>Construction projects administered</t>
  </si>
  <si>
    <t>Visitation to state parks</t>
  </si>
  <si>
    <t>Construction value excluding design fee (thousands)</t>
  </si>
  <si>
    <t>Visitation to historical sites and museums</t>
  </si>
  <si>
    <t>Construction value excluding design fee</t>
  </si>
  <si>
    <t>Visitation to state aquariums</t>
  </si>
  <si>
    <t>USS North Carolina Battleship Commission</t>
  </si>
  <si>
    <t>Visitation to NC Zoo</t>
  </si>
  <si>
    <t>Visitation to USS North Carolina Battleship</t>
  </si>
  <si>
    <t>Wildlife Resources Commission</t>
  </si>
  <si>
    <t>Primary and Secondary Education</t>
  </si>
  <si>
    <t>Hunting licenses sold</t>
  </si>
  <si>
    <t>Department of Public Instruction</t>
  </si>
  <si>
    <t>Fishing licenses sold</t>
  </si>
  <si>
    <t>Total students K-12</t>
  </si>
  <si>
    <t>Combination hunting/fishing licenses sold</t>
  </si>
  <si>
    <t>Total students K12</t>
  </si>
  <si>
    <t>Combination hunting fishing licenses sold</t>
  </si>
  <si>
    <t>Total high school graduates</t>
  </si>
  <si>
    <t>Vessels registered</t>
  </si>
  <si>
    <t>Graduate intention to pursue further education</t>
  </si>
  <si>
    <t>Public Safety, Corrections and Regulation</t>
  </si>
  <si>
    <t>Higher Education</t>
  </si>
  <si>
    <t xml:space="preserve">Department of Adult Corrections </t>
  </si>
  <si>
    <t>Community College System Office</t>
  </si>
  <si>
    <t>Incarcerated adult offenders</t>
  </si>
  <si>
    <t>Number of students(annualized FTE)</t>
  </si>
  <si>
    <t>Supervised adult offenders</t>
  </si>
  <si>
    <t>Number of students annualized FTE</t>
  </si>
  <si>
    <t>Number of certificates and degrees awarded</t>
  </si>
  <si>
    <t>Department of Public Safety</t>
  </si>
  <si>
    <t>Number of certificates and degrees awarded CC</t>
  </si>
  <si>
    <t>Juvenile offenders</t>
  </si>
  <si>
    <t>University System (UNC-System Office)</t>
  </si>
  <si>
    <t>Number of regular term students(FTE)</t>
  </si>
  <si>
    <t>Administrative Office of the Courts</t>
  </si>
  <si>
    <t>Cases disposed as a % of cases filed-Superior Court</t>
  </si>
  <si>
    <t>Number of regular term students FTE</t>
  </si>
  <si>
    <t>Cases disposed as a percent of cases filed Superior Court</t>
  </si>
  <si>
    <t>Cases disposed as a % of cases filed-District Court</t>
  </si>
  <si>
    <t>Number of certificates and degrees awarded UNC</t>
  </si>
  <si>
    <t>Cases disposed as a percent of cases filed District Court</t>
  </si>
  <si>
    <t>Health and Human Services</t>
  </si>
  <si>
    <t>Department of Health and Human Services</t>
  </si>
  <si>
    <t>Agriculture</t>
  </si>
  <si>
    <t>Medicaid recipients</t>
  </si>
  <si>
    <t>Department of Agriculture and Consumer Services</t>
  </si>
  <si>
    <t>Food stamp recipients</t>
  </si>
  <si>
    <t>Motor fuel dispensers tested</t>
  </si>
  <si>
    <t>Clients served by mental health facilities</t>
  </si>
  <si>
    <t>Rejection rate</t>
  </si>
  <si>
    <t>Motor Fuel Rejection Rate</t>
  </si>
  <si>
    <t>Clients served by developmental disabilities facilities</t>
  </si>
  <si>
    <t>Retail scales tested</t>
  </si>
  <si>
    <t>Clients served by substance abuse facilities</t>
  </si>
  <si>
    <t>Retail Scale Rejection Rate</t>
  </si>
  <si>
    <t>Clients served by neuro-meds facilities</t>
  </si>
  <si>
    <t>Children served through subsidized child care</t>
  </si>
  <si>
    <t>Participation in special supplemental nutrition program</t>
  </si>
  <si>
    <t>Clients served through 'Work First'</t>
  </si>
  <si>
    <t>NC Health Choice annual enrollment</t>
  </si>
  <si>
    <t>Clients served through Work First</t>
  </si>
  <si>
    <t>Significant Change Explanations (if need additional space, use Explanations tab):</t>
  </si>
  <si>
    <t>PUBLIC-PRIVATE &amp; PUBLIC-PUBLIC PARTNERSHIP ARRANGEMENTS (110)</t>
  </si>
  <si>
    <t xml:space="preserve">GASB Fund No: </t>
  </si>
  <si>
    <t>All Funds</t>
  </si>
  <si>
    <t>GASB Statement 94 establishes accounting and financial reporting standards for public-private and public-public partnership arrangements (PPPs), including service concession arrangements (SCAs), a type of PPP arrangement.  Previously, GASB Statement 60 (superseded by GASB 94) provided guidance for SCAs.</t>
  </si>
  <si>
    <r>
      <t xml:space="preserve">As used in this Statement, a PPP is an arrangement that includes </t>
    </r>
    <r>
      <rPr>
        <b/>
        <u/>
        <sz val="10"/>
        <rFont val="Arial"/>
        <family val="2"/>
      </rPr>
      <t>ALL</t>
    </r>
    <r>
      <rPr>
        <sz val="10"/>
        <rFont val="Arial"/>
        <family val="2"/>
      </rPr>
      <t xml:space="preserve"> of the following elements: </t>
    </r>
  </si>
  <si>
    <r>
      <t xml:space="preserve">A government (the transferor) contracts with an operator (a governmental or nongovernmental entity) </t>
    </r>
    <r>
      <rPr>
        <b/>
        <i/>
        <sz val="10"/>
        <rFont val="Arial"/>
        <family val="2"/>
      </rPr>
      <t>to provide public services;</t>
    </r>
  </si>
  <si>
    <r>
      <t xml:space="preserve">by </t>
    </r>
    <r>
      <rPr>
        <b/>
        <i/>
        <sz val="10"/>
        <rFont val="Arial"/>
        <family val="2"/>
      </rPr>
      <t>conveying control of the right to operate or use a nonfinancial asset</t>
    </r>
    <r>
      <rPr>
        <sz val="10"/>
        <rFont val="Arial"/>
        <family val="2"/>
      </rPr>
      <t>, such as infrastructure or other capital asset (the underlying PPP asset);</t>
    </r>
  </si>
  <si>
    <r>
      <t xml:space="preserve">for a </t>
    </r>
    <r>
      <rPr>
        <b/>
        <i/>
        <sz val="10"/>
        <rFont val="Arial"/>
        <family val="2"/>
      </rPr>
      <t>period of time</t>
    </r>
    <r>
      <rPr>
        <sz val="10"/>
        <rFont val="Arial"/>
        <family val="2"/>
      </rPr>
      <t>; and</t>
    </r>
  </si>
  <si>
    <r>
      <t xml:space="preserve">in an </t>
    </r>
    <r>
      <rPr>
        <b/>
        <i/>
        <sz val="10"/>
        <rFont val="Arial"/>
        <family val="2"/>
      </rPr>
      <t>exchange or exchange-like transaction</t>
    </r>
    <r>
      <rPr>
        <sz val="10"/>
        <rFont val="Arial"/>
        <family val="2"/>
      </rPr>
      <t>.</t>
    </r>
  </si>
  <si>
    <t>Has your agency/university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</si>
  <si>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</si>
  <si>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If you answered YES, disclosure is required:</t>
  </si>
  <si>
    <t xml:space="preserve">GASB Statement 94 requires certain disclosures about an agency's or university's PPP arrangements.   </t>
  </si>
  <si>
    <r>
      <t xml:space="preserve">The required disclosures should be provided in the attached </t>
    </r>
    <r>
      <rPr>
        <b/>
        <u/>
        <sz val="10"/>
        <rFont val="Arial"/>
        <family val="2"/>
      </rPr>
      <t>ACFR Package Narratives</t>
    </r>
    <r>
      <rPr>
        <sz val="10"/>
        <rFont val="Arial"/>
        <family val="2"/>
      </rPr>
      <t>.</t>
    </r>
  </si>
  <si>
    <t>NOTE:  Service concession arrangements are a type of PPP arrangement that include additional criteria giving the transferor government additional control over the underlying PPP asset.  While there may be some differences in the accounting guidance under GASB 94 between arrangements that qualify as an SCA and PPP arrangements that do not meet SCA criteria, the narrative disclosure requirements are the same.</t>
  </si>
  <si>
    <t xml:space="preserve">For additional guidance for public-private and public-public partnership arrangements: </t>
  </si>
  <si>
    <t>Financial Reporting Update for GASB 94</t>
  </si>
  <si>
    <t>GOVERNMENTAL FUND CAPITAL ASSETS (202)</t>
  </si>
  <si>
    <t>NA for Agencies not on NCAS Fixed Asset System</t>
  </si>
  <si>
    <t>NA for Proprietary Funds and Component Units</t>
  </si>
  <si>
    <t>GASB Fund:  5100</t>
  </si>
  <si>
    <t>Did your agency receive any donations during the fiscal year ending June 30, 2023?</t>
  </si>
  <si>
    <t xml:space="preserve">Yes </t>
  </si>
  <si>
    <t>No</t>
  </si>
  <si>
    <t>If yes, give the type of asset and the value of the donation below:</t>
  </si>
  <si>
    <t xml:space="preserve">Type of Asset: </t>
  </si>
  <si>
    <t>(i.e. land, bldg, equip, etc)</t>
  </si>
  <si>
    <t xml:space="preserve">Value of donated asset: </t>
  </si>
  <si>
    <t>Has the donated asset been added to the Fixed Asset System?</t>
  </si>
  <si>
    <t>If no, give an explanation below.</t>
  </si>
  <si>
    <t xml:space="preserve">Does your agency report Construction in Progress (CIP)? </t>
  </si>
  <si>
    <t>Yes</t>
  </si>
  <si>
    <r>
      <t xml:space="preserve">If yes, provide the following information below and </t>
    </r>
    <r>
      <rPr>
        <b/>
        <sz val="10"/>
        <rFont val="Arial"/>
        <family val="2"/>
      </rPr>
      <t>complete the corresponding narrative, CIP/CSID for Capital Assets</t>
    </r>
    <r>
      <rPr>
        <sz val="10"/>
        <rFont val="Arial"/>
        <family val="2"/>
      </rPr>
      <t>.</t>
    </r>
  </si>
  <si>
    <t>Balance</t>
  </si>
  <si>
    <t>Decrease</t>
  </si>
  <si>
    <t>Prior year adj</t>
  </si>
  <si>
    <t>Additions</t>
  </si>
  <si>
    <t>Write-offs</t>
  </si>
  <si>
    <t>in CIP</t>
  </si>
  <si>
    <t>CIP</t>
  </si>
  <si>
    <t>If you had a decrease in CIP for the fiscal year, you should have a corresponding increase in an asset.  Provide the type</t>
  </si>
  <si>
    <t xml:space="preserve">of asset and the amount added to the asset.  The decrease in CIP column should net to zero.    </t>
  </si>
  <si>
    <t>Type of Asset</t>
  </si>
  <si>
    <t>(i.e bldg, equip, etc)</t>
  </si>
  <si>
    <t xml:space="preserve">Did you record the newly constructed asset in the Fixed Asset System?  </t>
  </si>
  <si>
    <t>If no, list the asset, cost and an explanation below.</t>
  </si>
  <si>
    <t xml:space="preserve">Does your agency report Computer Software in Development? </t>
  </si>
  <si>
    <r>
      <t xml:space="preserve">If yes, provide the following information below and </t>
    </r>
    <r>
      <rPr>
        <b/>
        <sz val="10"/>
        <rFont val="Arial"/>
        <family val="2"/>
      </rPr>
      <t>complete the corresponding narrative, CIP/CSID for Capital Assets</t>
    </r>
    <r>
      <rPr>
        <sz val="10"/>
        <rFont val="Arial"/>
        <family val="2"/>
      </rPr>
      <t xml:space="preserve">. </t>
    </r>
  </si>
  <si>
    <t xml:space="preserve">Decrease </t>
  </si>
  <si>
    <t xml:space="preserve">Balance </t>
  </si>
  <si>
    <t>in CSID</t>
  </si>
  <si>
    <t>CSID</t>
  </si>
  <si>
    <t xml:space="preserve">Does your agency report Patents in Development?  </t>
  </si>
  <si>
    <t>If yes, provide the following information:</t>
  </si>
  <si>
    <t>PID</t>
  </si>
  <si>
    <t xml:space="preserve">If you had a decrease in computer software in development or patents in development for the fiscal year, you should have a corresponding </t>
  </si>
  <si>
    <t xml:space="preserve">increase in computer software or patents in the Fixed Asset System.  </t>
  </si>
  <si>
    <t xml:space="preserve">Did you record the newly created software or patent in the FAS for the current fiscal year? </t>
  </si>
  <si>
    <t>If no, list the software or patent, cost and an explanation below.</t>
  </si>
  <si>
    <t>202</t>
  </si>
  <si>
    <t/>
  </si>
  <si>
    <t>GOVERNMENT COMBINATIONS AND DISPOSALS OF GOVERNMENT OPERATIONS (120)</t>
  </si>
  <si>
    <t>GASB Statement 69 establishes accounting and financial reporting standards related to government</t>
  </si>
  <si>
    <t>combinations and disposals of government operations. Additional guidance is included as follows:</t>
  </si>
  <si>
    <t>Financial Reporting Update for GASB 69</t>
  </si>
  <si>
    <r>
      <t xml:space="preserve">As used in this Statement, the term </t>
    </r>
    <r>
      <rPr>
        <i/>
        <sz val="10"/>
        <rFont val="Arial"/>
        <family val="2"/>
      </rPr>
      <t>government combinations</t>
    </r>
    <r>
      <rPr>
        <sz val="10"/>
        <rFont val="Arial"/>
        <family val="2"/>
      </rPr>
      <t xml:space="preserve"> includes a variety of transactions referred to</t>
    </r>
  </si>
  <si>
    <t>as mergers, acquisitions, and transfers of operations.</t>
  </si>
  <si>
    <t>a.</t>
  </si>
  <si>
    <t xml:space="preserve">Government mergers include combinations of legally separate entities without the exchange of </t>
  </si>
  <si>
    <t>significant consideration.</t>
  </si>
  <si>
    <t>b.</t>
  </si>
  <si>
    <t>Government acquisitions are transactions in which a government acquires another entitiy,</t>
  </si>
  <si>
    <t>or its operations, in exchange for significant consideration.</t>
  </si>
  <si>
    <t>c.</t>
  </si>
  <si>
    <t xml:space="preserve">Transfers of operations are government combination involving the operations (as defined in paragraph 4 </t>
  </si>
  <si>
    <t>of GASB 69) of a government or nongovernmental entity, rather than a combination of legally separate</t>
  </si>
  <si>
    <t xml:space="preserve">entities, in which no significant consideration is exchanged. </t>
  </si>
  <si>
    <t>Did your agency/university complete a government merger, a government acquisition, a transfer of</t>
  </si>
  <si>
    <t>operations, or a disposal of operations during fiscal year 2023 (Indicate with an "X")?</t>
  </si>
  <si>
    <t xml:space="preserve">If the answer to the above question is "Yes", indicate the type(s) of government combination(s) or disposal of </t>
  </si>
  <si>
    <t>operations:</t>
  </si>
  <si>
    <t>(Indicate with an "X")</t>
  </si>
  <si>
    <t>Government merger</t>
  </si>
  <si>
    <t>Government acquisition</t>
  </si>
  <si>
    <t>Transfer of operations</t>
  </si>
  <si>
    <t>Disposal of operations</t>
  </si>
  <si>
    <t xml:space="preserve">GASB Statement 69 requires certain disclosures about an agency's government combinations and disposals of </t>
  </si>
  <si>
    <r>
      <t xml:space="preserve">government operations.  The required disclosures should be provided in the attached </t>
    </r>
    <r>
      <rPr>
        <b/>
        <u/>
        <sz val="10"/>
        <rFont val="Arial"/>
        <family val="2"/>
      </rPr>
      <t>Package Narratives</t>
    </r>
    <r>
      <rPr>
        <sz val="10"/>
        <rFont val="Arial"/>
        <family val="2"/>
      </rPr>
      <t>.</t>
    </r>
  </si>
  <si>
    <t>CHANGES  IN  CAPITAL ASSETS (201)</t>
  </si>
  <si>
    <t xml:space="preserve">NA - Agencies with governmental fund assets (GASB 5100) using NCAS Fixed Asset System </t>
  </si>
  <si>
    <t>NA - State Health Plan</t>
  </si>
  <si>
    <t>Function:</t>
  </si>
  <si>
    <t>General government</t>
  </si>
  <si>
    <t>GASB Fund No:</t>
  </si>
  <si>
    <t>Place cursor over cell D17 to view comment.</t>
  </si>
  <si>
    <t>Prior</t>
  </si>
  <si>
    <t>Current Year Assets Transferred In</t>
  </si>
  <si>
    <t>Decrease In</t>
  </si>
  <si>
    <t>Year</t>
  </si>
  <si>
    <t>Current Year</t>
  </si>
  <si>
    <t>Asset</t>
  </si>
  <si>
    <t>Assets</t>
  </si>
  <si>
    <t>Purchased</t>
  </si>
  <si>
    <t>Donated</t>
  </si>
  <si>
    <t>(Column must</t>
  </si>
  <si>
    <t>Description</t>
  </si>
  <si>
    <t>Adjustments</t>
  </si>
  <si>
    <t>Transferred Out</t>
  </si>
  <si>
    <t>Retirements</t>
  </si>
  <si>
    <t>Net to Zero)</t>
  </si>
  <si>
    <t>FCCS_OpeningBalanceAdjustment</t>
  </si>
  <si>
    <t>Mvmts_AssetsTransferredIn</t>
  </si>
  <si>
    <t>Mvmts_AssetsTransferredOut</t>
  </si>
  <si>
    <t>Mvmts_PurchasedAdditions</t>
  </si>
  <si>
    <t>Mvmts_DonatedAdditions</t>
  </si>
  <si>
    <t>Mvmts_Retirements</t>
  </si>
  <si>
    <t>Mvmts_DecreaseInCIP</t>
  </si>
  <si>
    <t>A</t>
  </si>
  <si>
    <t>B</t>
  </si>
  <si>
    <t>C</t>
  </si>
  <si>
    <t>D</t>
  </si>
  <si>
    <t>E</t>
  </si>
  <si>
    <t>F</t>
  </si>
  <si>
    <t>G</t>
  </si>
  <si>
    <t>H</t>
  </si>
  <si>
    <t>I</t>
  </si>
  <si>
    <t>Capital assets, non-depreciable:</t>
  </si>
  <si>
    <t>1.  Land  and permanent easements</t>
  </si>
  <si>
    <t>2.  Art, literature, and artifacts</t>
  </si>
  <si>
    <t>3.  Construction in progress</t>
  </si>
  <si>
    <t>3a</t>
  </si>
  <si>
    <t>3a. Computer software in development</t>
  </si>
  <si>
    <t>3b</t>
  </si>
  <si>
    <t>3b. Patents in development</t>
  </si>
  <si>
    <t>3c</t>
  </si>
  <si>
    <t>3c. Other intangible assets</t>
  </si>
  <si>
    <t>Capital assets, depreciable:</t>
  </si>
  <si>
    <t>4.  Buildings</t>
  </si>
  <si>
    <t>5.  Machinery and equipment</t>
  </si>
  <si>
    <t>6.  Art, literature, and artifacts</t>
  </si>
  <si>
    <t>7. General infrastructure</t>
  </si>
  <si>
    <t>8.  NC DOT Highway Network</t>
  </si>
  <si>
    <t>8a</t>
  </si>
  <si>
    <t>8a. NC Toll Road System</t>
  </si>
  <si>
    <t xml:space="preserve">9. Computer software   </t>
  </si>
  <si>
    <t xml:space="preserve">10.Patents  </t>
  </si>
  <si>
    <t>11.Other intangible assets</t>
  </si>
  <si>
    <t>Right to Use Lease assets, depreciable:</t>
  </si>
  <si>
    <t>12. Right to Use Lease Asset- Land  and permanent easements</t>
  </si>
  <si>
    <t>13. Right to Use Lease Asset- Buildings</t>
  </si>
  <si>
    <t>14. Right to Use Lease Asset- Machinery and equipment</t>
  </si>
  <si>
    <t>15. Right to Use Lease Asset- General Infrastructure</t>
  </si>
  <si>
    <t>Subscription assets, depreciable:</t>
  </si>
  <si>
    <t>16. Subscription Asset- Network</t>
  </si>
  <si>
    <t>New FY 2023</t>
  </si>
  <si>
    <t>17. Subscription Asset- Software</t>
  </si>
  <si>
    <t>Total Capital Assets</t>
  </si>
  <si>
    <t>Note:  If a proprietary fund has a prior year adjustment, the adjustment must be reported on the 430BTA Restatements worksheet and reflected in the financial statements as a restatement.</t>
  </si>
  <si>
    <t>For each individual project with a CIP, CSID, or PID balance of $25 million or more at 6/30/2023, complete the schedule in an attached "ACFR Package Narrative".  For all remaining</t>
  </si>
  <si>
    <t>projects below the threshold, provide a total of those projects on the narrative worksheet.</t>
  </si>
  <si>
    <t>Narrative NA for component units</t>
  </si>
  <si>
    <t>Errors:</t>
  </si>
  <si>
    <t>CAPITAL ASSETS RECONCILIATION CERTIFICATION (203)</t>
  </si>
  <si>
    <t>Do you agree with the ASSETSUM section of the FA Capital Asset Activity Report as of Fiscal Year End 2023?</t>
  </si>
  <si>
    <t xml:space="preserve">If you answered no to question 1, please refer to questions 2 and 3 below to provide adjustments. </t>
  </si>
  <si>
    <t>Adjustments will only be accepted if documentation is provided from the Fixed Asset System by</t>
  </si>
  <si>
    <t xml:space="preserve">August 25, 2023 showing that the adjustments have been entered in the Fixed Asset System. </t>
  </si>
  <si>
    <t xml:space="preserve">Did your agency have any prior year acquisitions, retirements, or cost adjustments that did not get reported in the Fixed Asset System </t>
  </si>
  <si>
    <t>during FY 2022 that were reported in the Fixed Asset System in FY 2023?</t>
  </si>
  <si>
    <t>If yes, list the FAS asset number, type of asset (i.e. land, bldg, equip, etc)  and the cost below:</t>
  </si>
  <si>
    <t>If you answered yes, the following reports from FAS can be used as documentation:</t>
  </si>
  <si>
    <t xml:space="preserve">FY 2023 FA500-A  Capital Asset Cost Adjustments Prior Year </t>
  </si>
  <si>
    <t xml:space="preserve">FY 2023 FA500-G  Capital Asset Prior Year Acquistion Report </t>
  </si>
  <si>
    <t>FAS Asset Number</t>
  </si>
  <si>
    <t xml:space="preserve">Type of Adjustment </t>
  </si>
  <si>
    <t>Cost</t>
  </si>
  <si>
    <r>
      <t xml:space="preserve">If yes, complete the column for </t>
    </r>
    <r>
      <rPr>
        <u/>
        <sz val="10"/>
        <rFont val="Arial"/>
        <family val="2"/>
      </rPr>
      <t xml:space="preserve">Capital Assets GASB 5100 </t>
    </r>
    <r>
      <rPr>
        <sz val="10"/>
        <rFont val="Arial"/>
        <family val="2"/>
      </rPr>
      <t xml:space="preserve">on worksheet 430G-Fund Equity Restatement. </t>
    </r>
  </si>
  <si>
    <t>Are there any material acquisitions, retirements or cost adjustments that should be reported in FY 2023 that did not get recorded in the</t>
  </si>
  <si>
    <t>Fixed asset System during FY 2023?</t>
  </si>
  <si>
    <t>If you answered yes, the following report from FAS can be used as documentation:</t>
  </si>
  <si>
    <t xml:space="preserve">FY 2024 FA500-K  Capital Asset Activity Report </t>
  </si>
  <si>
    <t>4)  Did your agency have any previous SBITA agreements already underway that were recorded as an intangible asset in FY 2023 as of 7/1/2022?</t>
  </si>
  <si>
    <t>.</t>
  </si>
  <si>
    <t xml:space="preserve"> If you answered yes, please provide the following information for the SBITA assets recorded in FY 2023.</t>
  </si>
  <si>
    <t>Type of SBITA Asset</t>
  </si>
  <si>
    <t>Cost- SBITA Asset 7/1/2022</t>
  </si>
  <si>
    <t>Total Cost of SBITA  Assets - SBITA Agreements</t>
  </si>
  <si>
    <t>*Restatement- SBITA Assets/SBITA Agreements</t>
  </si>
  <si>
    <t>* SBITA Asset cost related SBITA Agreements is the restatement amount to be reported on the ws 430G.</t>
  </si>
  <si>
    <r>
      <t xml:space="preserve">Please complete the column for </t>
    </r>
    <r>
      <rPr>
        <u/>
        <sz val="10"/>
        <rFont val="Arial"/>
        <family val="2"/>
      </rPr>
      <t xml:space="preserve">Capital Assets GASB 5100 </t>
    </r>
    <r>
      <rPr>
        <sz val="10"/>
        <rFont val="Arial"/>
        <family val="2"/>
      </rPr>
      <t xml:space="preserve">on worksheet 430G-Fund Equity Restatement. </t>
    </r>
  </si>
  <si>
    <t>Restatement Amount for SBITA Assets to be reported on WS 430G</t>
  </si>
  <si>
    <t xml:space="preserve">I hereby certify that we have verified the above FA Capital Asset Activity Report and reconciled the FY 2023 </t>
  </si>
  <si>
    <r>
      <t xml:space="preserve">capital assets for  </t>
    </r>
    <r>
      <rPr>
        <b/>
        <sz val="10"/>
        <color theme="1"/>
        <rFont val="Arial"/>
        <family val="2"/>
      </rPr>
      <t>[Insert agency name here.]</t>
    </r>
  </si>
  <si>
    <t>Printed Name</t>
  </si>
  <si>
    <t>Title</t>
  </si>
  <si>
    <t>Date</t>
  </si>
  <si>
    <t>ACCUMULATED DEPRECIATION (210)</t>
  </si>
  <si>
    <t>NA - State Health Plan and Agencies with governmental fund assets (GASB 5100) using NCAS Fixed Asset System</t>
  </si>
  <si>
    <t>No Function</t>
  </si>
  <si>
    <t>Place cursor over cell G14 to view comment.</t>
  </si>
  <si>
    <t>Accumulated</t>
  </si>
  <si>
    <t>Depreciation</t>
  </si>
  <si>
    <t>Prior Year</t>
  </si>
  <si>
    <t>Transfers</t>
  </si>
  <si>
    <t>In/Out</t>
  </si>
  <si>
    <t>Increases</t>
  </si>
  <si>
    <t>Decreases</t>
  </si>
  <si>
    <t>J</t>
  </si>
  <si>
    <t>K</t>
  </si>
  <si>
    <t>L</t>
  </si>
  <si>
    <t>M</t>
  </si>
  <si>
    <t>O</t>
  </si>
  <si>
    <t xml:space="preserve">8a. NC Toll Road System </t>
  </si>
  <si>
    <t>9. Computer software</t>
  </si>
  <si>
    <t>10.Patents</t>
  </si>
  <si>
    <t>Total  Accumulated Depreciation-Capital Assets</t>
  </si>
  <si>
    <t>For BTA's, the increase in accumulated depreciation should tie to depreciation expense on the 53P/operating statement.  If it doesn't, please provide</t>
  </si>
  <si>
    <t>an explanation for the difference.</t>
  </si>
  <si>
    <t>__________________________________________________________________________________________________________________________________</t>
  </si>
  <si>
    <t xml:space="preserve">If you have a current year adjustment to accumulated depreciation, place the adjustment in the appropriate accum depr increases/acc depr decreases columns.  Provide an explanation for the </t>
  </si>
  <si>
    <t>adjustment below.</t>
  </si>
  <si>
    <t xml:space="preserve">Note:  If a proprietary fund has a prior year adjustment, the adjustment must be reported on the 430BTA Restatements worksheet and reflected in the financial statements as a restatement.  </t>
  </si>
  <si>
    <t>CAPITAL ASSET IMPAIRMENTS (215)</t>
  </si>
  <si>
    <t>All funds</t>
  </si>
  <si>
    <t>Note:  This worksheet should only be completed by State agencies and</t>
  </si>
  <si>
    <t>Universities (i.e., N/A for all component units, except universities).</t>
  </si>
  <si>
    <t xml:space="preserve">GASB Statement No. 42 establishes accounting and financial reporting standards for impairment of </t>
  </si>
  <si>
    <r>
      <t xml:space="preserve">capital assets.  A capital asset is considered impaired when its service utility has declined </t>
    </r>
    <r>
      <rPr>
        <b/>
        <sz val="10"/>
        <rFont val="Arial"/>
        <family val="2"/>
      </rPr>
      <t>significantly</t>
    </r>
  </si>
  <si>
    <r>
      <rPr>
        <b/>
        <sz val="10"/>
        <rFont val="Arial"/>
        <family val="2"/>
      </rPr>
      <t>and unexpectedly</t>
    </r>
    <r>
      <rPr>
        <sz val="10"/>
        <rFont val="Arial"/>
        <family val="2"/>
      </rPr>
      <t>. Additional guidance is included in the Impairment of Capital Assets Policy:</t>
    </r>
  </si>
  <si>
    <t>NC OSC Policy 102.13</t>
  </si>
  <si>
    <r>
      <rPr>
        <b/>
        <u/>
        <sz val="10"/>
        <rFont val="Arial"/>
        <family val="2"/>
      </rPr>
      <t>Examples</t>
    </r>
    <r>
      <rPr>
        <sz val="10"/>
        <rFont val="Arial"/>
        <family val="2"/>
      </rPr>
      <t xml:space="preserve"> – Abandonment of a software project, prison closure, building damaged during a natural</t>
    </r>
  </si>
  <si>
    <t>disaster, mold remediation, and asbestos removal.</t>
  </si>
  <si>
    <t>If your agency has any impaired capital assets with material carrying values, provide the following:</t>
  </si>
  <si>
    <t>1.</t>
  </si>
  <si>
    <t>A general description of the impairment in attached "ACFR Package Narratives".</t>
  </si>
  <si>
    <t>2.</t>
  </si>
  <si>
    <t>The carrying amount of impaired capital assets that were idle at year-end,</t>
  </si>
  <si>
    <t>regardless of whether the impairment is considered permanent or temporary.</t>
  </si>
  <si>
    <r>
      <t xml:space="preserve">(Note: </t>
    </r>
    <r>
      <rPr>
        <i/>
        <sz val="10"/>
        <rFont val="Arial"/>
        <family val="2"/>
      </rPr>
      <t>For governmental activities, provide historical cost</t>
    </r>
    <r>
      <rPr>
        <sz val="10"/>
        <rFont val="Arial"/>
        <family val="2"/>
      </rPr>
      <t>)</t>
    </r>
  </si>
  <si>
    <t>3.</t>
  </si>
  <si>
    <t>For right to use leased assets - disclose the impairment loss and any related change</t>
  </si>
  <si>
    <t xml:space="preserve"> in the lease liability in the attached "ACFR Package Narratives".</t>
  </si>
  <si>
    <t>4.</t>
  </si>
  <si>
    <t>For SBITA assets - disclose the impairment loss and any related change</t>
  </si>
  <si>
    <t xml:space="preserve"> in the subscription liability in the attached "ACFR Package Narratives".</t>
  </si>
  <si>
    <r>
      <t>Primary Government Only</t>
    </r>
    <r>
      <rPr>
        <sz val="10"/>
        <rFont val="Arial"/>
        <family val="2"/>
      </rPr>
      <t xml:space="preserve"> (</t>
    </r>
    <r>
      <rPr>
        <i/>
        <sz val="10"/>
        <rFont val="Arial"/>
        <family val="2"/>
      </rPr>
      <t>State Agencies</t>
    </r>
    <r>
      <rPr>
        <sz val="10"/>
        <rFont val="Arial"/>
        <family val="2"/>
      </rPr>
      <t>)</t>
    </r>
  </si>
  <si>
    <t>5.</t>
  </si>
  <si>
    <r>
      <t>(a)  The historical cost of impaired capital assets (</t>
    </r>
    <r>
      <rPr>
        <i/>
        <sz val="10"/>
        <rFont val="Arial"/>
        <family val="2"/>
      </rPr>
      <t xml:space="preserve">include any </t>
    </r>
  </si>
  <si>
    <r>
      <t>additions and improvements</t>
    </r>
    <r>
      <rPr>
        <sz val="10"/>
        <rFont val="Arial"/>
        <family val="2"/>
      </rPr>
      <t>).</t>
    </r>
  </si>
  <si>
    <r>
      <t>(b)  Less: Accumulated depreciation (</t>
    </r>
    <r>
      <rPr>
        <i/>
        <sz val="10"/>
        <rFont val="Arial"/>
        <family val="2"/>
      </rPr>
      <t>Proprietary funds only</t>
    </r>
    <r>
      <rPr>
        <sz val="10"/>
        <rFont val="Arial"/>
        <family val="2"/>
      </rPr>
      <t>) (enter as negative).</t>
    </r>
  </si>
  <si>
    <t>(c)  Carrying value of impaired capital assets.</t>
  </si>
  <si>
    <t>6.</t>
  </si>
  <si>
    <t>The amount of insurance recoveries recognized during the fiscal year</t>
  </si>
  <si>
    <t>that were associated with impaired capital assets.</t>
  </si>
  <si>
    <t>Universities Only:</t>
  </si>
  <si>
    <t>7.</t>
  </si>
  <si>
    <r>
      <t>(a)  The gross amount of impairment losses on capital assets (</t>
    </r>
    <r>
      <rPr>
        <i/>
        <sz val="10"/>
        <rFont val="Arial"/>
        <family val="2"/>
      </rPr>
      <t>the portion</t>
    </r>
  </si>
  <si>
    <t>of historical cost that was written off).</t>
  </si>
  <si>
    <t>(b)  Less: The amount of insurance recoveries to be netted against above.</t>
  </si>
  <si>
    <t xml:space="preserve">      (enter as negative).</t>
  </si>
  <si>
    <t>(c)  Net impairment loss (or gain) recognized during the fiscal year.</t>
  </si>
  <si>
    <t>8.</t>
  </si>
  <si>
    <t xml:space="preserve">The amount of any insurance recoveries not netted against impairment </t>
  </si>
  <si>
    <r>
      <t xml:space="preserve">losses and recognized as </t>
    </r>
    <r>
      <rPr>
        <u/>
        <sz val="10"/>
        <rFont val="Arial"/>
        <family val="2"/>
      </rPr>
      <t>nonoperating revenues</t>
    </r>
    <r>
      <rPr>
        <sz val="10"/>
        <rFont val="Arial"/>
        <family val="2"/>
      </rPr>
      <t>.</t>
    </r>
  </si>
  <si>
    <t>9.</t>
  </si>
  <si>
    <r>
      <t xml:space="preserve">losses and recognized as </t>
    </r>
    <r>
      <rPr>
        <u/>
        <sz val="10"/>
        <rFont val="Arial"/>
        <family val="2"/>
      </rPr>
      <t>extraordinary items</t>
    </r>
    <r>
      <rPr>
        <sz val="10"/>
        <rFont val="Arial"/>
        <family val="2"/>
      </rPr>
      <t>.</t>
    </r>
  </si>
  <si>
    <t>Disclosures:</t>
  </si>
  <si>
    <t>GASB Statement No. 42 requires certain disclosures about an agency's impaired capital assets. The required</t>
  </si>
  <si>
    <r>
      <t>disclosures should be provided in the attached ACFR</t>
    </r>
    <r>
      <rPr>
        <b/>
        <u/>
        <sz val="10"/>
        <rFont val="Arial"/>
        <family val="2"/>
      </rPr>
      <t xml:space="preserve"> Package Narratives</t>
    </r>
    <r>
      <rPr>
        <sz val="10"/>
        <rFont val="Arial"/>
        <family val="2"/>
      </rPr>
      <t>.</t>
    </r>
  </si>
  <si>
    <t xml:space="preserve">CAPITAL ASSET STATISTICS (220) </t>
  </si>
  <si>
    <t>Instructions to complete this worksheet:</t>
  </si>
  <si>
    <r>
      <t>Please locate your agency below and fill in the requested information (</t>
    </r>
    <r>
      <rPr>
        <b/>
        <u/>
        <sz val="10"/>
        <rFont val="Arial"/>
        <family val="2"/>
      </rPr>
      <t>not dollar values</t>
    </r>
    <r>
      <rPr>
        <sz val="10"/>
        <rFont val="Arial"/>
        <family val="2"/>
      </rPr>
      <t>).</t>
    </r>
  </si>
  <si>
    <t>Entity</t>
  </si>
  <si>
    <t>Account</t>
  </si>
  <si>
    <t>FS</t>
  </si>
  <si>
    <t>Function</t>
  </si>
  <si>
    <t>Budget Code</t>
  </si>
  <si>
    <t xml:space="preserve">Primary Government </t>
  </si>
  <si>
    <t>Number of buildings</t>
  </si>
  <si>
    <t>All GASB Funds</t>
  </si>
  <si>
    <t>Gen Gov</t>
  </si>
  <si>
    <t>Y</t>
  </si>
  <si>
    <t>Number of parking lots</t>
  </si>
  <si>
    <t>Number of parking spaces</t>
  </si>
  <si>
    <t xml:space="preserve">Number of Motor Fleet vehicles </t>
  </si>
  <si>
    <t>Number of Motor Fleet vehicles</t>
  </si>
  <si>
    <t>Number of Mental Health Institutions</t>
  </si>
  <si>
    <t>No FS</t>
  </si>
  <si>
    <t>HHS</t>
  </si>
  <si>
    <t>Number of certified beds</t>
  </si>
  <si>
    <t>Number of state park lands</t>
  </si>
  <si>
    <t>ENR</t>
  </si>
  <si>
    <t>Acres of state park lands</t>
  </si>
  <si>
    <t>Number of state recreation areas</t>
  </si>
  <si>
    <t>Acres of state recreation areas</t>
  </si>
  <si>
    <t>Number of state natural areas</t>
  </si>
  <si>
    <t>Acres of state natural areas</t>
  </si>
  <si>
    <t>Number of state lakes</t>
  </si>
  <si>
    <t>Acres of state lakes</t>
  </si>
  <si>
    <t>Number of zoo animals</t>
  </si>
  <si>
    <t xml:space="preserve">Number of vehicles </t>
  </si>
  <si>
    <t>Number of vehicles</t>
  </si>
  <si>
    <t>Number of boats/trailers</t>
  </si>
  <si>
    <t>Number of aircraft</t>
  </si>
  <si>
    <t>Number of scientific equipment</t>
  </si>
  <si>
    <t>Number of Game Lands</t>
  </si>
  <si>
    <t>Acres of Game Lands</t>
  </si>
  <si>
    <t>Number of close security prisons</t>
  </si>
  <si>
    <t>Public Safety</t>
  </si>
  <si>
    <t>Number of medium security prisons</t>
  </si>
  <si>
    <t>Number of minimum security prisons</t>
  </si>
  <si>
    <t>Number of Adult Correction Vehicles:</t>
  </si>
  <si>
    <t xml:space="preserve">     Passenger/Cargo vans</t>
  </si>
  <si>
    <t>Passenger/Cargo vans</t>
  </si>
  <si>
    <t>Adult Correction Vehicles</t>
  </si>
  <si>
    <t xml:space="preserve">     Inmate transfer vans/buses</t>
  </si>
  <si>
    <t>Inmate transfer vans/buses</t>
  </si>
  <si>
    <t xml:space="preserve">     Inmate workcrew vans/buses</t>
  </si>
  <si>
    <t>Inmate workcrew vans/buses</t>
  </si>
  <si>
    <t xml:space="preserve">     Pickup trucks</t>
  </si>
  <si>
    <t>Pickup trucks</t>
  </si>
  <si>
    <t xml:space="preserve">     Roving patrol pickups</t>
  </si>
  <si>
    <t>Roving patrol pickups</t>
  </si>
  <si>
    <t xml:space="preserve">     One ton maintenance trucks</t>
  </si>
  <si>
    <t>One ton maintenance trucks</t>
  </si>
  <si>
    <t xml:space="preserve">     Other/Specialty trucks</t>
  </si>
  <si>
    <t>Other/Specialty trucks</t>
  </si>
  <si>
    <t>Number of Enterprise vehicles:</t>
  </si>
  <si>
    <t>Enterprise Vehicles</t>
  </si>
  <si>
    <t xml:space="preserve">     Inmate workcrew buses</t>
  </si>
  <si>
    <t>Inmate workcrew buses</t>
  </si>
  <si>
    <t xml:space="preserve">Department of Public Safety </t>
  </si>
  <si>
    <t>Youth facilities</t>
  </si>
  <si>
    <t>Number of vehicles:</t>
  </si>
  <si>
    <t>Alcohol Law Enforcement</t>
  </si>
  <si>
    <t xml:space="preserve">     Cars/SUV's</t>
  </si>
  <si>
    <t>Cars/SUV's</t>
  </si>
  <si>
    <t>Alcohol Law Enforcement Vehicles</t>
  </si>
  <si>
    <t>State Highway Patrol</t>
  </si>
  <si>
    <t xml:space="preserve">     Cars</t>
  </si>
  <si>
    <t>Cars</t>
  </si>
  <si>
    <t>State Highway Patrol Vehicles</t>
  </si>
  <si>
    <t xml:space="preserve">     Trucks/Vans</t>
  </si>
  <si>
    <t>Trucks/Vans</t>
  </si>
  <si>
    <t xml:space="preserve">     Motorcycles</t>
  </si>
  <si>
    <t>Motorcycles</t>
  </si>
  <si>
    <t>State Bureau of Investigation</t>
  </si>
  <si>
    <t>State Bureau of Investigation Vehicles</t>
  </si>
  <si>
    <t>Air Craft:</t>
  </si>
  <si>
    <t xml:space="preserve">     Helicopters</t>
  </si>
  <si>
    <t>Helicopters</t>
  </si>
  <si>
    <t>State Highway Patrol Aircraft</t>
  </si>
  <si>
    <t>Transportation</t>
  </si>
  <si>
    <t>Department of Transportation</t>
  </si>
  <si>
    <t>Infrastructure Assets:</t>
  </si>
  <si>
    <t xml:space="preserve">     Pavement (in lane-miles):</t>
  </si>
  <si>
    <t xml:space="preserve">          Primary subsystem</t>
  </si>
  <si>
    <t>Primary subsystem</t>
  </si>
  <si>
    <t>Infrastructure Assets</t>
  </si>
  <si>
    <t>Trans</t>
  </si>
  <si>
    <t xml:space="preserve">         Secondary subsystem</t>
  </si>
  <si>
    <t>Secondary subsystem</t>
  </si>
  <si>
    <t xml:space="preserve">    Bridges:</t>
  </si>
  <si>
    <t xml:space="preserve">         Number of bridges</t>
  </si>
  <si>
    <t>Number of bridges</t>
  </si>
  <si>
    <t>Bridges</t>
  </si>
  <si>
    <t xml:space="preserve">         Number of culverts</t>
  </si>
  <si>
    <t>Number of culverts</t>
  </si>
  <si>
    <t xml:space="preserve">    Vehicles</t>
  </si>
  <si>
    <t>Vehicles</t>
  </si>
  <si>
    <t xml:space="preserve">    Heavy Equipment</t>
  </si>
  <si>
    <t>Heavy Equipment</t>
  </si>
  <si>
    <t>Component Units</t>
  </si>
  <si>
    <t>Community Colleges</t>
  </si>
  <si>
    <t>Higher Ed</t>
  </si>
  <si>
    <t>Universities</t>
  </si>
  <si>
    <t>Number of academic/administrative buildings</t>
  </si>
  <si>
    <t>Number of dormitories/auxiliary buildings</t>
  </si>
  <si>
    <t>Number of medical school buildings - East Carolina Only</t>
  </si>
  <si>
    <t>University system hospitals (UNC HealthCare)</t>
  </si>
  <si>
    <t xml:space="preserve">     Number of administration buildings</t>
  </si>
  <si>
    <t>Number of administration buildings</t>
  </si>
  <si>
    <t xml:space="preserve">     Number of clinical buildings</t>
  </si>
  <si>
    <t>Number of clinical buildings</t>
  </si>
  <si>
    <t xml:space="preserve">     Number of facility services</t>
  </si>
  <si>
    <t>Number of facility services</t>
  </si>
  <si>
    <t xml:space="preserve">     Number of hospitals</t>
  </si>
  <si>
    <t>Number of hospitals</t>
  </si>
  <si>
    <t>LEASES  (301)</t>
  </si>
  <si>
    <t>NA for Component Units, except Universities</t>
  </si>
  <si>
    <t xml:space="preserve">Per GASB 87, Leases are no longer classified as operating or capital.  </t>
  </si>
  <si>
    <t>A lease is defined as a contract that conveys control of the right to use another entity's non-financial asset as specified</t>
  </si>
  <si>
    <t>in a contract for a period of time in an exchange or an exchange-like transaction.  Leasing Arrangements as defined</t>
  </si>
  <si>
    <t>by GASB 87 are financings of the right to use leased asset.</t>
  </si>
  <si>
    <t>– Report leases in Governmental Funds (1XXX to 13XX) and Internal Service Funds (GASB 27XX) as Governmental Activities.</t>
  </si>
  <si>
    <t>Note: Internal service funds are considered Governmental activities for Government-wide presentation for the Annual Report.</t>
  </si>
  <si>
    <t>– Report leases in Enterprise Funds (GASB 25XX) and Universities (GASB 4XXX) under Business-Type Activities.</t>
  </si>
  <si>
    <t>– The lease liability reported by the University in the University Foundations column should agree with the</t>
  </si>
  <si>
    <t xml:space="preserve">   lease payable reported by the University foundation on the foundation template.</t>
  </si>
  <si>
    <t>I.</t>
  </si>
  <si>
    <t>Lessee:</t>
  </si>
  <si>
    <t>Complete the following schedule for required lease disclosures:</t>
  </si>
  <si>
    <t>GovtAct</t>
  </si>
  <si>
    <t>BTAAct</t>
  </si>
  <si>
    <t>UnivFounds</t>
  </si>
  <si>
    <t>Lease</t>
  </si>
  <si>
    <t>Principal_Lease</t>
  </si>
  <si>
    <t>Interest_Lease</t>
  </si>
  <si>
    <t>Payments</t>
  </si>
  <si>
    <t>Governmental Activities</t>
  </si>
  <si>
    <t>Business-Type Activities</t>
  </si>
  <si>
    <t>University Foundations</t>
  </si>
  <si>
    <t>for Fiscal Year</t>
  </si>
  <si>
    <t xml:space="preserve">Principal </t>
  </si>
  <si>
    <t xml:space="preserve">Interest </t>
  </si>
  <si>
    <t>CLGA</t>
  </si>
  <si>
    <t>CLBTA</t>
  </si>
  <si>
    <t>UF</t>
  </si>
  <si>
    <t>Op</t>
  </si>
  <si>
    <t>Y1</t>
  </si>
  <si>
    <t>Cap</t>
  </si>
  <si>
    <t>Y2</t>
  </si>
  <si>
    <t>Y3</t>
  </si>
  <si>
    <t>Y4</t>
  </si>
  <si>
    <t>Y5</t>
  </si>
  <si>
    <t>Y6-Y10</t>
  </si>
  <si>
    <t>Y11-Y15</t>
  </si>
  <si>
    <t>Y16-Y20</t>
  </si>
  <si>
    <t>Y21-Y25</t>
  </si>
  <si>
    <t>Y26-Y30</t>
  </si>
  <si>
    <t>Y31-Y35</t>
  </si>
  <si>
    <t>Y36-Y39</t>
  </si>
  <si>
    <t>Y40-Y44</t>
  </si>
  <si>
    <t>Y45-Y49</t>
  </si>
  <si>
    <t>Y50-Beyond</t>
  </si>
  <si>
    <t xml:space="preserve">Total </t>
  </si>
  <si>
    <t xml:space="preserve">    *Lease Liability (Principal)</t>
  </si>
  <si>
    <t>*  NOTE:</t>
  </si>
  <si>
    <t>These balances must agree to Leases Liability on the balance sheet.</t>
  </si>
  <si>
    <t>(1)</t>
  </si>
  <si>
    <r>
      <rPr>
        <b/>
        <u/>
        <sz val="10"/>
        <rFont val="Arial Narrow"/>
        <family val="2"/>
      </rPr>
      <t>Universities Only</t>
    </r>
    <r>
      <rPr>
        <sz val="10"/>
        <rFont val="Arial Narrow"/>
        <family val="2"/>
      </rPr>
      <t xml:space="preserve">: Leases of discretely presented component unit foundations should be reported separately in the "University Foundations" column.  </t>
    </r>
  </si>
  <si>
    <t>The total of the "Business-type Activities" and the "University Foundations" columns must agree to Leases Liability on the balance sheet.</t>
  </si>
  <si>
    <r>
      <t>Additional disclosures are required in the attached</t>
    </r>
    <r>
      <rPr>
        <b/>
        <u/>
        <sz val="9.75"/>
        <rFont val="Arial"/>
        <family val="2"/>
      </rPr>
      <t xml:space="preserve"> ACFR Package Narratives</t>
    </r>
    <r>
      <rPr>
        <b/>
        <sz val="9.75"/>
        <rFont val="Arial"/>
        <family val="2"/>
      </rPr>
      <t xml:space="preserve"> for yes responses provided. </t>
    </r>
  </si>
  <si>
    <t xml:space="preserve">Do you have a lease with a component unit of the State? </t>
  </si>
  <si>
    <t xml:space="preserve">                                       Yes</t>
  </si>
  <si>
    <t xml:space="preserve">No </t>
  </si>
  <si>
    <r>
      <t xml:space="preserve">If yes, provide the component unit the lease is with and the amount of the lease along with the required disclosure in the attached </t>
    </r>
    <r>
      <rPr>
        <b/>
        <u/>
        <sz val="10"/>
        <rFont val="Arial"/>
        <family val="2"/>
      </rPr>
      <t>ACFR Package Narratives.</t>
    </r>
    <r>
      <rPr>
        <b/>
        <sz val="10"/>
        <rFont val="Arial"/>
        <family val="2"/>
      </rPr>
      <t xml:space="preserve"> </t>
    </r>
  </si>
  <si>
    <t xml:space="preserve">Component Unit/ lease amount </t>
  </si>
  <si>
    <t>Confirm lease liability reported on line 55 above with the Lessor's lease receivable.</t>
  </si>
  <si>
    <t>Contact Name/email</t>
  </si>
  <si>
    <t xml:space="preserve">Date Confirmed </t>
  </si>
  <si>
    <t xml:space="preserve">Component units only - Do you have a lease with a primary government agency of the State? </t>
  </si>
  <si>
    <t xml:space="preserve">   Yes</t>
  </si>
  <si>
    <r>
      <t xml:space="preserve">If yes, provide the primary government agency the lease is with and the amount of the lease along with the required disclosure in the attached </t>
    </r>
    <r>
      <rPr>
        <b/>
        <u/>
        <sz val="10"/>
        <rFont val="Arial"/>
        <family val="2"/>
      </rPr>
      <t>ACFR Package Narratives</t>
    </r>
    <r>
      <rPr>
        <b/>
        <sz val="10"/>
        <rFont val="Arial"/>
        <family val="2"/>
      </rPr>
      <t xml:space="preserve">. </t>
    </r>
  </si>
  <si>
    <t xml:space="preserve">Primary government agency/lease amount </t>
  </si>
  <si>
    <t>Confirm lease liability reported on line 62 above with the Lessor's lease receivable.</t>
  </si>
  <si>
    <t>II.</t>
  </si>
  <si>
    <t>Lessor:</t>
  </si>
  <si>
    <t xml:space="preserve">Did you report lease receivables in your financial statements?  </t>
  </si>
  <si>
    <t xml:space="preserve">                                         Yes</t>
  </si>
  <si>
    <r>
      <t xml:space="preserve">If yes, additional disclosures are required in the attached </t>
    </r>
    <r>
      <rPr>
        <b/>
        <u/>
        <sz val="9.75"/>
        <rFont val="Arial"/>
        <family val="2"/>
      </rPr>
      <t>ACFR Package Narratives</t>
    </r>
    <r>
      <rPr>
        <b/>
        <sz val="9.75"/>
        <rFont val="Arial"/>
        <family val="2"/>
      </rPr>
      <t xml:space="preserve">. </t>
    </r>
  </si>
  <si>
    <t xml:space="preserve">Do you have a lease receivable with a component unit of the State? </t>
  </si>
  <si>
    <t xml:space="preserve">                            Yes</t>
  </si>
  <si>
    <r>
      <t xml:space="preserve">If yes, provide the component unit the lease receivable is with and the amount of the receivable along with the required disclosure in the attached </t>
    </r>
    <r>
      <rPr>
        <b/>
        <u/>
        <sz val="10"/>
        <rFont val="Arial"/>
        <family val="2"/>
      </rPr>
      <t>ACFR Package Narratives</t>
    </r>
    <r>
      <rPr>
        <b/>
        <sz val="10"/>
        <rFont val="Arial"/>
        <family val="2"/>
      </rPr>
      <t xml:space="preserve">. </t>
    </r>
  </si>
  <si>
    <t xml:space="preserve">Component Unit /lease receivable amount </t>
  </si>
  <si>
    <t>Confirm lease receivable reported on line 76 above with the Lessee's lease liability.</t>
  </si>
  <si>
    <t xml:space="preserve">Component units only -Do you have a lease receivable with a primary government agency of the State? </t>
  </si>
  <si>
    <r>
      <t xml:space="preserve">If yes, provide the primary government agency the lease receivable is with and the amount of the lease receivable along with the required disclosure in the attached </t>
    </r>
    <r>
      <rPr>
        <b/>
        <u/>
        <sz val="10"/>
        <color theme="1"/>
        <rFont val="Arial"/>
        <family val="2"/>
      </rPr>
      <t xml:space="preserve">ACFR Package Narratives. </t>
    </r>
  </si>
  <si>
    <t xml:space="preserve">Primary government agency/ lease receivable amt </t>
  </si>
  <si>
    <t>Confirm lease receivable reported on line 83 above with the Lessee's lease liability.</t>
  </si>
  <si>
    <t>Subscription Based Information Technology Arrangements - SBITAs  (302)</t>
  </si>
  <si>
    <r>
      <t xml:space="preserve">  </t>
    </r>
    <r>
      <rPr>
        <b/>
        <i/>
        <sz val="10"/>
        <color rgb="FFFF0000"/>
        <rFont val="Arial"/>
        <family val="2"/>
      </rPr>
      <t>New FY 2023</t>
    </r>
  </si>
  <si>
    <t>Per GASB 96, a SBITA is a contract that conveys control of the right to use another party's (a SBITA vendor's  IT software, alone or in a combination with tangible capital assets (the underlying IT assets), as specified in the contract for a period of time in an exchange or an exchange-like transaction.</t>
  </si>
  <si>
    <t>– Report SBITAS in Governmental Funds (1XXX to 13XX) and Internal Service Funds (GASB 27XX) as Governmental Activities.</t>
  </si>
  <si>
    <t>– Report SBITAS in Enterprise Funds (GASB 25XX) and Universities (GASB 4XXX) under Business-Type Activities.</t>
  </si>
  <si>
    <t>–The subscription liability reported by the University in the University Foundations column should agree with the subscription liability reported by the University Foundation on the Foundation template.</t>
  </si>
  <si>
    <t>Complete the following schedule for required SBITA disclosures:</t>
  </si>
  <si>
    <t>SBITA</t>
  </si>
  <si>
    <t>Principal_SBITAs</t>
  </si>
  <si>
    <t>Interest_SBITAs</t>
  </si>
  <si>
    <t>Total</t>
  </si>
  <si>
    <t xml:space="preserve">*Subscription Liability (Principal) </t>
  </si>
  <si>
    <t xml:space="preserve">  NOTE:</t>
  </si>
  <si>
    <t>These balances must agree to Subscription (SBITA) Liability on the balance sheet.</t>
  </si>
  <si>
    <r>
      <rPr>
        <b/>
        <u/>
        <sz val="10"/>
        <rFont val="Arial Narrow"/>
        <family val="2"/>
      </rPr>
      <t>Universities Only</t>
    </r>
    <r>
      <rPr>
        <sz val="10"/>
        <rFont val="Arial Narrow"/>
        <family val="2"/>
      </rPr>
      <t xml:space="preserve">: SBITA of discretely presented component unit foundations should be reported separately in the "University Foundations" column.  </t>
    </r>
  </si>
  <si>
    <t>The total of the "Business-type Activities" and the "University Foundations" columns must agree to Subscription Liability on the balance sheet.</t>
  </si>
  <si>
    <r>
      <t>Additional disclosures are required in the attached</t>
    </r>
    <r>
      <rPr>
        <b/>
        <u/>
        <sz val="9.75"/>
        <rFont val="Arial"/>
        <family val="2"/>
      </rPr>
      <t xml:space="preserve"> ACFR Package Narratives</t>
    </r>
    <r>
      <rPr>
        <b/>
        <sz val="9.75"/>
        <rFont val="Arial"/>
        <family val="2"/>
      </rPr>
      <t xml:space="preserve">. </t>
    </r>
  </si>
  <si>
    <t xml:space="preserve">Summary Table for LEASES and SBITAS  (303)   </t>
  </si>
  <si>
    <t>FCCS Entity:</t>
  </si>
  <si>
    <t>I. Leasing arrangements at June 30, 2023, please summarize below (excluding short-term leases):</t>
  </si>
  <si>
    <t>Rec/Liab Total</t>
  </si>
  <si>
    <t>Rec/Liab Current</t>
  </si>
  <si>
    <t>Terms Years Lowest</t>
  </si>
  <si>
    <t>Terms Years Highest</t>
  </si>
  <si>
    <t>Interest Rate Lowest</t>
  </si>
  <si>
    <t>Interest Rate Highest</t>
  </si>
  <si>
    <t>Receivable</t>
  </si>
  <si>
    <t>Lease Terms</t>
  </si>
  <si>
    <t>(Liability)</t>
  </si>
  <si>
    <t>Current</t>
  </si>
  <si>
    <t>In Years</t>
  </si>
  <si>
    <t>Interest Rate</t>
  </si>
  <si>
    <t>Classification:</t>
  </si>
  <si>
    <t>June 30, 2023</t>
  </si>
  <si>
    <t>Portion</t>
  </si>
  <si>
    <t>Lowest End of Term</t>
  </si>
  <si>
    <t>Highest End of Term</t>
  </si>
  <si>
    <t>Lowest</t>
  </si>
  <si>
    <t>Right-to-Use Land</t>
  </si>
  <si>
    <t>$</t>
  </si>
  <si>
    <t>Lessee RTU Land</t>
  </si>
  <si>
    <t>Right-to-Use Buildings</t>
  </si>
  <si>
    <t>Lessee RTU Buildings</t>
  </si>
  <si>
    <t>Right-to-Use Machinery and Equipment</t>
  </si>
  <si>
    <t>Lessee RTU Mach and Equip</t>
  </si>
  <si>
    <t>Right-to-Use General Infrastructure</t>
  </si>
  <si>
    <t>Lessee RTU Gen Infrastructure</t>
  </si>
  <si>
    <t xml:space="preserve">Lessee Totals in Column F and Column H must agree to the June 30, 2023 balance on the worksheet (305/310). </t>
  </si>
  <si>
    <t>Lessor RTU Land</t>
  </si>
  <si>
    <t>Lessor RTU Buildings</t>
  </si>
  <si>
    <t>Lessor RTU Mach and Equip</t>
  </si>
  <si>
    <t>Lessor RTU Gen Infrastructure</t>
  </si>
  <si>
    <t>Lessor Totals in Column F and Column H must agree to the Lease Receivable Amounts as reported in your Financials.</t>
  </si>
  <si>
    <t>II. Subscription Based Information Technolgy Arrangements (SBITA) at June 30, 2023, please summarize below (excluding short-term arrangements):</t>
  </si>
  <si>
    <t>Subscription Asset</t>
  </si>
  <si>
    <t>Subscription Terms</t>
  </si>
  <si>
    <t xml:space="preserve">Subscription Asset - Network </t>
  </si>
  <si>
    <t>SBITA Lessee Network</t>
  </si>
  <si>
    <t xml:space="preserve">Subscription Asset - Software </t>
  </si>
  <si>
    <t>SBITA Lessee Software</t>
  </si>
  <si>
    <t>CHANGES IN LONG-TERM LIABILITIES AND SHORT-TERM DEBT (305)</t>
  </si>
  <si>
    <t>GOVERNMENTAL ACTIVITIES</t>
  </si>
  <si>
    <t>Due Within</t>
  </si>
  <si>
    <t>Deletions</t>
  </si>
  <si>
    <t>One Year</t>
  </si>
  <si>
    <t>Mvmts_LTDAdditions</t>
  </si>
  <si>
    <t>Mvmts_LTDDeletions</t>
  </si>
  <si>
    <t>FCCS_No Movement</t>
  </si>
  <si>
    <t>Bonds and similar debt payable:</t>
  </si>
  <si>
    <t>General obligation bonds</t>
  </si>
  <si>
    <t>GARVEE bonds</t>
  </si>
  <si>
    <t>Direct placements</t>
  </si>
  <si>
    <t>Certificates of participation</t>
  </si>
  <si>
    <t>Limited obligation bonds</t>
  </si>
  <si>
    <t>Issuance discounts</t>
  </si>
  <si>
    <t>Issuance premium</t>
  </si>
  <si>
    <t>Arbitrage rebate payable</t>
  </si>
  <si>
    <t>Death benefit payable</t>
  </si>
  <si>
    <t>Workers compensation</t>
  </si>
  <si>
    <t>Notes from direct borrowings</t>
  </si>
  <si>
    <t>Lease liability</t>
  </si>
  <si>
    <t>Subscription (SBITA) liability</t>
  </si>
  <si>
    <t>Pollution remediation payable</t>
  </si>
  <si>
    <t>Asset retirement obligation</t>
  </si>
  <si>
    <t>Compensated absences (Gen. Assembly only)</t>
  </si>
  <si>
    <t>Cost settlement payable</t>
  </si>
  <si>
    <r>
      <t>Other</t>
    </r>
    <r>
      <rPr>
        <sz val="8"/>
        <rFont val="Arial Narrow"/>
        <family val="2"/>
      </rPr>
      <t xml:space="preserve"> (Call OSC/describe in Explanations tab)</t>
    </r>
  </si>
  <si>
    <r>
      <t xml:space="preserve">Accrued interest </t>
    </r>
    <r>
      <rPr>
        <sz val="8"/>
        <rFont val="Arial"/>
        <family val="2"/>
      </rPr>
      <t>(</t>
    </r>
    <r>
      <rPr>
        <sz val="8"/>
        <rFont val="Arial Narrow"/>
        <family val="2"/>
      </rPr>
      <t>Bonds, notes, leases, SBITA)</t>
    </r>
  </si>
  <si>
    <t>Short-term debt:
   Revolving line of credit</t>
  </si>
  <si>
    <t>Commercial paper</t>
  </si>
  <si>
    <t>ST_NotesDtBorrowings</t>
  </si>
  <si>
    <t>ST_DtPlacements</t>
  </si>
  <si>
    <t>Anticipation notes</t>
  </si>
  <si>
    <r>
      <t xml:space="preserve">For each type of short-term debt, describe the debt activity and the purpose for which the debt was issued in an attached </t>
    </r>
    <r>
      <rPr>
        <b/>
        <sz val="9"/>
        <rFont val="Arial"/>
        <family val="2"/>
      </rPr>
      <t>"ACFR Package Narratives".</t>
    </r>
  </si>
  <si>
    <t>Bonds &amp; similar debt Payable amounts per column [E] agree to 11G?</t>
  </si>
  <si>
    <t>*Due Within One Year(Column O &amp; U) Not required for Agency Load</t>
  </si>
  <si>
    <t>CHANGES IN LONG-TERM LIABILITIES AND SHORT-TERM DEBT (310)</t>
  </si>
  <si>
    <t>BUSINESS TYPE ACTIVITIES</t>
  </si>
  <si>
    <t xml:space="preserve">NA for State Health Plan </t>
  </si>
  <si>
    <t>N/A for GASB 3XXX</t>
  </si>
  <si>
    <t>Place cursor over cell E14 to view comment.</t>
  </si>
  <si>
    <t>Revenue bonds</t>
  </si>
  <si>
    <t>Annuity and life income payable</t>
  </si>
  <si>
    <t>Federal unemployment a/c advances</t>
  </si>
  <si>
    <t>Compensated absences</t>
  </si>
  <si>
    <t>Net pension liability</t>
  </si>
  <si>
    <t>Net OPEB liability</t>
  </si>
  <si>
    <t>Liability insurance trust fund payable</t>
  </si>
  <si>
    <r>
      <t xml:space="preserve">Other </t>
    </r>
    <r>
      <rPr>
        <sz val="9"/>
        <rFont val="Arial Narrow"/>
        <family val="2"/>
      </rPr>
      <t>(Call OSC/describe in Explanations tab)</t>
    </r>
  </si>
  <si>
    <r>
      <t xml:space="preserve">For each type of short-term debt, describe the debt activity and the purpose for which the debt was issued in an attached </t>
    </r>
    <r>
      <rPr>
        <b/>
        <sz val="10"/>
        <rFont val="Arial"/>
        <family val="2"/>
      </rPr>
      <t>"ACFR Package Narratives".</t>
    </r>
  </si>
  <si>
    <t>Bonds &amp; similar debt Payable amounts per column [E] and [F] agree to Statement of Net Position?</t>
  </si>
  <si>
    <t>ANNUAL DEBT SERVICE REQUIREMENTS (315)</t>
  </si>
  <si>
    <t>BONDS, SPECIAL INDEBTEDNESS, NOTES from DIRECT BORROWINGS</t>
  </si>
  <si>
    <t xml:space="preserve"> AND DIRECT PLACEMENTS - WITHOUT INTEREST RATE SWAPS</t>
  </si>
  <si>
    <t>NA for State Health Plan</t>
  </si>
  <si>
    <t>Check type of payable:</t>
  </si>
  <si>
    <t>* Put X in boxes to generate Account number for Macro. Ex at row 15</t>
  </si>
  <si>
    <t xml:space="preserve"> General Obligation Bonds Payable</t>
  </si>
  <si>
    <t>(N/A for Component Units)</t>
  </si>
  <si>
    <t xml:space="preserve"> Revenue Bonds Payable</t>
  </si>
  <si>
    <r>
      <t xml:space="preserve"> GARVEE Bonds</t>
    </r>
    <r>
      <rPr>
        <sz val="9"/>
        <rFont val="Arial"/>
        <family val="2"/>
      </rPr>
      <t xml:space="preserve"> (N/A for Component Units)</t>
    </r>
  </si>
  <si>
    <t xml:space="preserve"> Certificates of Participation Payable</t>
  </si>
  <si>
    <t xml:space="preserve"> Limited Obligation Bonds Payable</t>
  </si>
  <si>
    <r>
      <t xml:space="preserve"> Notes from Direct Borrowings </t>
    </r>
    <r>
      <rPr>
        <sz val="9"/>
        <rFont val="Arial"/>
        <family val="2"/>
      </rPr>
      <t>(Exclude Short-term Debt)</t>
    </r>
  </si>
  <si>
    <r>
      <t xml:space="preserve"> Direct Placements </t>
    </r>
    <r>
      <rPr>
        <sz val="9"/>
        <rFont val="Arial"/>
        <family val="2"/>
      </rPr>
      <t>(Exclude Short-term Debt)</t>
    </r>
  </si>
  <si>
    <t>Principal_DSR</t>
  </si>
  <si>
    <t>Interest_DSR</t>
  </si>
  <si>
    <t>P</t>
  </si>
  <si>
    <t>Fiscal Year</t>
  </si>
  <si>
    <t>Principal</t>
  </si>
  <si>
    <t>Interest*</t>
  </si>
  <si>
    <t>Total Original Issue Amount Related to Total Outstanding Debt</t>
  </si>
  <si>
    <t>Overall Range of Interest Rates of Total Outstanding Debt*</t>
  </si>
  <si>
    <t>From *</t>
  </si>
  <si>
    <t>To *</t>
  </si>
  <si>
    <t>Final Maturity Date of Total Outstanding Debt</t>
  </si>
  <si>
    <t>Total Requirements</t>
  </si>
  <si>
    <t>*</t>
  </si>
  <si>
    <t>For variable-rate debt and "Build America Bonds", see instructions.</t>
  </si>
  <si>
    <t>Do the total principal requirements (including debt with interest rate swaps on 320) agree with column [E]</t>
  </si>
  <si>
    <t>on changes in long-term liabilities worksheet (305/310)?</t>
  </si>
  <si>
    <t xml:space="preserve">YES  </t>
  </si>
  <si>
    <t>column [F] on changes in long-term liabilities worksheet (305/310)?</t>
  </si>
  <si>
    <t>(Note: Only exception is for demand bonds classified as due within one year.)</t>
  </si>
  <si>
    <t>If NO, indicate reason:</t>
  </si>
  <si>
    <t>Has your agency issued any "Build America Bonds" that are included in the annual debt service</t>
  </si>
  <si>
    <r>
      <rPr>
        <sz val="10"/>
        <rFont val="Arial"/>
        <family val="2"/>
      </rPr>
      <t xml:space="preserve">requirements above? </t>
    </r>
    <r>
      <rPr>
        <i/>
        <sz val="10"/>
        <rFont val="Arial"/>
        <family val="2"/>
      </rPr>
      <t>(Note: authorized by Recovery Act)</t>
    </r>
  </si>
  <si>
    <t>If YES, disclose the outstanding balance at year-end:</t>
  </si>
  <si>
    <t>VARIABLE RATE DEBT</t>
  </si>
  <si>
    <t>Was any of the debt reported on this worksheet variable rate debt?</t>
  </si>
  <si>
    <t>(State Treasurer, DOT, and NC Turnpike Authority Only)</t>
  </si>
  <si>
    <t>If YES, disclose the terms by which interest rates change in the "Explanations tab".</t>
  </si>
  <si>
    <t>ANNUAL DEBT SERVICE REQUIREMENTS (320)</t>
  </si>
  <si>
    <t xml:space="preserve">BONDS, SPECIAL INDEBTEDNESS, NOTES from DIRECT BORROWINGS </t>
  </si>
  <si>
    <t>AND DIRECT PLACEMENTS - WITH INTEREST RATE SWAPS</t>
  </si>
  <si>
    <t>* Put X in boxes to generate Account number for Macro. Ex at row 15.</t>
  </si>
  <si>
    <r>
      <t xml:space="preserve"> General Obligation Bonds Payable </t>
    </r>
    <r>
      <rPr>
        <sz val="10"/>
        <rFont val="Arial"/>
        <family val="2"/>
      </rPr>
      <t>(N/A for Component Units)</t>
    </r>
  </si>
  <si>
    <r>
      <t xml:space="preserve"> GARVEE Bonds</t>
    </r>
    <r>
      <rPr>
        <sz val="10"/>
        <rFont val="Arial"/>
        <family val="2"/>
      </rPr>
      <t xml:space="preserve"> (N/A for Component Units)</t>
    </r>
  </si>
  <si>
    <r>
      <t xml:space="preserve"> Notes from Direct Borrowings </t>
    </r>
    <r>
      <rPr>
        <sz val="10"/>
        <rFont val="Arial"/>
        <family val="2"/>
      </rPr>
      <t>(Exclude Short-term Debt)</t>
    </r>
  </si>
  <si>
    <r>
      <t xml:space="preserve"> Direct Placements </t>
    </r>
    <r>
      <rPr>
        <sz val="10"/>
        <rFont val="Arial"/>
        <family val="2"/>
      </rPr>
      <t>(Exclude Short-term Debt)</t>
    </r>
  </si>
  <si>
    <t>Principal_DSRI</t>
  </si>
  <si>
    <t>Interest_DSRI</t>
  </si>
  <si>
    <t>InterestRateSwap_DSRI</t>
  </si>
  <si>
    <t>Swaps, Net</t>
  </si>
  <si>
    <t>Do the total principal requirements (including debt without interest rate swaps on 315) agree with column [E]</t>
  </si>
  <si>
    <t>(Note: The only exception is for demand bonds that are classified as due within one year.)</t>
  </si>
  <si>
    <t>If "NO", indicate reason:</t>
  </si>
  <si>
    <t>Has your agency issued any "Build America Bonds" (BABs) that are included in the annual debt service requirements above?</t>
  </si>
  <si>
    <t>(Note: authorized by Recovery Act)</t>
  </si>
  <si>
    <t>If "YES", disclose the outstanding balance of BABs at year-end:</t>
  </si>
  <si>
    <t>x</t>
  </si>
  <si>
    <t>Pollution Remediation Obligations (322)</t>
  </si>
  <si>
    <t>GASB Statement 49 establishes accounting and financial reporting standards for pollution remediation obligations.</t>
  </si>
  <si>
    <t xml:space="preserve">Pollution remediation liabilities equal to or in excess of the applicable threshold should be accrued at year-end.  </t>
  </si>
  <si>
    <t>For additional guidance, refer to the OSC policy on Pollution Remediation Obligations (see below link):</t>
  </si>
  <si>
    <t>NC OSC Policy 103.2</t>
  </si>
  <si>
    <r>
      <t xml:space="preserve">Provide the following details about your agency's pollution remediation liability </t>
    </r>
    <r>
      <rPr>
        <sz val="9"/>
        <color indexed="8"/>
        <rFont val="Arial Narrow"/>
        <family val="2"/>
      </rPr>
      <t>(</t>
    </r>
    <r>
      <rPr>
        <i/>
        <sz val="9"/>
        <color indexed="8"/>
        <rFont val="Arial Narrow"/>
        <family val="2"/>
      </rPr>
      <t>Note: GASB 5200 for governmental funds</t>
    </r>
    <r>
      <rPr>
        <sz val="9"/>
        <color indexed="8"/>
        <rFont val="Arial Narrow"/>
        <family val="2"/>
      </rPr>
      <t>):</t>
    </r>
  </si>
  <si>
    <t>Pollution Remediation Liability (accrual basis):</t>
  </si>
  <si>
    <t>Reasonably estimable outlays</t>
  </si>
  <si>
    <t>(based on current value and expected cash flows)</t>
  </si>
  <si>
    <r>
      <t>Less: Expected recoveries - not yet realizable</t>
    </r>
    <r>
      <rPr>
        <vertAlign val="superscript"/>
        <sz val="10"/>
        <rFont val="Arial"/>
        <family val="2"/>
      </rPr>
      <t xml:space="preserve"> (1)</t>
    </r>
  </si>
  <si>
    <t>(enter as negative)</t>
  </si>
  <si>
    <t>Pollution remediation liability</t>
  </si>
  <si>
    <t>(must agree to worksheet 305/310)</t>
  </si>
  <si>
    <t>Include expected recoveries from other responsible parties and insurers that are not yet realizable.  A realized/realizable recovery involves the</t>
  </si>
  <si>
    <t>acknowledgment or recognition by the third party of its responsibility. Exclude grants and other nonexchange transactions.</t>
  </si>
  <si>
    <t>Do the "Reasonably estimable outlays" above include any indirect outlays (Indicate with an "X")?</t>
  </si>
  <si>
    <t>Obligating Events (indicate with an "X" each that applies):</t>
  </si>
  <si>
    <t>The government is compelled to take remediation action because the pollution is an imminent</t>
  </si>
  <si>
    <t>danger to public health or welfare or the environment.  The government has little or no choice</t>
  </si>
  <si>
    <t>but to take action.</t>
  </si>
  <si>
    <t xml:space="preserve">The government is in violation of a pollution prevention–related permit or license. This includes </t>
  </si>
  <si>
    <t xml:space="preserve"> federal and state permits.</t>
  </si>
  <si>
    <t>The government is, or evidence indicates that it will be, named, by a regulator as a responsible</t>
  </si>
  <si>
    <t>party or potentially responsible party for remediation (e.g., under Superfund or similar State law),</t>
  </si>
  <si>
    <t xml:space="preserve">or as a government responsible for sharing costs.  </t>
  </si>
  <si>
    <t>d.</t>
  </si>
  <si>
    <t>The government is, or evidence indicates that it will be, named, in a lawsuit that would require</t>
  </si>
  <si>
    <t>the government to participate in remediation activities.</t>
  </si>
  <si>
    <t>e.</t>
  </si>
  <si>
    <t>The government begins remediation activities or legally commits itself to conduct remediation</t>
  </si>
  <si>
    <t>activities. If these activities are begun voluntarily and no other obligating event has occurred</t>
  </si>
  <si>
    <t>relative to the entire site, the activities that the government should measure and recognize</t>
  </si>
  <si>
    <t>should be limited to the activities begun, or to those that the government is legally required to</t>
  </si>
  <si>
    <t>complete.</t>
  </si>
  <si>
    <t>(Note: The occurrence of an obligating event is an absolute precondition for recognizing a pollution remediation liability.)</t>
  </si>
  <si>
    <t>Capitalization Criteria (indicate with an "X" each that applies):</t>
  </si>
  <si>
    <t xml:space="preserve">To prepare property in anticipation of a sale if the outlays take place within a reasonable time </t>
  </si>
  <si>
    <t>before the sale.</t>
  </si>
  <si>
    <t>To prepare property for use when that property was acquired with known or suspected pollution</t>
  </si>
  <si>
    <t>that the government expected to remediate.  Costs should be capitalized only if the outlays take</t>
  </si>
  <si>
    <t>place within a reasonable time after the purchase.</t>
  </si>
  <si>
    <t>To perform remediation to restore a pollution-caused decline in service utility that the government</t>
  </si>
  <si>
    <t>reported as an impairment of one of its capital assets.</t>
  </si>
  <si>
    <t>To acquire capital assets that can be used for other purposes after the remediation is complete.</t>
  </si>
  <si>
    <t>GASB Statement 49 requires certain disclosures about an agency's obligation to remedy pollution.  The required</t>
  </si>
  <si>
    <r>
      <t>disclosures should be provided in the attached</t>
    </r>
    <r>
      <rPr>
        <b/>
        <u/>
        <sz val="10"/>
        <rFont val="Arial"/>
        <family val="2"/>
      </rPr>
      <t xml:space="preserve"> ACFR Package Narratives</t>
    </r>
    <r>
      <rPr>
        <sz val="10"/>
        <rFont val="Arial"/>
        <family val="2"/>
      </rPr>
      <t xml:space="preserve"> (proformas are included).</t>
    </r>
  </si>
  <si>
    <t>CERTAIN ASSET RETIREMENT OBLIGATIONS (323)</t>
  </si>
  <si>
    <t xml:space="preserve">GASB Statement 83 establishes accounting and financial reporting standards for certain asset retirement </t>
  </si>
  <si>
    <t>obligations (AROs).  For additional guidance on GASB 83, refer to the FRU included in the link below:</t>
  </si>
  <si>
    <t>Financial Reporting Update for GASB 83.</t>
  </si>
  <si>
    <t>Also see ACFR worksheet instructions.</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</si>
  <si>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</si>
  <si>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</si>
  <si>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</si>
  <si>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</si>
  <si>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</si>
  <si>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</si>
  <si>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Provide the following details about external and internal obligating events related to your tangible capital asset:</t>
  </si>
  <si>
    <t>External obligating events (indicate with an "X" each that applies):</t>
  </si>
  <si>
    <t>Approval of federal, state or local laws or regulations</t>
  </si>
  <si>
    <t>Creation of a legally binding contract</t>
  </si>
  <si>
    <t>Issuance of a court judgment</t>
  </si>
  <si>
    <t>Internal obligating events (indicate with an "X" each that applies):</t>
  </si>
  <si>
    <t xml:space="preserve">The occurrence of contamination that (1) is a result of normal operation of the tangible </t>
  </si>
  <si>
    <t>asset and (2) is not in the scope of Statement 49, as amended.</t>
  </si>
  <si>
    <t>Placing into operation a tangible capital asset that is required to be retired</t>
  </si>
  <si>
    <t xml:space="preserve">Abandoning a tangible capital asset before it is placed into operation </t>
  </si>
  <si>
    <t>Acquiring a tangible capital asset that has an existing ARO</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</si>
  <si>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</si>
  <si>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</si>
  <si>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 xml:space="preserve">the reasons thereof in the attached ACFR Package Narratives. </t>
  </si>
  <si>
    <t>Certain Asset Retirement Obligations - Accounting and Financial Reporting</t>
  </si>
  <si>
    <r>
      <t xml:space="preserve">Provide the following details about your ARO </t>
    </r>
    <r>
      <rPr>
        <i/>
        <sz val="10"/>
        <rFont val="Arial"/>
        <family val="2"/>
      </rPr>
      <t>(Note: GASB 5200 for governmental funds)</t>
    </r>
    <r>
      <rPr>
        <sz val="10"/>
        <rFont val="Arial"/>
        <family val="2"/>
      </rPr>
      <t>:</t>
    </r>
  </si>
  <si>
    <t>If this is the first year of recognizing an ARO, complete the section below:</t>
  </si>
  <si>
    <t>First year of recognition</t>
  </si>
  <si>
    <t>Initial ARO Measurement (Liability) accrual basis:</t>
  </si>
  <si>
    <t>The measurement of an ARO should be based on the best estimate of the current value of outlays</t>
  </si>
  <si>
    <t xml:space="preserve">expected to be incurred.  </t>
  </si>
  <si>
    <t>Current value of outlays expected to be incurred</t>
  </si>
  <si>
    <t>(Initial amount of the ARO liability)</t>
  </si>
  <si>
    <t>Corresponding Deferred Outflow of Resources:</t>
  </si>
  <si>
    <t xml:space="preserve">The measurement of a deferred outflow of resources associated with an ARO should be the amount </t>
  </si>
  <si>
    <t xml:space="preserve">corresponding to the liability upon initial measurement.  </t>
  </si>
  <si>
    <t>Corresponding deferred outflow of resources</t>
  </si>
  <si>
    <t>Amortization of the deferred outflow of resources</t>
  </si>
  <si>
    <t xml:space="preserve">The amount of amortization recognized   </t>
  </si>
  <si>
    <t>for the current fiscal year</t>
  </si>
  <si>
    <t>In subsequent years of recognizing the ARO, complete the section below:</t>
  </si>
  <si>
    <t>Subsequent years of recognition</t>
  </si>
  <si>
    <t>Subsequent Measurement and Recognition of the ARO:</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</si>
  <si>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</si>
  <si>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</si>
  <si>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</si>
  <si>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</si>
  <si>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305 or 310</t>
  </si>
  <si>
    <t>Subsequent Measurement and Recognition of a Deferred Outflow of Resources:</t>
  </si>
  <si>
    <t>A government should recognize a reduction of the deferred outflow of resource as an outflow of resources</t>
  </si>
  <si>
    <t>(expense) in a systematic and rational manner over a period of time:</t>
  </si>
  <si>
    <t xml:space="preserve">The amount of amortization recognized </t>
  </si>
  <si>
    <t xml:space="preserve">GASB Statement 83 requires certain disclosures about an agency's asset retirement obligations.  The </t>
  </si>
  <si>
    <r>
      <t xml:space="preserve">required disclosures should be provided in the attached </t>
    </r>
    <r>
      <rPr>
        <b/>
        <u/>
        <sz val="10"/>
        <rFont val="Arial"/>
        <family val="2"/>
      </rPr>
      <t>ACFR Package Narratives</t>
    </r>
    <r>
      <rPr>
        <sz val="10"/>
        <rFont val="Arial"/>
        <family val="2"/>
      </rPr>
      <t>.</t>
    </r>
  </si>
  <si>
    <t>PLEDGED REVENUE COVERAGE (325)</t>
  </si>
  <si>
    <t>Please scroll down to see instructions.</t>
  </si>
  <si>
    <t>Select Type of Debt:</t>
  </si>
  <si>
    <t>Click here</t>
  </si>
  <si>
    <t>Revenue Statement Caption</t>
  </si>
  <si>
    <t>Sales and services</t>
  </si>
  <si>
    <t>Student tuition and fees</t>
  </si>
  <si>
    <t>Patient services</t>
  </si>
  <si>
    <t>Rental lease earnings</t>
  </si>
  <si>
    <t>Fees, licenses and fines</t>
  </si>
  <si>
    <t>State appropriations(for CUs only)</t>
  </si>
  <si>
    <t>Investment earnings</t>
  </si>
  <si>
    <t>Contracts and grants</t>
  </si>
  <si>
    <t>Federal transportation revenues</t>
  </si>
  <si>
    <t>Toll revenues</t>
  </si>
  <si>
    <t>Federal interest subsidy on debt</t>
  </si>
  <si>
    <t>Student Loan Principal Collections</t>
  </si>
  <si>
    <t>Interest earnings on loans</t>
  </si>
  <si>
    <t>Net inc(dec) in FV of Investments</t>
  </si>
  <si>
    <t>Non-operating Revenues</t>
  </si>
  <si>
    <t xml:space="preserve">Other revenues </t>
  </si>
  <si>
    <t>Less: Operating Expense</t>
  </si>
  <si>
    <t>Net available revenue</t>
  </si>
  <si>
    <t>Principal_PRC</t>
  </si>
  <si>
    <t>Interest</t>
  </si>
  <si>
    <t>Interest_PRC</t>
  </si>
  <si>
    <t>Total Debt Service</t>
  </si>
  <si>
    <t>Coverage</t>
  </si>
  <si>
    <t>Select type of debt from drop-down box. A separate worksheet is required for each type of debt.</t>
  </si>
  <si>
    <t>NOTE:</t>
  </si>
  <si>
    <t>Revenue bonds which are pledged by general revenues should be excluded.</t>
  </si>
  <si>
    <t>Pledged Revenue Coverage (325) - Continue scrolling down for additional instructions.</t>
  </si>
  <si>
    <t>Row A</t>
  </si>
  <si>
    <t>Row B</t>
  </si>
  <si>
    <t>Include revenue statement caption for each fiscal year pledged directly to servicing the revenue bond requirements.</t>
  </si>
  <si>
    <t>Row C</t>
  </si>
  <si>
    <t>Include direct operating expense paid from the Revenue Bond Fund which reduces the resources</t>
  </si>
  <si>
    <t>available to pay the debt requirement.  Exclude interest, amortization and depreciation.</t>
  </si>
  <si>
    <t>Row D</t>
  </si>
  <si>
    <t xml:space="preserve">Row B (Revenues) less Row C (Direct Operating Expenses) = Row D </t>
  </si>
  <si>
    <t>Row E</t>
  </si>
  <si>
    <t>Principal amount of the Revenue Bond DUE in the specified year.</t>
  </si>
  <si>
    <t>(NOTE - Do not reflect amount actually paid.)</t>
  </si>
  <si>
    <t>Row F</t>
  </si>
  <si>
    <t>Interest amount of the Revenue Bond DUE in the specified fiscal year.</t>
  </si>
  <si>
    <t>Row G</t>
  </si>
  <si>
    <t>Row E (Principal) plus Row F (Interest) = Row G</t>
  </si>
  <si>
    <t>Row H</t>
  </si>
  <si>
    <t>Row D (Net Revenue Available for Debt Service) DIVIDED by Row G (Total Debt Service Requirements) = Row H</t>
  </si>
  <si>
    <t>Back to the top</t>
  </si>
  <si>
    <t>The following must agree to Annual Report Narrative Worksheet 326:</t>
  </si>
  <si>
    <t>Agencies :</t>
  </si>
  <si>
    <t>Row D (Net Revenue Available for Debt Service) should equal  Y (Net Revenue Available) on the narrative worksheet 326.</t>
  </si>
  <si>
    <t>Row E (Principal) plus Row F (Interest) should equal X (Principal plus Interest) on the narrative worksheet 326.</t>
  </si>
  <si>
    <t>Universities and Hospitals:</t>
  </si>
  <si>
    <t xml:space="preserve">For Universities, Row D (Net available Revenue), Row E (Principal) Plus Row F (Interest) for this year should equal </t>
  </si>
  <si>
    <t>the narrative 326, second table current year Revenues net of expenses (Y)</t>
  </si>
  <si>
    <t>and Current year Principal and Interest (X) respectively.</t>
  </si>
  <si>
    <t>DEBT DEFEASANCES (330)</t>
  </si>
  <si>
    <r>
      <t xml:space="preserve">NOTE:  An </t>
    </r>
    <r>
      <rPr>
        <u/>
        <sz val="10"/>
        <rFont val="Arial"/>
        <family val="2"/>
      </rPr>
      <t>in substance</t>
    </r>
    <r>
      <rPr>
        <sz val="10"/>
        <rFont val="Arial"/>
        <family val="2"/>
      </rPr>
      <t xml:space="preserve"> defeasance cannot apply to old debt with variable interest rates because of the uncertainty of future debt service requirements.</t>
    </r>
  </si>
  <si>
    <t>A. – Prior Year Defeasance of Debt</t>
  </si>
  <si>
    <t>(i.e., debt defeased in prior fiscal years and no longer reported as a liability)</t>
  </si>
  <si>
    <t xml:space="preserve">(In Thousands) </t>
  </si>
  <si>
    <t xml:space="preserve">for which Risk </t>
  </si>
  <si>
    <t>of Substitution</t>
  </si>
  <si>
    <t>Final</t>
  </si>
  <si>
    <t xml:space="preserve">of Monetary </t>
  </si>
  <si>
    <t>Descriptive Name of Defeased Debt (1)</t>
  </si>
  <si>
    <t>In Thousands</t>
  </si>
  <si>
    <t>Payment</t>
  </si>
  <si>
    <t xml:space="preserve">Assets </t>
  </si>
  <si>
    <t>(DOT - indicate Highway Fund or NC Turnpike Authority)</t>
  </si>
  <si>
    <t xml:space="preserve">   Date (2)</t>
  </si>
  <si>
    <t>Exists (3)</t>
  </si>
  <si>
    <r>
      <t>(1)</t>
    </r>
    <r>
      <rPr>
        <sz val="10"/>
        <rFont val="Arial"/>
        <family val="2"/>
      </rPr>
      <t xml:space="preserve"> Direct placements and notes from direct borrowings should be disclosed separately from other debt. Ensure these are identified </t>
    </r>
  </si>
  <si>
    <t xml:space="preserve">separately. For example, if the defeasance is a direct placement bond, indicate direct placements in the name. </t>
  </si>
  <si>
    <r>
      <t>(2)</t>
    </r>
    <r>
      <rPr>
        <sz val="10"/>
        <rFont val="Arial"/>
        <family val="2"/>
      </rPr>
      <t xml:space="preserve"> The call date or maturity date of the defeased debt (e.g., date when the defeased debt will be paid off in full).</t>
    </r>
  </si>
  <si>
    <r>
      <t>(3)</t>
    </r>
    <r>
      <rPr>
        <sz val="10"/>
        <rFont val="Arial"/>
        <family val="2"/>
      </rPr>
      <t xml:space="preserve"> If the substitution of essentially risk-free monetary assets with monetary assets that are not essentially risk-free is not </t>
    </r>
  </si>
  <si>
    <t>prohibited, disclose the balance at June 30 for which the risk of substitution exists. See instructions for more information.</t>
  </si>
  <si>
    <t>B. – Current Year Defeasances</t>
  </si>
  <si>
    <t>(i.e., debt defeased during the current fiscal year and removed from your books as a liability)</t>
  </si>
  <si>
    <r>
      <t xml:space="preserve">Prepare a note disclosure for current and advance refundings and debt defeased using only existing resources in </t>
    </r>
    <r>
      <rPr>
        <b/>
        <u/>
        <sz val="10"/>
        <rFont val="Arial"/>
        <family val="2"/>
      </rPr>
      <t>attached ACFR Package Narratives</t>
    </r>
    <r>
      <rPr>
        <sz val="10"/>
        <rFont val="Arial"/>
        <family val="2"/>
      </rPr>
      <t xml:space="preserve"> (Note: proforma disclosures are included).  </t>
    </r>
  </si>
  <si>
    <t>(Note to Preparer: The attached narratives should not include disclosures for debt defeased in prior years.)</t>
  </si>
  <si>
    <r>
      <rPr>
        <b/>
        <u/>
        <sz val="10"/>
        <rFont val="Arial"/>
        <family val="2"/>
      </rPr>
      <t>C. – DEFERRED LOSS OR GAIN ON REFUNDING</t>
    </r>
    <r>
      <rPr>
        <b/>
        <sz val="10"/>
        <rFont val="Arial"/>
        <family val="2"/>
      </rPr>
      <t xml:space="preserve"> </t>
    </r>
    <r>
      <rPr>
        <sz val="10"/>
        <rFont val="Arial"/>
        <family val="2"/>
      </rPr>
      <t>(Applies to State Treasurer and Dept. of Transportation Only (Excludes NCTPA))</t>
    </r>
  </si>
  <si>
    <t>Reacquisition price:</t>
  </si>
  <si>
    <r>
      <t xml:space="preserve">Current refunding </t>
    </r>
    <r>
      <rPr>
        <sz val="8"/>
        <rFont val="Arial"/>
        <family val="2"/>
      </rPr>
      <t>(principal of old debt plus call premium on old debt)</t>
    </r>
  </si>
  <si>
    <r>
      <t xml:space="preserve">Advance refunding </t>
    </r>
    <r>
      <rPr>
        <sz val="8"/>
        <rFont val="Arial"/>
        <family val="2"/>
      </rPr>
      <t>(funds required to be deposited with escrow agent to refund old debt)</t>
    </r>
  </si>
  <si>
    <t>Net carrying amount of old debt:</t>
  </si>
  <si>
    <t>Old debt outstanding</t>
  </si>
  <si>
    <t>Old debt prepaid insurance</t>
  </si>
  <si>
    <t>Unamortized old debt premium</t>
  </si>
  <si>
    <r>
      <t xml:space="preserve">Unamortized old debt discount </t>
    </r>
    <r>
      <rPr>
        <sz val="8"/>
        <rFont val="Arial"/>
        <family val="2"/>
      </rPr>
      <t>(enter as negative)</t>
    </r>
  </si>
  <si>
    <r>
      <t xml:space="preserve">Deferred inflow of resources </t>
    </r>
    <r>
      <rPr>
        <sz val="8"/>
        <rFont val="Arial"/>
        <family val="2"/>
      </rPr>
      <t>(enter as positive)</t>
    </r>
  </si>
  <si>
    <r>
      <t xml:space="preserve">Deferred outflow of resources </t>
    </r>
    <r>
      <rPr>
        <sz val="8"/>
        <rFont val="Arial"/>
        <family val="2"/>
      </rPr>
      <t>(enter as negative)</t>
    </r>
  </si>
  <si>
    <t>Immaterial gain on refunding written off in current period</t>
  </si>
  <si>
    <r>
      <t xml:space="preserve">Deferred loss or gain on refunding – Additions </t>
    </r>
    <r>
      <rPr>
        <sz val="10"/>
        <rFont val="Arial"/>
        <family val="2"/>
      </rPr>
      <t>(should agree with additions below)</t>
    </r>
  </si>
  <si>
    <t>(Note: Old debt premium/discount above refers to amounts actually booked.)</t>
  </si>
  <si>
    <t>RECONCILIATION OF DEFERRED LOSS ON REFUNDING:</t>
  </si>
  <si>
    <t>Beginning balance</t>
  </si>
  <si>
    <t>Additions (should agree with amount aboveif the amount is positive)</t>
  </si>
  <si>
    <t>Deletions (enter as negative)</t>
  </si>
  <si>
    <t>Ending Balance (should agree with account # 129702)</t>
  </si>
  <si>
    <t>RECONCILIATION OF DEFERRED GAIN ON REFUNDING:</t>
  </si>
  <si>
    <t>Additions (should agree with amount above if the amountis negative)</t>
  </si>
  <si>
    <t>Deletions (enter as positive)</t>
  </si>
  <si>
    <t>Ending Balance (should agree with account # 229203)</t>
  </si>
  <si>
    <t>NONEXCHANGE FINANCIAL GUARANTEES (338)</t>
  </si>
  <si>
    <t>Only applies to 07 Treasurer, 13 Administration, 15 Transportation, 16 Environmental Quality,</t>
  </si>
  <si>
    <t>19 Public Safety, 46 Natural and Cultural Resources, and UNC System Entities (including</t>
  </si>
  <si>
    <t>UNC Healthcare System)</t>
  </si>
  <si>
    <t xml:space="preserve">GASB Statement 70 provides new recognition, measurement, and disclosure guidance for state and local </t>
  </si>
  <si>
    <t>governments that extend or receive nonexchange financial guarantees.</t>
  </si>
  <si>
    <t xml:space="preserve">A nonexchange financial guarantee occurs when a government guarantees a financial obligation but generally </t>
  </si>
  <si>
    <t xml:space="preserve">receives little or no compensation in return. The government guaranteeing the debt (guarantor) agrees to make </t>
  </si>
  <si>
    <t>payments to the holder of the debt if the entity that issued the debt (issuer) is unable to fulfill its obligations.</t>
  </si>
  <si>
    <t xml:space="preserve">Nonexchange financial guarantees that meet certain recognition and measurement requirements should be </t>
  </si>
  <si>
    <t>reported in the financial statements.</t>
  </si>
  <si>
    <t>For more information on GASB 70, refer to the GASB Resources link on OSC's homepage (or see link below).</t>
  </si>
  <si>
    <t>Financial Reporting Update GASB 70</t>
  </si>
  <si>
    <t>Has your agency/university been a party to any nonexchange financial guarantees during the year?</t>
  </si>
  <si>
    <t>GASB Statement 70 requires certain disclosures for both the guarantor government and issuer government.</t>
  </si>
  <si>
    <t>*In Case of Other(Row 20 &amp; 21), add new members in FCCS</t>
  </si>
  <si>
    <t>Derivative Instruments (340)</t>
  </si>
  <si>
    <t>Fair Value Changes</t>
  </si>
  <si>
    <t>Fair Value</t>
  </si>
  <si>
    <t>NotionalAmount</t>
  </si>
  <si>
    <t>Notional</t>
  </si>
  <si>
    <t>Exchange-</t>
  </si>
  <si>
    <r>
      <t>Type</t>
    </r>
    <r>
      <rPr>
        <vertAlign val="superscript"/>
        <sz val="10"/>
        <color indexed="8"/>
        <rFont val="Arial"/>
        <family val="2"/>
      </rPr>
      <t xml:space="preserve"> </t>
    </r>
  </si>
  <si>
    <t>Changes</t>
  </si>
  <si>
    <t>Amount</t>
  </si>
  <si>
    <r>
      <t xml:space="preserve">Traded? </t>
    </r>
    <r>
      <rPr>
        <vertAlign val="superscript"/>
        <sz val="11"/>
        <rFont val="Arial"/>
        <family val="2"/>
      </rPr>
      <t>(1)</t>
    </r>
  </si>
  <si>
    <t>Pay-fixed interest rate swaps</t>
  </si>
  <si>
    <t>Indicate either "Y" or "N". The credit risk</t>
  </si>
  <si>
    <t>U.S. dollar equity futures</t>
  </si>
  <si>
    <t xml:space="preserve">disclosures on Worksheets 341 &amp; 342 </t>
  </si>
  <si>
    <t>Foreign equity futures</t>
  </si>
  <si>
    <t>do not extend to derivative instruments</t>
  </si>
  <si>
    <t>Foreign exchange futures</t>
  </si>
  <si>
    <t>that are exchange-traded, such as futures</t>
  </si>
  <si>
    <t>Commodity futures</t>
  </si>
  <si>
    <t>contracts (GASB Codification Section D40.170.a).</t>
  </si>
  <si>
    <t>Foreign currency futures</t>
  </si>
  <si>
    <t>Foreign currency forwards</t>
  </si>
  <si>
    <t>Other:</t>
  </si>
  <si>
    <t>Hedging Derivative Instruments</t>
  </si>
  <si>
    <t>Effective</t>
  </si>
  <si>
    <t>Maturity</t>
  </si>
  <si>
    <t>Terms</t>
  </si>
  <si>
    <t>Type</t>
  </si>
  <si>
    <t>(i.e., reference rates)</t>
  </si>
  <si>
    <t>Cash flow: Pay-fixed interest rate swap</t>
  </si>
  <si>
    <t>H1</t>
  </si>
  <si>
    <t>Interest rate swaps</t>
  </si>
  <si>
    <t>H2</t>
  </si>
  <si>
    <t>H3</t>
  </si>
  <si>
    <t>H4</t>
  </si>
  <si>
    <t>H5</t>
  </si>
  <si>
    <t>H6</t>
  </si>
  <si>
    <t>Evaluating Hedge Effectiveness</t>
  </si>
  <si>
    <t>Line Number(s)</t>
  </si>
  <si>
    <t>Method Used</t>
  </si>
  <si>
    <t>(H1 thru H6)</t>
  </si>
  <si>
    <t>Consistent critical terms method</t>
  </si>
  <si>
    <t>Quantitative methods:</t>
  </si>
  <si>
    <t>Synthetic instrument method</t>
  </si>
  <si>
    <t>Dollar-offset method</t>
  </si>
  <si>
    <t>Regression analysis method</t>
  </si>
  <si>
    <r>
      <t xml:space="preserve">In the attached </t>
    </r>
    <r>
      <rPr>
        <b/>
        <u/>
        <sz val="10"/>
        <rFont val="Arial"/>
        <family val="2"/>
      </rPr>
      <t>ACFR Package Narratives</t>
    </r>
    <r>
      <rPr>
        <sz val="10"/>
        <rFont val="Arial"/>
        <family val="2"/>
      </rPr>
      <t>, prepare note disclosures that describe, as applicable (a) reclassifications from a hedging derivative instrument</t>
    </r>
  </si>
  <si>
    <t>to an investment derivative instrument, (b) contingent features, (c) companion instrument for a hybrid, and (d) synthetic guaranteed investment contracts.</t>
  </si>
  <si>
    <t>(Note: The required GASB 72 disclosures on fair value measurements should be disclosed on Worksheet 755 and narratives.)</t>
  </si>
  <si>
    <t>Hedging Derivative Instruments (341)</t>
  </si>
  <si>
    <t>Counterparty</t>
  </si>
  <si>
    <t>Associated</t>
  </si>
  <si>
    <t>Fair</t>
  </si>
  <si>
    <t>Collateral</t>
  </si>
  <si>
    <r>
      <t xml:space="preserve">  Credit Ratings </t>
    </r>
    <r>
      <rPr>
        <vertAlign val="superscript"/>
        <sz val="10"/>
        <rFont val="Arial"/>
        <family val="2"/>
      </rPr>
      <t>(3)</t>
    </r>
  </si>
  <si>
    <t>Bond Issue</t>
  </si>
  <si>
    <r>
      <t xml:space="preserve">   Value </t>
    </r>
    <r>
      <rPr>
        <vertAlign val="superscript"/>
        <sz val="10"/>
        <rFont val="Arial"/>
        <family val="2"/>
      </rPr>
      <t>(1)</t>
    </r>
  </si>
  <si>
    <t>Name</t>
  </si>
  <si>
    <t>Held</t>
  </si>
  <si>
    <t>S&amp;P/Fitch</t>
  </si>
  <si>
    <t>Moody's</t>
  </si>
  <si>
    <t>Less:  Total Collateral Held (calculated)</t>
  </si>
  <si>
    <r>
      <t xml:space="preserve">Less:  Netting Arrangement Liability – By Counterparty </t>
    </r>
    <r>
      <rPr>
        <vertAlign val="superscript"/>
        <sz val="10"/>
        <rFont val="Arial"/>
        <family val="2"/>
      </rPr>
      <t>(2)</t>
    </r>
  </si>
  <si>
    <t>Net Exposure to Credit Risk</t>
  </si>
  <si>
    <r>
      <t xml:space="preserve">In the attached </t>
    </r>
    <r>
      <rPr>
        <b/>
        <u/>
        <sz val="10"/>
        <rFont val="Arial"/>
        <family val="2"/>
      </rPr>
      <t>ACFR Package Narratives</t>
    </r>
    <r>
      <rPr>
        <sz val="10"/>
        <rFont val="Arial"/>
        <family val="2"/>
      </rPr>
      <t>, prepare note disclosures that describe, as applicable, other significant terms and your exposure to the following</t>
    </r>
  </si>
  <si>
    <t>risks that could give rise to financial loss: (a) credit risk, (b) interest rate risk, (c) basis risk, (d) termination risk, (e) rollover risk, (f) market-access risk, and</t>
  </si>
  <si>
    <t>(g) foreign currency risk.  Additionally, describe any other significant terms or other quantitative method of evaluating effectiveness, if applicable.</t>
  </si>
  <si>
    <t>A hedging derivative instrument can only expose a government to credit risk if it is reported as an asset (i.e., derivative instrument with negative fair values should be excluded from the above</t>
  </si>
  <si>
    <t>table, except for any netting arrangement liability).  Also, credit risk disclosures are limited to hedging derivative instruments that are reported as of the end of the reporting period.</t>
  </si>
  <si>
    <t>(2)</t>
  </si>
  <si>
    <t>This line applies if the following conditions are met: (a) the government has a policy to enter into netting arrangements whenever it has entered into more than one hedging derivative</t>
  </si>
  <si>
    <t>instrument transaction with the same counterparty, (b) each party owes the other determinable amounts, (c) the government has the right to set off the amount owed by the counterparty, and</t>
  </si>
  <si>
    <t>(d) the right of setoff is legally enforceable.  The "Netting Arrangement Liability" for each counterparty should be reported on separate lines.</t>
  </si>
  <si>
    <t>(3)</t>
  </si>
  <si>
    <t>If the counterparty is not rated, indicate "Unrated".</t>
  </si>
  <si>
    <t>Investment Derivative Instruments (342)</t>
  </si>
  <si>
    <t>Select Type (Click here)</t>
  </si>
  <si>
    <r>
      <t xml:space="preserve">In the attached </t>
    </r>
    <r>
      <rPr>
        <b/>
        <u/>
        <sz val="10"/>
        <rFont val="Arial"/>
        <family val="2"/>
      </rPr>
      <t>ACFR Package Narratives</t>
    </r>
    <r>
      <rPr>
        <sz val="10"/>
        <rFont val="Arial"/>
        <family val="2"/>
      </rPr>
      <t>, prepare note disclosures that describe, as applicable, your exposure to the following risks that could give</t>
    </r>
  </si>
  <si>
    <t>rise to financial loss: (a) credit risk, (b) interest rate risk, and (c) foreign currency risk.</t>
  </si>
  <si>
    <t>An investment derivative instrument can only expose a government to credit risk if it is reported as an asset (i.e., derivative instruments with negative fair values should be excluded from</t>
  </si>
  <si>
    <t>the above table, except for any netting arrangement liability). Also, credit risk disclosures are limited to investment derivative instruments that are reported as of the end of the reporting period.</t>
  </si>
  <si>
    <t>This line applies if the following conditions are met: (a) the government has a policy to enter into netting arrangements whenever it has entered into more than one investment derivative</t>
  </si>
  <si>
    <t>transaction with the same counterparty, (b) each party owes the other determinable amounts, (c) the government has the right to set off the amount owed by the counterparty, and</t>
  </si>
  <si>
    <t>CONTINGENCIES (345)</t>
  </si>
  <si>
    <t>The Certification Letter should indicate material contingent liabilities are disclosed on Worksheet 345.</t>
  </si>
  <si>
    <t>Material contingent liabilities disclosed on the worksheet should be indicated in the Certification Letter.</t>
  </si>
  <si>
    <r>
      <t>Disclosure of material contingent liabilities of the State entity is required under the following conditions</t>
    </r>
    <r>
      <rPr>
        <sz val="10"/>
        <rFont val="Arial"/>
        <family val="2"/>
      </rPr>
      <t>:</t>
    </r>
  </si>
  <si>
    <r>
      <t xml:space="preserve">1.  The chance that the State entity will actually incur the liability is better than a </t>
    </r>
    <r>
      <rPr>
        <b/>
        <sz val="10"/>
        <rFont val="Arial"/>
        <family val="2"/>
      </rPr>
      <t>REMOTE</t>
    </r>
    <r>
      <rPr>
        <sz val="10"/>
        <rFont val="Arial"/>
        <family val="2"/>
      </rPr>
      <t xml:space="preserve"> (either POSSIBLE or</t>
    </r>
  </si>
  <si>
    <t xml:space="preserve">     PROBABLE) likelihood (terms are defined in the instructions); and,</t>
  </si>
  <si>
    <t xml:space="preserve">2.  The amount of the possible liability is known or can be reasonably estimated, or the amount of the </t>
  </si>
  <si>
    <t>probable/possible liability cannot be reasonably estimated.</t>
  </si>
  <si>
    <r>
      <t xml:space="preserve">3.  Material contingent liability is defined as </t>
    </r>
    <r>
      <rPr>
        <b/>
        <sz val="10"/>
        <rFont val="Arial"/>
        <family val="2"/>
      </rPr>
      <t>$20 million or greater</t>
    </r>
    <r>
      <rPr>
        <sz val="10"/>
        <rFont val="Arial"/>
        <family val="2"/>
      </rPr>
      <t>.</t>
    </r>
  </si>
  <si>
    <t>FEDERAL GRANTS AND PROGRAMS</t>
  </si>
  <si>
    <t>Contingent liabilities of the State entity can arise from lawsuits and other legal action, or contingent liabilities may</t>
  </si>
  <si>
    <t>be inherent with the acceptance of the conditions of certain Federal programs.</t>
  </si>
  <si>
    <t>Acceptance by the State entity of Federal grants and programs carry the possibility of reimbursement to the</t>
  </si>
  <si>
    <r>
      <t xml:space="preserve">Federal grantor agency if periodic audits reveal </t>
    </r>
    <r>
      <rPr>
        <b/>
        <sz val="10"/>
        <rFont val="Arial"/>
        <family val="2"/>
      </rPr>
      <t>questioned costs</t>
    </r>
    <r>
      <rPr>
        <sz val="10"/>
        <rFont val="Arial"/>
        <family val="2"/>
      </rPr>
      <t>.</t>
    </r>
  </si>
  <si>
    <t>AGENCY ACTION:</t>
  </si>
  <si>
    <t>This agency has material contingent liabilities involving Federal grants and programs.</t>
  </si>
  <si>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 identified as</t>
    </r>
  </si>
  <si>
    <t>"questioned" or "disallowed" costs.</t>
  </si>
  <si>
    <t>Federal Agency:</t>
  </si>
  <si>
    <t>Program:</t>
  </si>
  <si>
    <t>FOOD STAMPS, FOOD COMMODITIES</t>
  </si>
  <si>
    <t>This agency maintains material items on a custodial basis for Federal programs.</t>
  </si>
  <si>
    <r>
      <t xml:space="preserve">If </t>
    </r>
    <r>
      <rPr>
        <b/>
        <sz val="10"/>
        <rFont val="Arial"/>
        <family val="2"/>
      </rPr>
      <t>YES</t>
    </r>
    <r>
      <rPr>
        <sz val="10"/>
        <rFont val="Arial"/>
        <family val="2"/>
      </rPr>
      <t>, list the Federal programs in which the State has accepted custodial responsibility for certain items</t>
    </r>
  </si>
  <si>
    <t>(i.e., Food Stamp coupons, USDA-donated commodities, etc.) for which the State would be liable in the event of loss.</t>
  </si>
  <si>
    <t>Description:</t>
  </si>
  <si>
    <t>Amount:</t>
  </si>
  <si>
    <t>OTHER CONTINGENT LIABILITIES</t>
  </si>
  <si>
    <t xml:space="preserve">List any other material contingent liabilities of your agency that require possible disclosure in accordance with the </t>
  </si>
  <si>
    <r>
      <t xml:space="preserve">guidelines listed above in the </t>
    </r>
    <r>
      <rPr>
        <b/>
        <sz val="10"/>
        <rFont val="Arial"/>
        <family val="2"/>
      </rPr>
      <t>ACFR Package Narratives Worksheet 345.</t>
    </r>
  </si>
  <si>
    <t>Answer the following:</t>
  </si>
  <si>
    <r>
      <t>All material contingent liabilities of this agency, if any exist, have been disclosed above.</t>
    </r>
    <r>
      <rPr>
        <i/>
        <u/>
        <sz val="10"/>
        <rFont val="Arial"/>
        <family val="2"/>
      </rPr>
      <t/>
    </r>
  </si>
  <si>
    <t>(check one)</t>
  </si>
  <si>
    <r>
      <t xml:space="preserve">    This agency has </t>
    </r>
    <r>
      <rPr>
        <b/>
        <sz val="10"/>
        <rFont val="Arial"/>
        <family val="2"/>
      </rPr>
      <t>NO</t>
    </r>
    <r>
      <rPr>
        <sz val="10"/>
        <rFont val="Arial"/>
        <family val="2"/>
      </rPr>
      <t xml:space="preserve"> material contingent liabilities requiring disclosure</t>
    </r>
  </si>
  <si>
    <r>
      <t xml:space="preserve">    </t>
    </r>
    <r>
      <rPr>
        <b/>
        <sz val="10"/>
        <rFont val="Arial"/>
        <family val="2"/>
      </rPr>
      <t>YES</t>
    </r>
    <r>
      <rPr>
        <sz val="10"/>
        <rFont val="Arial"/>
        <family val="2"/>
      </rPr>
      <t>, all material contingent liabilities disclosures have been made on this worksheet</t>
    </r>
  </si>
  <si>
    <r>
      <t xml:space="preserve">       or in the </t>
    </r>
    <r>
      <rPr>
        <b/>
        <sz val="10"/>
        <rFont val="Arial"/>
        <family val="2"/>
      </rPr>
      <t>ACFR Package narratives Worksheet 345.</t>
    </r>
  </si>
  <si>
    <t>CONSTRUCTION AND OTHER SIGNIFICANT COMMITMENTS (350)</t>
  </si>
  <si>
    <r>
      <t>COMMITMENTS</t>
    </r>
    <r>
      <rPr>
        <b/>
        <i/>
        <sz val="10"/>
        <rFont val="Arial"/>
        <family val="2"/>
      </rPr>
      <t xml:space="preserve"> </t>
    </r>
    <r>
      <rPr>
        <sz val="10"/>
        <rFont val="Arial"/>
        <family val="2"/>
      </rPr>
      <t>are</t>
    </r>
    <r>
      <rPr>
        <sz val="10"/>
        <rFont val="Arial"/>
        <family val="2"/>
      </rPr>
      <t xml:space="preserve"> "existing arrangements to enter into future transactions or events."  Construction</t>
    </r>
  </si>
  <si>
    <t>contracts are the most common example of a commitment.  Other examples of commitments are cost</t>
  </si>
  <si>
    <t>reimbursement grants/loans, software in development contracts, and supply contracts.  A supply contract</t>
  </si>
  <si>
    <r>
      <t xml:space="preserve">is a </t>
    </r>
    <r>
      <rPr>
        <b/>
        <u/>
        <sz val="10"/>
        <rFont val="Arial"/>
        <family val="2"/>
      </rPr>
      <t>long-term</t>
    </r>
    <r>
      <rPr>
        <sz val="10"/>
        <rFont val="Arial"/>
        <family val="2"/>
      </rPr>
      <t xml:space="preserve"> contractual obligation with suppliers for future purchases at specified prices and sometimes</t>
    </r>
  </si>
  <si>
    <t>at specified quantities.  A common supply contract is an utility fuel purchase contract.  Common examples</t>
  </si>
  <si>
    <t>of grant/loan commitments would be Clean Water grants/loans and 911 cost reimbursement grants.</t>
  </si>
  <si>
    <r>
      <rPr>
        <b/>
        <sz val="10"/>
        <rFont val="Arial"/>
        <family val="2"/>
      </rPr>
      <t>NOTE:</t>
    </r>
    <r>
      <rPr>
        <sz val="10"/>
        <rFont val="Arial"/>
        <family val="2"/>
      </rPr>
      <t xml:space="preserve"> Outstanding encumbrances (excluding those for capital improvements) or purchase orders are</t>
    </r>
  </si>
  <si>
    <t>not considered to be commitments.</t>
  </si>
  <si>
    <t xml:space="preserve">A.  - Construction and Software in Development (SID) Contract Commitments </t>
  </si>
  <si>
    <r>
      <t xml:space="preserve">Provide the amount of future total expenditures </t>
    </r>
    <r>
      <rPr>
        <b/>
        <sz val="10"/>
        <rFont val="Arial"/>
        <family val="2"/>
      </rPr>
      <t>for all GASBs</t>
    </r>
    <r>
      <rPr>
        <sz val="10"/>
        <rFont val="Arial"/>
        <family val="2"/>
      </rPr>
      <t xml:space="preserve"> for which the entity is </t>
    </r>
    <r>
      <rPr>
        <b/>
        <sz val="10"/>
        <rFont val="Arial"/>
        <family val="2"/>
      </rPr>
      <t>now</t>
    </r>
    <r>
      <rPr>
        <sz val="10"/>
        <rFont val="Arial"/>
        <family val="2"/>
      </rPr>
      <t xml:space="preserve"> committed </t>
    </r>
  </si>
  <si>
    <t xml:space="preserve">with state or non-state funds (i.e., highway construction, major construction of state buildings, </t>
  </si>
  <si>
    <t>improvements of state facilities, and software in development).</t>
  </si>
  <si>
    <t>The amount of the commitment should be calculated as follows:</t>
  </si>
  <si>
    <t>Total commitment amount</t>
  </si>
  <si>
    <t>Less:   Actual cash expenditures paid on the commitment</t>
  </si>
  <si>
    <t>Less:   Accrued expenditures recorded against the contract</t>
  </si>
  <si>
    <t xml:space="preserve">            during 13th month accrual process</t>
  </si>
  <si>
    <t xml:space="preserve"> = Amount of commitment</t>
  </si>
  <si>
    <t>Amount of Construction
and SID Contract Commitments</t>
  </si>
  <si>
    <t>Construction Commitments</t>
  </si>
  <si>
    <t>Software in Development (SID) Contracts</t>
  </si>
  <si>
    <t>Total Construction and SID Contract Commitments</t>
  </si>
  <si>
    <t>B.  - Other Significant Commitments, including investment contracts</t>
  </si>
  <si>
    <t>Amount of
Other Commitments</t>
  </si>
  <si>
    <t>Clean water grants/loans and other cost reimbursement grants</t>
  </si>
  <si>
    <t>Total Other Commitments</t>
  </si>
  <si>
    <r>
      <t xml:space="preserve">If other significant commitments (including investment contracts) </t>
    </r>
    <r>
      <rPr>
        <b/>
        <u/>
        <sz val="10"/>
        <rFont val="Arial"/>
        <family val="2"/>
      </rPr>
      <t>exceed $10 million</t>
    </r>
    <r>
      <rPr>
        <sz val="10"/>
        <rFont val="Arial"/>
        <family val="2"/>
      </rPr>
      <t>, prepare a note disclosure</t>
    </r>
    <r>
      <rPr>
        <b/>
        <u/>
        <sz val="10"/>
        <rFont val="Arial"/>
        <family val="2"/>
      </rPr>
      <t/>
    </r>
  </si>
  <si>
    <t>on the appropriate narrative page.</t>
  </si>
  <si>
    <t>SUBSEQUENT EVENTS / OTHER ITEMS (355)</t>
  </si>
  <si>
    <t>SUBSEQUENT EVENTS:</t>
  </si>
  <si>
    <r>
      <t xml:space="preserve">Disclosure is required to be made of </t>
    </r>
    <r>
      <rPr>
        <b/>
        <sz val="10"/>
        <rFont val="Arial"/>
        <family val="2"/>
      </rPr>
      <t>MAJOR</t>
    </r>
    <r>
      <rPr>
        <sz val="10"/>
        <rFont val="Arial"/>
        <family val="2"/>
      </rPr>
      <t xml:space="preserve"> transactions (</t>
    </r>
    <r>
      <rPr>
        <b/>
        <sz val="10"/>
        <rFont val="Arial"/>
        <family val="2"/>
      </rPr>
      <t>$25 million or greater</t>
    </r>
    <r>
      <rPr>
        <sz val="10"/>
        <rFont val="Arial"/>
        <family val="2"/>
      </rPr>
      <t xml:space="preserve">) and events which occur </t>
    </r>
  </si>
  <si>
    <t>subsequent to June 30 and up to the date of ACFR preparation.</t>
  </si>
  <si>
    <r>
      <t xml:space="preserve">If you become aware of any </t>
    </r>
    <r>
      <rPr>
        <b/>
        <i/>
        <sz val="10"/>
        <rFont val="Arial"/>
        <family val="2"/>
      </rPr>
      <t>MAJOR</t>
    </r>
    <r>
      <rPr>
        <i/>
        <sz val="10"/>
        <rFont val="Arial"/>
        <family val="2"/>
      </rPr>
      <t xml:space="preserve"> transactions (</t>
    </r>
    <r>
      <rPr>
        <b/>
        <i/>
        <sz val="10"/>
        <rFont val="Arial"/>
        <family val="2"/>
      </rPr>
      <t>$25 million or greater</t>
    </r>
    <r>
      <rPr>
        <i/>
        <sz val="10"/>
        <rFont val="Arial"/>
        <family val="2"/>
      </rPr>
      <t xml:space="preserve">) and events occurring after the </t>
    </r>
  </si>
  <si>
    <t>submission of your package but prior to November 30, please contact the Office of the State Controller</t>
  </si>
  <si>
    <t>immediately.</t>
  </si>
  <si>
    <t xml:space="preserve">Any transaction or event, the omission of which would produce a material misstatement of the </t>
  </si>
  <si>
    <r>
      <t xml:space="preserve">financial statements or would cause a reader of these statements to be misinformed, </t>
    </r>
    <r>
      <rPr>
        <b/>
        <sz val="10"/>
        <rFont val="Arial"/>
        <family val="2"/>
      </rPr>
      <t>MUST</t>
    </r>
    <r>
      <rPr>
        <sz val="10"/>
        <rFont val="Arial"/>
        <family val="2"/>
      </rPr>
      <t xml:space="preserve"> be disclosed.</t>
    </r>
  </si>
  <si>
    <r>
      <t>The issuance and sale of revenue bonds is a prime example of a subsequent event (</t>
    </r>
    <r>
      <rPr>
        <b/>
        <sz val="10"/>
        <rFont val="Arial"/>
        <family val="2"/>
      </rPr>
      <t xml:space="preserve">exclude debt issued </t>
    </r>
  </si>
  <si>
    <t>primarily for refunding of bonds).</t>
  </si>
  <si>
    <t>Have any material events occurred subsequent to June 30 and up to the date of this agency's preparation</t>
  </si>
  <si>
    <t>of its statements which require disclosure as described above?</t>
  </si>
  <si>
    <t>Explain YES in the ACFR Package Narratives</t>
  </si>
  <si>
    <t>Give a complete description of the transaction/event and the amount involved, if known.</t>
  </si>
  <si>
    <t>OTHER ITEMS:</t>
  </si>
  <si>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 the</t>
    </r>
    <r>
      <rPr>
        <sz val="10"/>
        <rFont val="Arial"/>
        <family val="2"/>
      </rPr>
      <t xml:space="preserve"> </t>
    </r>
  </si>
  <si>
    <r>
      <t>control of management</t>
    </r>
    <r>
      <rPr>
        <sz val="10"/>
        <rFont val="Arial"/>
        <family val="2"/>
      </rPr>
      <t xml:space="preserve"> that do not meet the definition of special items per paragraph 56 of GASB 34.</t>
    </r>
  </si>
  <si>
    <t xml:space="preserve">Such items would already be recorded as a revenue or expenditure on the Statement of Revenues, </t>
  </si>
  <si>
    <t>Expenditures, and Changes in Fund Balances (for governmental funds) or the Statement of Revenues,</t>
  </si>
  <si>
    <t>Expenses, and Changes in Fund Net Position (for proprietary funds).</t>
  </si>
  <si>
    <t>This agency has such items that exceed $10 million.</t>
  </si>
  <si>
    <t>Restricted Assets (365)</t>
  </si>
  <si>
    <t>Restricted assets should be reported when restrictions on asset use change the nature or normal understanding of the availability of the asset.  For example,</t>
  </si>
  <si>
    <t>cash and investments normally are classified as current assets and a normal understanding of these assets presume that restrictions do not limit the</t>
  </si>
  <si>
    <t>government's ability to use the resources to pay current liabilities.  However, the following resources are not available for the current operations and should be</t>
  </si>
  <si>
    <t>reported as restricted assets:</t>
  </si>
  <si>
    <t xml:space="preserve">     that cannot be used to pay other current liabilities</t>
  </si>
  <si>
    <t>Refer to the Restricted Assets Policy for further guidance.</t>
  </si>
  <si>
    <t>Policy on OSC's website:</t>
  </si>
  <si>
    <t>NC OSC Policy 101.4</t>
  </si>
  <si>
    <r>
      <rPr>
        <b/>
        <u/>
        <sz val="9"/>
        <rFont val="Arial"/>
        <family val="2"/>
      </rPr>
      <t>Instructions:</t>
    </r>
    <r>
      <rPr>
        <b/>
        <sz val="9"/>
        <rFont val="Arial"/>
        <family val="2"/>
      </rPr>
      <t xml:space="preserve">  Analyze the balances for the cash and cash equivalents; pooled cash; investments; pooled investments; and receivables captions on the</t>
    </r>
  </si>
  <si>
    <t>DSS 11G report to determine if any amounts have restrictions imposed on them so that they are not available resources for payment of current liabilities.</t>
  </si>
  <si>
    <t>If Restricted Assets are listed, please provide additional detail on the specific assets on the Narrative for 365.</t>
  </si>
  <si>
    <r>
      <rPr>
        <b/>
        <i/>
        <u/>
        <sz val="9.5"/>
        <rFont val="Arial"/>
        <family val="2"/>
      </rPr>
      <t>NOTE:</t>
    </r>
    <r>
      <rPr>
        <b/>
        <i/>
        <sz val="9.5"/>
        <rFont val="Arial"/>
        <family val="2"/>
      </rPr>
      <t xml:space="preserve">  GASB 14XX is excluded from this worksheet.  Only GASB 11XX, 12XX, 13XX and 15XX are pertinent to this worksheet.</t>
    </r>
  </si>
  <si>
    <t>Any of these balances that have restrictions imposed should be disclosed below.</t>
  </si>
  <si>
    <t>Acquisition/construction of government's own capital assets</t>
  </si>
  <si>
    <t>Debt covenants</t>
  </si>
  <si>
    <t>Temporarily invested debt proceeds</t>
  </si>
  <si>
    <t>Nonexpendable resources of permanent funds</t>
  </si>
  <si>
    <t>Cash and cash equivalents</t>
  </si>
  <si>
    <t>Pooled cash</t>
  </si>
  <si>
    <t>Investments</t>
  </si>
  <si>
    <t>Pooled Investments</t>
  </si>
  <si>
    <t>Restricted Investments</t>
  </si>
  <si>
    <r>
      <t>Receivables</t>
    </r>
    <r>
      <rPr>
        <i/>
        <sz val="10"/>
        <rFont val="Arial"/>
        <family val="2"/>
      </rPr>
      <t xml:space="preserve"> (list type of receivable)</t>
    </r>
    <r>
      <rPr>
        <b/>
        <sz val="10"/>
        <rFont val="Arial"/>
        <family val="2"/>
      </rPr>
      <t>:</t>
    </r>
  </si>
  <si>
    <t>Government Wide - Debt Issuances (370)</t>
  </si>
  <si>
    <t>Governmental Funds Only; NA Dept. of State Treasurer Statewide Debt</t>
  </si>
  <si>
    <t>Total Notes from Direct Borrowings, Bonds &amp; Special Indebtedness Payable (net) Breakdown:</t>
  </si>
  <si>
    <t>Capital Debt</t>
  </si>
  <si>
    <t>Noncapital Debt</t>
  </si>
  <si>
    <t>Outstanding Payable balance at 6/30</t>
  </si>
  <si>
    <t>1, 2</t>
  </si>
  <si>
    <t>Amount of unspent debt proceeds</t>
  </si>
  <si>
    <r>
      <rPr>
        <b/>
        <sz val="9"/>
        <rFont val="Arial"/>
        <family val="2"/>
      </rPr>
      <t>1</t>
    </r>
    <r>
      <rPr>
        <sz val="9"/>
        <rFont val="Arial"/>
        <family val="2"/>
      </rPr>
      <t xml:space="preserve">. Outstanding balance agrees to 11G (Notes from direct borrowings, bonds &amp; </t>
    </r>
  </si>
  <si>
    <t>special indebtedness payable)?</t>
  </si>
  <si>
    <r>
      <rPr>
        <b/>
        <sz val="9"/>
        <rFont val="Arial"/>
        <family val="2"/>
      </rPr>
      <t>2</t>
    </r>
    <r>
      <rPr>
        <sz val="9"/>
        <rFont val="Arial"/>
        <family val="2"/>
      </rPr>
      <t>. Outstanding balance should equal amounts in column [E] on worksheet 305</t>
    </r>
  </si>
  <si>
    <t>Financial Reporting for Federal Coronavirus (COVID-19) Funds (375-A)</t>
  </si>
  <si>
    <t>NA Offline Component Units using 905 template</t>
  </si>
  <si>
    <r>
      <rPr>
        <b/>
        <sz val="10"/>
        <color indexed="12"/>
        <rFont val="Arial"/>
        <family val="2"/>
      </rPr>
      <t>Directions</t>
    </r>
    <r>
      <rPr>
        <sz val="10"/>
        <rFont val="Arial"/>
        <family val="2"/>
      </rPr>
      <t xml:space="preserve">:  </t>
    </r>
    <r>
      <rPr>
        <b/>
        <sz val="10"/>
        <rFont val="Arial"/>
        <family val="2"/>
      </rPr>
      <t>All agencies and online component units</t>
    </r>
    <r>
      <rPr>
        <sz val="10"/>
        <rFont val="Arial"/>
        <family val="2"/>
      </rPr>
      <t xml:space="preserve"> (NC School of Science &amp; Math and State Health Plan) </t>
    </r>
    <r>
      <rPr>
        <b/>
        <sz val="10"/>
        <rFont val="Arial"/>
        <family val="2"/>
      </rPr>
      <t xml:space="preserve">are required to complete section A of this </t>
    </r>
  </si>
  <si>
    <r>
      <rPr>
        <b/>
        <sz val="10"/>
        <rFont val="Arial"/>
        <family val="2"/>
      </rPr>
      <t>worksheet.</t>
    </r>
    <r>
      <rPr>
        <sz val="10"/>
        <rFont val="Arial"/>
        <family val="2"/>
      </rPr>
      <t xml:space="preserve"> </t>
    </r>
    <r>
      <rPr>
        <b/>
        <sz val="10"/>
        <rFont val="Arial"/>
        <family val="2"/>
      </rPr>
      <t xml:space="preserve">The purpose of this worksheet is to identify the amount of federal revenues (432XXX accounts) that have been received in response to </t>
    </r>
  </si>
  <si>
    <r>
      <rPr>
        <b/>
        <sz val="10"/>
        <rFont val="Arial"/>
        <family val="2"/>
      </rPr>
      <t>the coronavirus disease (COVID-19)</t>
    </r>
    <r>
      <rPr>
        <sz val="10"/>
        <rFont val="Arial"/>
        <family val="2"/>
      </rPr>
      <t xml:space="preserve"> including federal funding from the Coronavirus Aid, Relief, and Economic Security (CARES) Act and the American Rescue </t>
    </r>
  </si>
  <si>
    <r>
      <t xml:space="preserve">Plan Act (ARPA) in order for OSC to properly report the information in the ACFR. </t>
    </r>
    <r>
      <rPr>
        <b/>
        <sz val="10"/>
        <rFont val="Arial"/>
        <family val="2"/>
      </rPr>
      <t xml:space="preserve">Any agency that received COVID-19 funds </t>
    </r>
    <r>
      <rPr>
        <b/>
        <u/>
        <sz val="10"/>
        <rFont val="Arial"/>
        <family val="2"/>
      </rPr>
      <t>directly</t>
    </r>
    <r>
      <rPr>
        <b/>
        <sz val="10"/>
        <rFont val="Arial"/>
        <family val="2"/>
      </rPr>
      <t xml:space="preserve"> from federal agencies</t>
    </r>
  </si>
  <si>
    <r>
      <t xml:space="preserve">(not indirectly from another state or local agency) </t>
    </r>
    <r>
      <rPr>
        <b/>
        <sz val="10"/>
        <rFont val="Arial"/>
        <family val="2"/>
      </rPr>
      <t xml:space="preserve">is required to complete the information in section B </t>
    </r>
    <r>
      <rPr>
        <sz val="10"/>
        <rFont val="Arial"/>
        <family val="2"/>
      </rPr>
      <t xml:space="preserve">within the appropriate section for your entity. </t>
    </r>
  </si>
  <si>
    <t>If more space is needed, an additional tab can be added to this workbook or you can submit a separate spreadsheet with the ACFR package. If</t>
  </si>
  <si>
    <t>additional information is provided, add a reference in the appropriate section below. See Worksheet Instructions for more information.</t>
  </si>
  <si>
    <r>
      <rPr>
        <b/>
        <sz val="11"/>
        <rFont val="Arial"/>
        <family val="2"/>
      </rPr>
      <t>A</t>
    </r>
    <r>
      <rPr>
        <sz val="11"/>
        <rFont val="Arial"/>
        <family val="2"/>
      </rPr>
      <t>.</t>
    </r>
    <r>
      <rPr>
        <sz val="10"/>
        <rFont val="Arial"/>
        <family val="2"/>
      </rPr>
      <t xml:space="preserve"> Did your agency/university receive COVID-19 revenues </t>
    </r>
    <r>
      <rPr>
        <u/>
        <sz val="10"/>
        <rFont val="Arial"/>
        <family val="2"/>
      </rPr>
      <t>directly</t>
    </r>
    <r>
      <rPr>
        <sz val="10"/>
        <rFont val="Arial"/>
        <family val="2"/>
      </rPr>
      <t xml:space="preserve"> from federal agencies (not indirectly from another state or local agency)?</t>
    </r>
  </si>
  <si>
    <r>
      <rPr>
        <b/>
        <sz val="11"/>
        <rFont val="Arial"/>
        <family val="2"/>
      </rPr>
      <t>B.</t>
    </r>
    <r>
      <rPr>
        <b/>
        <sz val="10"/>
        <rFont val="Arial"/>
        <family val="2"/>
      </rPr>
      <t xml:space="preserve"> </t>
    </r>
    <r>
      <rPr>
        <sz val="10"/>
        <rFont val="Arial"/>
        <family val="2"/>
      </rPr>
      <t>If you answered yes in section A, complete the appropriate section for your agency below.</t>
    </r>
  </si>
  <si>
    <r>
      <t xml:space="preserve">(1) To be </t>
    </r>
    <r>
      <rPr>
        <b/>
        <sz val="10"/>
        <rFont val="Arial"/>
        <family val="2"/>
      </rPr>
      <t xml:space="preserve">completed only by OSC (FRU 90) </t>
    </r>
    <r>
      <rPr>
        <sz val="10"/>
        <rFont val="Arial"/>
        <family val="2"/>
      </rPr>
      <t xml:space="preserve">for the OSC Coronavirus Relief Reserve and Reserves for the American Rescue Plan Act federal revenues </t>
    </r>
  </si>
  <si>
    <t>received. Please provide the following:</t>
  </si>
  <si>
    <t>Cash Basis</t>
  </si>
  <si>
    <t>Accrual Basis</t>
  </si>
  <si>
    <t>Total COVID-19 revenues</t>
  </si>
  <si>
    <t>Federal Fund Revenues</t>
  </si>
  <si>
    <r>
      <t xml:space="preserve">Received </t>
    </r>
    <r>
      <rPr>
        <b/>
        <u/>
        <sz val="10"/>
        <rFont val="Arial"/>
        <family val="2"/>
      </rPr>
      <t>Directly</t>
    </r>
  </si>
  <si>
    <t>GASB Fund</t>
  </si>
  <si>
    <t>Full Center</t>
  </si>
  <si>
    <t>Account Number (432XXX)</t>
  </si>
  <si>
    <t>as of 6/29/2023</t>
  </si>
  <si>
    <t>as of 6/30/2023</t>
  </si>
  <si>
    <r>
      <t xml:space="preserve">(2) For </t>
    </r>
    <r>
      <rPr>
        <b/>
        <sz val="10"/>
        <rFont val="Arial"/>
        <family val="2"/>
      </rPr>
      <t>State agencies</t>
    </r>
    <r>
      <rPr>
        <sz val="10"/>
        <rFont val="Arial"/>
        <family val="2"/>
      </rPr>
      <t>, please provide the following information for federal revenues received directly from federal agencies in response to the coronavirus</t>
    </r>
  </si>
  <si>
    <t xml:space="preserve"> disease (COVID-19):</t>
  </si>
  <si>
    <t>Total COVID-19 funds</t>
  </si>
  <si>
    <r>
      <t xml:space="preserve">(3) For </t>
    </r>
    <r>
      <rPr>
        <b/>
        <sz val="10"/>
        <rFont val="Arial"/>
        <family val="2"/>
      </rPr>
      <t>NC School of Science and Math and the State Health Plan</t>
    </r>
    <r>
      <rPr>
        <sz val="10"/>
        <rFont val="Arial"/>
        <family val="2"/>
      </rPr>
      <t>, please provide the following information for federal revenues received directly from</t>
    </r>
  </si>
  <si>
    <t>federal agencies in response to the coronavirus disease (COVID-19):</t>
  </si>
  <si>
    <t>Budget Reporting for Federal Coronavirus (COVID-19) Funds (375-B)</t>
  </si>
  <si>
    <t>NA Component Units</t>
  </si>
  <si>
    <r>
      <rPr>
        <b/>
        <sz val="10"/>
        <color indexed="12"/>
        <rFont val="Arial"/>
        <family val="2"/>
      </rPr>
      <t>Directions</t>
    </r>
    <r>
      <rPr>
        <sz val="10"/>
        <rFont val="Arial"/>
        <family val="2"/>
      </rPr>
      <t xml:space="preserve">:  </t>
    </r>
    <r>
      <rPr>
        <b/>
        <sz val="10"/>
        <rFont val="Arial"/>
        <family val="2"/>
      </rPr>
      <t>All agencies are required to complete section A of this worksheet. The purpose of this worksheet is to identify 1) the certified budgeted amount</t>
    </r>
  </si>
  <si>
    <t xml:space="preserve">approved by the Governor and General Assembly and 2) the authorized budgeted amount approved by OSBM for federal revenues (432XXX or 5388XX </t>
  </si>
  <si>
    <r>
      <rPr>
        <b/>
        <sz val="10"/>
        <rFont val="Arial"/>
        <family val="2"/>
      </rPr>
      <t>accounts) in response to the coronavirus disease (COVID-19)</t>
    </r>
    <r>
      <rPr>
        <sz val="10"/>
        <rFont val="Arial"/>
        <family val="2"/>
      </rPr>
      <t xml:space="preserve"> in order for OSC to properly report the information in the ACFR.</t>
    </r>
    <r>
      <rPr>
        <b/>
        <sz val="10"/>
        <rFont val="Arial"/>
        <family val="2"/>
      </rPr>
      <t xml:space="preserve"> Any agency that was budgeted federal</t>
    </r>
  </si>
  <si>
    <r>
      <rPr>
        <b/>
        <sz val="10"/>
        <rFont val="Arial"/>
        <family val="2"/>
      </rPr>
      <t xml:space="preserve">revenues for COVID-19 funds received </t>
    </r>
    <r>
      <rPr>
        <b/>
        <u/>
        <sz val="10"/>
        <rFont val="Arial"/>
        <family val="2"/>
      </rPr>
      <t>directly</t>
    </r>
    <r>
      <rPr>
        <b/>
        <sz val="10"/>
        <rFont val="Arial"/>
        <family val="2"/>
      </rPr>
      <t xml:space="preserve"> from federal agencies</t>
    </r>
    <r>
      <rPr>
        <sz val="10"/>
        <rFont val="Arial"/>
        <family val="2"/>
      </rPr>
      <t xml:space="preserve"> (not indirectly from another state or local agency) </t>
    </r>
    <r>
      <rPr>
        <b/>
        <sz val="10"/>
        <rFont val="Arial"/>
        <family val="2"/>
      </rPr>
      <t xml:space="preserve">is required to complete the information </t>
    </r>
  </si>
  <si>
    <r>
      <rPr>
        <b/>
        <sz val="10"/>
        <rFont val="Arial"/>
        <family val="2"/>
      </rPr>
      <t xml:space="preserve">in section B </t>
    </r>
    <r>
      <rPr>
        <sz val="10"/>
        <rFont val="Arial"/>
        <family val="2"/>
      </rPr>
      <t>within the appropriate section for your entity. If more space is needed, an additional tab can be added to this workbook or you can submit a separate spreadsheet.</t>
    </r>
  </si>
  <si>
    <t>If additional information is provided, add a reference in the appropriate section below. See Worksheet Instructions for more information.</t>
  </si>
  <si>
    <r>
      <rPr>
        <b/>
        <sz val="11"/>
        <rFont val="Arial"/>
        <family val="2"/>
      </rPr>
      <t>A</t>
    </r>
    <r>
      <rPr>
        <sz val="11"/>
        <rFont val="Arial"/>
        <family val="2"/>
      </rPr>
      <t>.</t>
    </r>
    <r>
      <rPr>
        <sz val="10"/>
        <rFont val="Arial"/>
        <family val="2"/>
      </rPr>
      <t xml:space="preserve"> Does your agency have any budgeted federal revenues</t>
    </r>
    <r>
      <rPr>
        <b/>
        <sz val="10"/>
        <rFont val="Arial"/>
        <family val="2"/>
      </rPr>
      <t xml:space="preserve"> </t>
    </r>
    <r>
      <rPr>
        <sz val="10"/>
        <rFont val="Arial"/>
        <family val="2"/>
      </rPr>
      <t xml:space="preserve">for COVID-19 funds received </t>
    </r>
    <r>
      <rPr>
        <u/>
        <sz val="10"/>
        <rFont val="Arial"/>
        <family val="2"/>
      </rPr>
      <t>directly</t>
    </r>
    <r>
      <rPr>
        <sz val="10"/>
        <rFont val="Arial"/>
        <family val="2"/>
      </rPr>
      <t xml:space="preserve"> from federal agencies (not indirectly from another state or local agency)?</t>
    </r>
  </si>
  <si>
    <r>
      <t xml:space="preserve">(1) To be </t>
    </r>
    <r>
      <rPr>
        <b/>
        <sz val="10"/>
        <rFont val="Arial"/>
        <family val="2"/>
      </rPr>
      <t>completed by OSBM only</t>
    </r>
    <r>
      <rPr>
        <sz val="10"/>
        <rFont val="Arial"/>
        <family val="2"/>
      </rPr>
      <t xml:space="preserve"> for the OSBM Coronavirus Relief Fund and American Rescue Plan Act Funds budgeted federal revenues. </t>
    </r>
  </si>
  <si>
    <t>Please provide the following:</t>
  </si>
  <si>
    <r>
      <t xml:space="preserve">Total </t>
    </r>
    <r>
      <rPr>
        <b/>
        <u/>
        <sz val="10"/>
        <rFont val="Arial"/>
        <family val="2"/>
      </rPr>
      <t>Certified</t>
    </r>
    <r>
      <rPr>
        <b/>
        <sz val="10"/>
        <rFont val="Arial"/>
        <family val="2"/>
      </rPr>
      <t xml:space="preserve"> Budgeted </t>
    </r>
  </si>
  <si>
    <r>
      <t xml:space="preserve">Total </t>
    </r>
    <r>
      <rPr>
        <b/>
        <u/>
        <sz val="10"/>
        <rFont val="Arial"/>
        <family val="2"/>
      </rPr>
      <t>Authorized</t>
    </r>
    <r>
      <rPr>
        <b/>
        <sz val="10"/>
        <rFont val="Arial"/>
        <family val="2"/>
      </rPr>
      <t xml:space="preserve"> Budgeted</t>
    </r>
    <r>
      <rPr>
        <b/>
        <sz val="10"/>
        <color rgb="FFFF0000"/>
        <rFont val="Arial"/>
        <family val="2"/>
      </rPr>
      <t xml:space="preserve"> </t>
    </r>
  </si>
  <si>
    <t xml:space="preserve">Amount for COVID-19 </t>
  </si>
  <si>
    <t xml:space="preserve">Federal Fund Revenues Account </t>
  </si>
  <si>
    <r>
      <t xml:space="preserve">funds Received </t>
    </r>
    <r>
      <rPr>
        <b/>
        <u/>
        <sz val="10"/>
        <rFont val="Arial"/>
        <family val="2"/>
      </rPr>
      <t>Directly</t>
    </r>
    <r>
      <rPr>
        <b/>
        <sz val="10"/>
        <rFont val="Arial"/>
        <family val="2"/>
      </rPr>
      <t xml:space="preserve"> </t>
    </r>
  </si>
  <si>
    <t>Number (432XXX or 5388XX)</t>
  </si>
  <si>
    <r>
      <t xml:space="preserve">(2) For </t>
    </r>
    <r>
      <rPr>
        <b/>
        <sz val="10"/>
        <rFont val="Arial"/>
        <family val="2"/>
      </rPr>
      <t>State agencies</t>
    </r>
    <r>
      <rPr>
        <sz val="10"/>
        <rFont val="Arial"/>
        <family val="2"/>
      </rPr>
      <t>, please provide the following information for budgeted federal fund revenues (432XXX or 5388XX accounts) received directly from federal agencies</t>
    </r>
  </si>
  <si>
    <t xml:space="preserve"> in response to the coronavirus disease (COVID-19):</t>
  </si>
  <si>
    <t>FUND BALANCE CLASSIFICATIONS</t>
  </si>
  <si>
    <t>GENERAL FUND (401)</t>
  </si>
  <si>
    <t>NA - Component Units</t>
  </si>
  <si>
    <t>11XX</t>
  </si>
  <si>
    <t>101.5 - Statewide Accounting Policy - Fund Balance Reporting | NC OSC</t>
  </si>
  <si>
    <t>Describe each restricted, committed, and assigned fund balance identified below in the Narrative worksheet.  See instructions for more detail.</t>
  </si>
  <si>
    <t>GASB</t>
  </si>
  <si>
    <t>Specify GASB number&gt;&gt;&gt;</t>
  </si>
  <si>
    <t>Fund Balances:</t>
  </si>
  <si>
    <t>Nonspendable:</t>
  </si>
  <si>
    <t>Inventory of supplies (including postage) 116XXX accounts</t>
  </si>
  <si>
    <t>Inventories should tie to 11G on DSS.</t>
  </si>
  <si>
    <t>NonspenInv</t>
  </si>
  <si>
    <t>Permanent corpus - revolving loans</t>
  </si>
  <si>
    <t>Notes receivable and other corpus restricted to revolving loans.</t>
  </si>
  <si>
    <t>PermCorpus</t>
  </si>
  <si>
    <t>Long-term portion of notes receivable</t>
  </si>
  <si>
    <t>If the proceeds from collection of long-term receivables are restricted, committed, or assigned, those constraints take precedence over the nonspendable nature of resources when classifying the amounts (i.e., classify as restricted, committed, or assigned instead). Therefore, notes receivable/advances on this worksheet may not agree with 11G on DSS.</t>
  </si>
  <si>
    <t>LongtermNotesRec</t>
  </si>
  <si>
    <t>Advances to other funds</t>
  </si>
  <si>
    <t>AdvOthfunds</t>
  </si>
  <si>
    <t>Advances to component units</t>
  </si>
  <si>
    <t>AdvCompUnit</t>
  </si>
  <si>
    <t>Restricted for:</t>
  </si>
  <si>
    <t>Select Function/Purpose (Click here)</t>
  </si>
  <si>
    <t>Restricted</t>
  </si>
  <si>
    <t>Committed to:</t>
  </si>
  <si>
    <t>Committed</t>
  </si>
  <si>
    <t>Assigned to:</t>
  </si>
  <si>
    <t>Assigned</t>
  </si>
  <si>
    <t>Unassigned</t>
  </si>
  <si>
    <t>Total Fund Balance and Other Credits per 11G</t>
  </si>
  <si>
    <t>Restricted:</t>
  </si>
  <si>
    <t>Externally imposed by creditors (e.g., debt covenants), grantors (federal, local, private, and pass-through grants that</t>
  </si>
  <si>
    <t>were originally from federal, local or private sector), contributors, or laws/regulations of other governments.</t>
  </si>
  <si>
    <t>Imposed law through constitutional provisions (e.g., State Constitution).</t>
  </si>
  <si>
    <t>Unrestricted:</t>
  </si>
  <si>
    <t>Does not meet the above criteria.</t>
  </si>
  <si>
    <t>Government-wide Net Position – OSC Only (Automatic Calculations)</t>
  </si>
  <si>
    <t>Unrestricted</t>
  </si>
  <si>
    <t>Total Net Position</t>
  </si>
  <si>
    <t>(Agree with above Total Fund Balance)</t>
  </si>
  <si>
    <t>SPECIAL REVENUE FUNDS (405)</t>
  </si>
  <si>
    <t>12XX, 13XX</t>
  </si>
  <si>
    <t>Fund Balance Reporting Policy</t>
  </si>
  <si>
    <t>Describe each restricted, committed, and assigned fund balance identified below in the Annual Report Narrative worksheet.  See instructions for more detail.</t>
  </si>
  <si>
    <t>Primary and secondary education</t>
  </si>
  <si>
    <t>Higher education student aid</t>
  </si>
  <si>
    <t>Health and human services</t>
  </si>
  <si>
    <t>Negative Unassigned</t>
  </si>
  <si>
    <t>If "negative unassigned" fund balance is reported, then an agency should not report any amounts as being "assigned" (see Fund Balance Reporting Policy).</t>
  </si>
  <si>
    <t>CAPITAL PROJECTS FUNDS (410)</t>
  </si>
  <si>
    <t>14XX</t>
  </si>
  <si>
    <t xml:space="preserve">Policy on OSC's Website: </t>
  </si>
  <si>
    <t>Capital projects/Repairs &amp; renovations</t>
  </si>
  <si>
    <t>CapProjectsReno</t>
  </si>
  <si>
    <t>Debt service (07 State Treasurer only)</t>
  </si>
  <si>
    <t>Debt Serv</t>
  </si>
  <si>
    <t>Other (Specify at bottom of worksheet)</t>
  </si>
  <si>
    <t>OthPur</t>
  </si>
  <si>
    <t>If "Other" was selected above, then list the specific purpose of the fund balance below. Please note whether the fund balance purpose</t>
  </si>
  <si>
    <t>is for restricted, committed, and/or assigned.</t>
  </si>
  <si>
    <t>PERMANENT FUNDS (415)</t>
  </si>
  <si>
    <t>15XX</t>
  </si>
  <si>
    <t>Permanent corpus - Restricted</t>
  </si>
  <si>
    <t>This question is to help when making government-wide entry needed per GASB 34.</t>
  </si>
  <si>
    <t>Revenue Allocation:</t>
  </si>
  <si>
    <r>
      <t xml:space="preserve">If </t>
    </r>
    <r>
      <rPr>
        <b/>
        <u/>
        <sz val="11"/>
        <color indexed="8"/>
        <rFont val="Calibri"/>
        <family val="2"/>
      </rPr>
      <t>revenue</t>
    </r>
    <r>
      <rPr>
        <sz val="11"/>
        <color indexed="8"/>
        <rFont val="Calibri"/>
        <family val="2"/>
      </rPr>
      <t xml:space="preserve"> is collected in this fund, how much is a contribution to the principal?</t>
    </r>
  </si>
  <si>
    <t>* Enter Valid GASB Number. Example - Use complete number(2700) instead of 27XX</t>
  </si>
  <si>
    <t>RESTRICTED AND UNRESTRICTED NET POSITION</t>
  </si>
  <si>
    <t>BUSINESS TYPE ACTIVITIES (420)</t>
  </si>
  <si>
    <t>NCAS agencies only; NA for offline using 905 template</t>
  </si>
  <si>
    <t>NC OSC Policy 101.6 - Net Position</t>
  </si>
  <si>
    <t>Describe each restricted net position identified below in the ACFR Narrative worksheet.  See instructions for more detail.</t>
  </si>
  <si>
    <t>Specify GASB type&gt;&gt;&gt;</t>
  </si>
  <si>
    <t>GASB Type (Click here)</t>
  </si>
  <si>
    <t>Net Position:</t>
  </si>
  <si>
    <r>
      <rPr>
        <b/>
        <sz val="10"/>
        <rFont val="Arial"/>
        <family val="2"/>
      </rPr>
      <t>**</t>
    </r>
    <r>
      <rPr>
        <sz val="10"/>
        <rFont val="Arial"/>
        <family val="2"/>
      </rPr>
      <t>Net Investment in Capital Assets</t>
    </r>
  </si>
  <si>
    <t>NetinvestmentCapitalAssets</t>
  </si>
  <si>
    <t>Restricted Net Position for:</t>
  </si>
  <si>
    <t>Expendable</t>
  </si>
  <si>
    <t>Unrestricted Net Position</t>
  </si>
  <si>
    <t>UnRestricted</t>
  </si>
  <si>
    <t>(Agrees to DSS 11P report)</t>
  </si>
  <si>
    <r>
      <t xml:space="preserve">For Component Units and NCSSM Only: </t>
    </r>
    <r>
      <rPr>
        <sz val="10"/>
        <rFont val="Arial"/>
        <family val="2"/>
      </rPr>
      <t>For the portion of restricted net position identified above, distinguish amounts between expendable/nonexpendable.</t>
    </r>
  </si>
  <si>
    <t>(This section is NA for proprietary funds)</t>
  </si>
  <si>
    <t>Nonexpendable</t>
  </si>
  <si>
    <t>Total Restricted</t>
  </si>
  <si>
    <t>**NOTE:  For FY 2023, the calculation for "Net Investment in Capital Assets" includes the sum of nondepreciable and net, depreciable capital assets (which includes right to use lease assets and subscription assets), reduced by any capital debt, including the lease and subscription liabilities associated with the right to use lease and subscription assets.</t>
  </si>
  <si>
    <t>STEWARDSHIP, COMPLIANCE, AND ACCOUNTABILITY (425)</t>
  </si>
  <si>
    <t>GASB Fund:</t>
  </si>
  <si>
    <t>Material Violations</t>
  </si>
  <si>
    <t>Answer the following question.  If the answer is yes, explain below.</t>
  </si>
  <si>
    <t>During the past fiscal year, has your agency had any material violations of finance-related legal and contractual provisions?  Examples of such violations may be in connection with grant requirements, bond covenants, and laws/regulations governing deposits and investments.    If the answer is yes, please disclose the following below on this worksheet -- a description of the violation and the actions taken by your agency to correct the violation.  If material violations that may impact the current year ACFR have been disclosed in your agency's audit report issued by Office of the State Auditor or other auditors, then summarize the violation below on this worksheet.</t>
  </si>
  <si>
    <t>(If yes, explain below.)</t>
  </si>
  <si>
    <r>
      <t>RESTATEMENTS GOVERNMENTAL FUNDS</t>
    </r>
    <r>
      <rPr>
        <b/>
        <sz val="11"/>
        <rFont val="Arial"/>
        <family val="2"/>
      </rPr>
      <t xml:space="preserve"> (430G)</t>
    </r>
  </si>
  <si>
    <t>Part 1 of 2 for Fund Equity Restatements</t>
  </si>
  <si>
    <t>Complete the following schedule for any GASB fund that has restated numbers (may or may not be fund equity).  If fund equity is restated, the</t>
  </si>
  <si>
    <t xml:space="preserve">amounts should agree to the amounts shown on the operating statement.  Restatements for capital assets/long-term debt will not tie to the operating  </t>
  </si>
  <si>
    <t>statement.  (see note below)</t>
  </si>
  <si>
    <t>Governmental Funds:</t>
  </si>
  <si>
    <t>Capital Assets</t>
  </si>
  <si>
    <t>General Long-Term Debt</t>
  </si>
  <si>
    <t>Reclassification</t>
  </si>
  <si>
    <t>GASB 5100</t>
  </si>
  <si>
    <t>GASB 5200</t>
  </si>
  <si>
    <t>Other</t>
  </si>
  <si>
    <t xml:space="preserve">Change in </t>
  </si>
  <si>
    <t>Change in</t>
  </si>
  <si>
    <t>Fund</t>
  </si>
  <si>
    <t>Number</t>
  </si>
  <si>
    <t>Fund Equity</t>
  </si>
  <si>
    <t>Balances</t>
  </si>
  <si>
    <t>Explanation</t>
  </si>
  <si>
    <t>GASB 96 - Restated Right to Use Subscription (SBITA) Assets</t>
  </si>
  <si>
    <t>GASB 96 - Restated Subscription (SBITA) Liability</t>
  </si>
  <si>
    <t>Total GASB Reclass</t>
  </si>
  <si>
    <t>Total GASB 5100</t>
  </si>
  <si>
    <t>Total GASB 5200</t>
  </si>
  <si>
    <t>Total Other</t>
  </si>
  <si>
    <t>Total restatements in "Other" should tie back to "restatements" caption on the 52G.</t>
  </si>
  <si>
    <t xml:space="preserve">Note:  </t>
  </si>
  <si>
    <t>For governmental funds, Capital Assets column should be filled in for any prior year asset adjustments on worksheets 202/203.</t>
  </si>
  <si>
    <t>For governmental funds, General Long Term Debt should tie back to worksheet 305 Prior Year Adjustments column for GASB 5200.</t>
  </si>
  <si>
    <r>
      <t xml:space="preserve">RESTATEMENTS Business Type Activities </t>
    </r>
    <r>
      <rPr>
        <b/>
        <sz val="11"/>
        <rFont val="Arial"/>
        <family val="2"/>
      </rPr>
      <t>(430BTA)</t>
    </r>
  </si>
  <si>
    <t>amounts should agree to the amounts shown on the operating statement.  (see note below)</t>
  </si>
  <si>
    <t>Business-type Activity:</t>
  </si>
  <si>
    <t xml:space="preserve">Capital   </t>
  </si>
  <si>
    <t>Long-term/Short-term</t>
  </si>
  <si>
    <t>Transactions</t>
  </si>
  <si>
    <t>Totals</t>
  </si>
  <si>
    <t>Total restatements should tie back to "restatements" caption on the 53P/905 (does not include GASB reclassifications).</t>
  </si>
  <si>
    <t>For business-type fund activity, Capital Transactions total should tie back to worksheets 201 and 210 Prior Year Adjustments column totals.</t>
  </si>
  <si>
    <t>For business-type fund activity, Long term/short term transactions total should tie back to worksheet 310 Prior Year Adjustments column total.</t>
  </si>
  <si>
    <r>
      <t xml:space="preserve">RESTATEMENTS Fiduciary Activities </t>
    </r>
    <r>
      <rPr>
        <b/>
        <sz val="11"/>
        <rFont val="Arial"/>
        <family val="2"/>
      </rPr>
      <t>(430F)</t>
    </r>
  </si>
  <si>
    <t>Part 1 of 1 for Fiduciary Activities Fund Equity Restatements</t>
  </si>
  <si>
    <t>Complete the following schedule for any GASB fund that has restated numbers.</t>
  </si>
  <si>
    <t>Fiduciary Activities:</t>
  </si>
  <si>
    <t xml:space="preserve">Total Other </t>
  </si>
  <si>
    <t>Total restatements in "Other" should tie back to "restatements" caption on the 54F.</t>
  </si>
  <si>
    <t>RESTATEMENTS GOVERNMENTAL FUNDS (431G)</t>
  </si>
  <si>
    <t xml:space="preserve"> Part 2 of 2 — NA Component Units and Fiduciary Funds</t>
  </si>
  <si>
    <r>
      <t xml:space="preserve">Complete an individual schedule for each GASB fund that has restated </t>
    </r>
    <r>
      <rPr>
        <b/>
        <i/>
        <sz val="10"/>
        <rFont val="Arial"/>
        <family val="2"/>
      </rPr>
      <t>fund equity</t>
    </r>
    <r>
      <rPr>
        <b/>
        <sz val="10"/>
        <rFont val="Arial"/>
        <family val="2"/>
      </rPr>
      <t xml:space="preserve">.  </t>
    </r>
  </si>
  <si>
    <t>Do not complete for GASB 5100 capital assets or GASB 5200 Long Term Liabilities.</t>
  </si>
  <si>
    <t xml:space="preserve">Do not complete if GASB reclass is between governmental funds.  </t>
  </si>
  <si>
    <t>Balances as of</t>
  </si>
  <si>
    <t xml:space="preserve">2022 Balances </t>
  </si>
  <si>
    <t>Restatements</t>
  </si>
  <si>
    <t>as Restated</t>
  </si>
  <si>
    <t>Balance Sheet</t>
  </si>
  <si>
    <t>Capital assets, net</t>
  </si>
  <si>
    <t>All other assets</t>
  </si>
  <si>
    <t>Total Assets</t>
  </si>
  <si>
    <t>Deferred Outflows of Resources</t>
  </si>
  <si>
    <t>Long-term liabilities</t>
  </si>
  <si>
    <t>All other liabilities</t>
  </si>
  <si>
    <t>Total Liabilities</t>
  </si>
  <si>
    <t>Deferred Inflows of Resources</t>
  </si>
  <si>
    <t>Net Position</t>
  </si>
  <si>
    <t>Net investment in captial assets</t>
  </si>
  <si>
    <t xml:space="preserve">Restricted </t>
  </si>
  <si>
    <t xml:space="preserve">Unrestricted </t>
  </si>
  <si>
    <t xml:space="preserve">Balance Sheet Change </t>
  </si>
  <si>
    <t>Operating Statement</t>
  </si>
  <si>
    <t>Revenues</t>
  </si>
  <si>
    <t>Program Revenues</t>
  </si>
  <si>
    <t xml:space="preserve">    Charges for services</t>
  </si>
  <si>
    <t xml:space="preserve">    Operating Grants &amp; Contributions</t>
  </si>
  <si>
    <t xml:space="preserve">    Capital Grants &amp; Contributions</t>
  </si>
  <si>
    <t xml:space="preserve">    Miscellaneous</t>
  </si>
  <si>
    <t>General Revenues</t>
  </si>
  <si>
    <t>Taxes</t>
  </si>
  <si>
    <t xml:space="preserve">   Individual Income Tax</t>
  </si>
  <si>
    <t xml:space="preserve">   Corporate Tax</t>
  </si>
  <si>
    <t xml:space="preserve">   Sales and Use Tax</t>
  </si>
  <si>
    <t xml:space="preserve">   Gasoline Tax</t>
  </si>
  <si>
    <t xml:space="preserve">   Franchise Tax</t>
  </si>
  <si>
    <t xml:space="preserve">   Highway Use Tax</t>
  </si>
  <si>
    <t xml:space="preserve">   Insurance Tax</t>
  </si>
  <si>
    <t xml:space="preserve">   Beverage Tax</t>
  </si>
  <si>
    <t xml:space="preserve">   Tobacco Products Tax</t>
  </si>
  <si>
    <t xml:space="preserve">   Other Taxes</t>
  </si>
  <si>
    <t>Tobacco Settlement</t>
  </si>
  <si>
    <t xml:space="preserve">Federal grants not restricted to </t>
  </si>
  <si>
    <t xml:space="preserve">     specifc programs</t>
  </si>
  <si>
    <t>Miscellaneous</t>
  </si>
  <si>
    <t>Total Revenues</t>
  </si>
  <si>
    <t>Expenditures</t>
  </si>
  <si>
    <t>Functional Expenditures</t>
  </si>
  <si>
    <t xml:space="preserve">   General government</t>
  </si>
  <si>
    <t xml:space="preserve">   Primary &amp; secondary education</t>
  </si>
  <si>
    <t xml:space="preserve">   Higher education</t>
  </si>
  <si>
    <t xml:space="preserve">   Health &amp; human services</t>
  </si>
  <si>
    <t xml:space="preserve">   Economic development</t>
  </si>
  <si>
    <t xml:space="preserve">   Environment &amp; natural resources</t>
  </si>
  <si>
    <t xml:space="preserve">   Public safety, corrections &amp; reg</t>
  </si>
  <si>
    <t xml:space="preserve">   Transportation</t>
  </si>
  <si>
    <t xml:space="preserve">   Agriculture</t>
  </si>
  <si>
    <t>Interest on long term debt</t>
  </si>
  <si>
    <t>Total Expenditures</t>
  </si>
  <si>
    <t>Contributions to permanent funds</t>
  </si>
  <si>
    <t>Transfers In</t>
  </si>
  <si>
    <t>Transfers Out</t>
  </si>
  <si>
    <t>Beginning Fund Equity (restated)</t>
  </si>
  <si>
    <t>Operating Statement Change</t>
  </si>
  <si>
    <t>Check:  Restatements column Balance Sheet, net should equal Restatements column Operating</t>
  </si>
  <si>
    <t>Statement, net.</t>
  </si>
  <si>
    <t>RESTATEMENTS BTA's (431BTA)</t>
  </si>
  <si>
    <t>Part 2 of 2 — NA Component Units and Fiduciary Funds</t>
  </si>
  <si>
    <r>
      <t>Complete an individual schedule for each GASB fund that has restated</t>
    </r>
    <r>
      <rPr>
        <b/>
        <i/>
        <sz val="10"/>
        <rFont val="Arial"/>
        <family val="2"/>
      </rPr>
      <t xml:space="preserve"> net position</t>
    </r>
    <r>
      <rPr>
        <b/>
        <sz val="10"/>
        <rFont val="Arial"/>
        <family val="2"/>
      </rPr>
      <t xml:space="preserve">.  </t>
    </r>
  </si>
  <si>
    <t>Current Assets</t>
  </si>
  <si>
    <t>Select Caption</t>
  </si>
  <si>
    <t>Noncurrent Assets</t>
  </si>
  <si>
    <t>Capital assets: Nondepreciable</t>
  </si>
  <si>
    <t>Capital assets: Depreciable</t>
  </si>
  <si>
    <t>Deferred outflows of resources</t>
  </si>
  <si>
    <t>Current liabilities</t>
  </si>
  <si>
    <t>Noncurrent liabilities</t>
  </si>
  <si>
    <t>Deferred inflows of resources</t>
  </si>
  <si>
    <t>Net position</t>
  </si>
  <si>
    <t>Net investment in capital assets</t>
  </si>
  <si>
    <t>Balance Sheet Change</t>
  </si>
  <si>
    <t>Unemployment Comp Fund</t>
  </si>
  <si>
    <t>NC State Lottery</t>
  </si>
  <si>
    <t>EPA Revolving Loan</t>
  </si>
  <si>
    <t>NC Turnpike Authority</t>
  </si>
  <si>
    <t>Regulatory Programs</t>
  </si>
  <si>
    <t>Insurance Programs</t>
  </si>
  <si>
    <t>NC State Fair</t>
  </si>
  <si>
    <t>Other business-type Activities</t>
  </si>
  <si>
    <t>Net Position (beginning restated)</t>
  </si>
  <si>
    <t>SCHEDULE OF INTRA-AGENCY RECEIVABLES AND PAYABLES (501)</t>
  </si>
  <si>
    <t>(THRESHOLD NOT APPLICABLE - SEE INSTRUCTIONS)</t>
  </si>
  <si>
    <t>NCAS</t>
  </si>
  <si>
    <t>Payor</t>
  </si>
  <si>
    <t xml:space="preserve">NCAS </t>
  </si>
  <si>
    <t>Payee</t>
  </si>
  <si>
    <t>114310-114321</t>
  </si>
  <si>
    <t>212310-212321</t>
  </si>
  <si>
    <t>TOTAL A</t>
  </si>
  <si>
    <t>TOTAL B</t>
  </si>
  <si>
    <t>TOTAL A MUST EQUAL TOTAL B</t>
  </si>
  <si>
    <t>If any of the balances listed above represent interfund loans, submit an explanation with this worksheet.</t>
  </si>
  <si>
    <t xml:space="preserve">Note:  All amounts must tie to the 11G/11P/11F </t>
  </si>
  <si>
    <t>SCHEDULE OF INTER-AGENCY RECEIVABLES (505)</t>
  </si>
  <si>
    <r>
      <t xml:space="preserve">(THRESHOLD APPLICABLE </t>
    </r>
    <r>
      <rPr>
        <b/>
        <sz val="12"/>
        <color rgb="FFFF0000"/>
        <rFont val="Arial"/>
        <family val="2"/>
      </rPr>
      <t>EXCEPT</t>
    </r>
    <r>
      <rPr>
        <b/>
        <sz val="12"/>
        <rFont val="Arial"/>
        <family val="2"/>
      </rPr>
      <t xml:space="preserve"> Coronavirus Funds  - SEE INSTRUCTIONS)</t>
    </r>
  </si>
  <si>
    <t>Note: Balances below the threshold excluding exceptions should be reclassified as Accounts Receivable.</t>
  </si>
  <si>
    <t>NA for Component Units</t>
  </si>
  <si>
    <t>GASB No:</t>
  </si>
  <si>
    <t>Payor Contact</t>
  </si>
  <si>
    <t>Agency</t>
  </si>
  <si>
    <t>Phone Number/</t>
  </si>
  <si>
    <t xml:space="preserve">Confirmation </t>
  </si>
  <si>
    <t xml:space="preserve"> (See Instructions)</t>
  </si>
  <si>
    <t xml:space="preserve">Email </t>
  </si>
  <si>
    <t>Comments</t>
  </si>
  <si>
    <t xml:space="preserve">TOTAL </t>
  </si>
  <si>
    <t>Agrees to 11G/11P/11F</t>
  </si>
  <si>
    <t>SCHEDULE OF INTER-AGENCY PAYABLES (510)</t>
  </si>
  <si>
    <r>
      <t xml:space="preserve">(THRESHOLD APPLICABLE </t>
    </r>
    <r>
      <rPr>
        <b/>
        <sz val="12"/>
        <color rgb="FFFF0000"/>
        <rFont val="Arial"/>
        <family val="2"/>
      </rPr>
      <t>EXCEPT</t>
    </r>
    <r>
      <rPr>
        <b/>
        <sz val="12"/>
        <rFont val="Arial"/>
        <family val="2"/>
      </rPr>
      <t xml:space="preserve"> Coronavirus Funds - SEE INSTRUCTIONS)</t>
    </r>
  </si>
  <si>
    <t>Note: Balances below the threshold excluding exceptions should be reclassified as Accounts Payable.</t>
  </si>
  <si>
    <t>Payee Contact</t>
  </si>
  <si>
    <t>(See Instructions)</t>
  </si>
  <si>
    <t>TOTAL</t>
  </si>
  <si>
    <t>SCHEDULE OF DUE FROM / RESTRICTED DUE FROM PRIMARY GOVERNMENT (515)</t>
  </si>
  <si>
    <t>Note: Balances below the applicable threshold should be reclassified as Accounts Receivable.</t>
  </si>
  <si>
    <t>NA for Primary Gov agencies – for Component units only</t>
  </si>
  <si>
    <t>Due From Prim Gov</t>
  </si>
  <si>
    <t xml:space="preserve">Agrees to  11P/905/Statement of Net Position </t>
  </si>
  <si>
    <t>Restricted due from Prim Gov</t>
  </si>
  <si>
    <t xml:space="preserve">Agrees to 11P/905/Statement of Net Position </t>
  </si>
  <si>
    <t>SCHEDULE OF DUE TO PRIMARY GOVERNMENT (520)</t>
  </si>
  <si>
    <t>Due to Prim Gov</t>
  </si>
  <si>
    <t>SCHEDULE OF DUE FROM / RESTRICTED DUE FROM STATE OF NC COMPONENT UNITS (525)</t>
  </si>
  <si>
    <t>Due Fr St NC Comp Unit</t>
  </si>
  <si>
    <t>Agrees to 11G/P/F/905/Statement of Net Position</t>
  </si>
  <si>
    <t>Restricted Due From State of NC Comp Unit</t>
  </si>
  <si>
    <t>SCHEDULE OF DUE TO STATE OF NC COMPONENT UNITS (530)</t>
  </si>
  <si>
    <t>Due to St  NC Comp Unit</t>
  </si>
  <si>
    <t>SCHEDULE OF ADVANCES (535)</t>
  </si>
  <si>
    <t>*Applicable for Universities for Balances in Account 114501*</t>
  </si>
  <si>
    <t>Advances From Other Funds/Primary Government</t>
  </si>
  <si>
    <t>Detailed Explanation</t>
  </si>
  <si>
    <t xml:space="preserve">Agrees to 11G/P/F/Statement of Net Position </t>
  </si>
  <si>
    <t>Advances To Other Funds/Component Units/Entities Outside of State Reporting Entity</t>
  </si>
  <si>
    <t xml:space="preserve">Agrees to 11G/P/F/905/Statement of Net Position </t>
  </si>
  <si>
    <t>SCHEDULE OF INTRA-AGENCY OPERATING TRANSFERS (540)</t>
  </si>
  <si>
    <t>Intra-Agency Operating Transfers In</t>
  </si>
  <si>
    <t>Intra-Agency Operating Transfers Out</t>
  </si>
  <si>
    <t>Company</t>
  </si>
  <si>
    <t>No.</t>
  </si>
  <si>
    <t>4381AA</t>
  </si>
  <si>
    <t>5381AA</t>
  </si>
  <si>
    <t>0104</t>
  </si>
  <si>
    <t>0101</t>
  </si>
  <si>
    <t>Example</t>
  </si>
  <si>
    <t>Explain the purpose of transfers for all accounts over $4 million.  Use explanation tab if additional space is required.</t>
  </si>
  <si>
    <t>SCHEDULE OF INTRA-AGENCY INTER-COMPANY</t>
  </si>
  <si>
    <t>TRANSFERS TO BE ELIMINATED AT ANNUAL REPORT LEVEL (545)</t>
  </si>
  <si>
    <t>Operating Transfers In</t>
  </si>
  <si>
    <t>Operating Transfers Out</t>
  </si>
  <si>
    <t>0211</t>
  </si>
  <si>
    <t>0201</t>
  </si>
  <si>
    <t>SCHEDULE OF INTRA-AGENCY INTRA-COMPANY</t>
  </si>
  <si>
    <t>TRANSFERS TO BE ELIMINATED AT ANNUAL REPORT LEVEL (546)</t>
  </si>
  <si>
    <t>SCHEDULE OF INTER-AGENCY TRANSFERS</t>
  </si>
  <si>
    <t>OPERATING TRANSFERS IN (550)</t>
  </si>
  <si>
    <t>NA-Component Units</t>
  </si>
  <si>
    <t>Receiving Agency Information</t>
  </si>
  <si>
    <t>Sending Agency Information</t>
  </si>
  <si>
    <t>Account No.</t>
  </si>
  <si>
    <t>4380XX</t>
  </si>
  <si>
    <t>438CAA</t>
  </si>
  <si>
    <t>438FAA</t>
  </si>
  <si>
    <t>438PAA</t>
  </si>
  <si>
    <t>438SAA</t>
  </si>
  <si>
    <t>438TAA</t>
  </si>
  <si>
    <t>Status</t>
  </si>
  <si>
    <t>438UAA</t>
  </si>
  <si>
    <t>Agency No./Budget Code</t>
  </si>
  <si>
    <t>GASB No.</t>
  </si>
  <si>
    <t>Transferred From</t>
  </si>
  <si>
    <t>Description/Legislation/Comments</t>
  </si>
  <si>
    <t>Agreed</t>
  </si>
  <si>
    <t>Disagreed</t>
  </si>
  <si>
    <t>Response</t>
  </si>
  <si>
    <t>13/13100</t>
  </si>
  <si>
    <t>X</t>
  </si>
  <si>
    <t>Transfer Accounts - Purpose and Use</t>
  </si>
  <si>
    <t>OPERATING TRANSFERS OUT (555)</t>
  </si>
  <si>
    <t>5380XX</t>
  </si>
  <si>
    <t>538CAA</t>
  </si>
  <si>
    <t>538FAA*</t>
  </si>
  <si>
    <t>538PAA</t>
  </si>
  <si>
    <t>538TAA*</t>
  </si>
  <si>
    <t>538UAA*</t>
  </si>
  <si>
    <t>Transferred To</t>
  </si>
  <si>
    <t>90/19950</t>
  </si>
  <si>
    <t>*Note: 538FAA accounts are only used by the Department of Public Safety. 538TAA and 538UAA accounts are only used by the Office of State Controller.</t>
  </si>
  <si>
    <t>SCHEDULE OF AGENCY NONROUTINE TRANSFERS (560)</t>
  </si>
  <si>
    <t xml:space="preserve">  Agency No:</t>
  </si>
  <si>
    <t xml:space="preserve">   Preparer/Phone:</t>
  </si>
  <si>
    <t xml:space="preserve">  Agency Name:</t>
  </si>
  <si>
    <t xml:space="preserve">   Email:</t>
  </si>
  <si>
    <t xml:space="preserve">  GASB Fund No:</t>
  </si>
  <si>
    <t>Transfers In (Account 4384AA)</t>
  </si>
  <si>
    <t>Transfers Out (Account 5384AA)</t>
  </si>
  <si>
    <t>Reason/Description</t>
  </si>
  <si>
    <t>SCHEDULE OF INTERINSTITUTIONAL TRANSFERS (565)</t>
  </si>
  <si>
    <t xml:space="preserve">UNC System Entities Only </t>
  </si>
  <si>
    <t>4XXX</t>
  </si>
  <si>
    <t xml:space="preserve">Name of </t>
  </si>
  <si>
    <t xml:space="preserve">Description of </t>
  </si>
  <si>
    <t>438700-538700</t>
  </si>
  <si>
    <t xml:space="preserve">University </t>
  </si>
  <si>
    <t>Transfer</t>
  </si>
  <si>
    <t>Agrees to 53P/905</t>
  </si>
  <si>
    <r>
      <t xml:space="preserve">Errors </t>
    </r>
    <r>
      <rPr>
        <b/>
        <sz val="12"/>
        <color rgb="FFFF0000"/>
        <rFont val="Arial"/>
        <family val="2"/>
      </rPr>
      <t>*</t>
    </r>
    <r>
      <rPr>
        <sz val="12"/>
        <rFont val="Arial"/>
        <family val="2"/>
      </rPr>
      <t>:</t>
    </r>
  </si>
  <si>
    <t xml:space="preserve"> RECEIVABLES (570)</t>
  </si>
  <si>
    <t>NA - Proprietary Funds and Component Units</t>
  </si>
  <si>
    <t>For any receivable statement caption (notes rec, accounts rec, taxes receivable, etc) on</t>
  </si>
  <si>
    <t xml:space="preserve">the DSS 11G report that exceeds $1 million record the amount below that is not </t>
  </si>
  <si>
    <t xml:space="preserve">expected to be collected within one year.  </t>
  </si>
  <si>
    <t>Statement Caption</t>
  </si>
  <si>
    <t>EMPLOYER CONTRIBUTION AMOUNTS FOR TSERS AND OPEB (602)</t>
  </si>
  <si>
    <t>University/UNC System Only</t>
  </si>
  <si>
    <t>University No:</t>
  </si>
  <si>
    <t>University Name:</t>
  </si>
  <si>
    <r>
      <t xml:space="preserve">As part of the statewide ACFR compilation for GASB 68, OSC is required to report the </t>
    </r>
    <r>
      <rPr>
        <b/>
        <sz val="10"/>
        <color theme="1"/>
        <rFont val="Arial"/>
        <family val="2"/>
      </rPr>
      <t>TSERS'</t>
    </r>
    <r>
      <rPr>
        <sz val="10"/>
        <color theme="1"/>
        <rFont val="Arial"/>
        <family val="2"/>
      </rPr>
      <t xml:space="preserve"> </t>
    </r>
  </si>
  <si>
    <t xml:space="preserve">employer contribution amounts subsequent to the measurement date for component units.  </t>
  </si>
  <si>
    <t>Please provide the following information regarding your TSERS employer contributions.</t>
  </si>
  <si>
    <t>Total 2023 TSERS' employer contributions</t>
  </si>
  <si>
    <t>This should be the same amount that you keyed into the GASB 68 template for FY2023 employer</t>
  </si>
  <si>
    <t>contributions (on the detail tab, see example below)</t>
  </si>
  <si>
    <r>
      <t xml:space="preserve">As part of the statewide ACFR compilation for GASB 75, OSC is required to report the </t>
    </r>
    <r>
      <rPr>
        <b/>
        <sz val="10"/>
        <color theme="1"/>
        <rFont val="Arial"/>
        <family val="2"/>
      </rPr>
      <t>RHBF</t>
    </r>
    <r>
      <rPr>
        <sz val="10"/>
        <color theme="1"/>
        <rFont val="Arial"/>
        <family val="2"/>
      </rPr>
      <t xml:space="preserve"> </t>
    </r>
  </si>
  <si>
    <t>Please provide the following information regarding your RHBF employer contributions.</t>
  </si>
  <si>
    <t>Total 2023 RHBF employer contributions</t>
  </si>
  <si>
    <t>This should be the same amount that you keyed into the GASB 75 template for FY2023 employer</t>
  </si>
  <si>
    <r>
      <t xml:space="preserve">As part of the statewide ACFR compilation for GASB 75, OSC is required to report the </t>
    </r>
    <r>
      <rPr>
        <b/>
        <sz val="10"/>
        <color theme="1"/>
        <rFont val="Arial"/>
        <family val="2"/>
      </rPr>
      <t>DIPNC</t>
    </r>
    <r>
      <rPr>
        <sz val="10"/>
        <color theme="1"/>
        <rFont val="Arial"/>
        <family val="2"/>
      </rPr>
      <t xml:space="preserve"> </t>
    </r>
  </si>
  <si>
    <t>Please provide the following information regarding your DIPNC employer contributions.</t>
  </si>
  <si>
    <t>Total 2023 DIPNC employer contributions</t>
  </si>
  <si>
    <t>UNIVERSITY OPTIONAL RETIREMENT PROGRAM (605)</t>
  </si>
  <si>
    <t>Please provide the following information regarding covered payroll and contributions to the Optional Retirement Program (ORP) for those employees covered by the Teachers' Insurance and Annuity Association (TIAA) and Fidelity Investments:</t>
  </si>
  <si>
    <t>Fiscal Year Ended</t>
  </si>
  <si>
    <t>(accrual basis)</t>
  </si>
  <si>
    <t>NOTE: The term "covered payroll" is defined as all compensation paid to active employees contributing to the Optional Retirement Program.</t>
  </si>
  <si>
    <t>Covered Payroll</t>
  </si>
  <si>
    <t>Contributions</t>
  </si>
  <si>
    <t>Employee</t>
  </si>
  <si>
    <t>(6.00% of covered payroll)</t>
  </si>
  <si>
    <t>Employer</t>
  </si>
  <si>
    <t>(6.84% of covered payroll)</t>
  </si>
  <si>
    <t>Total Contributions</t>
  </si>
  <si>
    <t>IMPORTANT</t>
  </si>
  <si>
    <t>If your employer rate of contribution differs</t>
  </si>
  <si>
    <t>from that listed above, please contact OSC</t>
  </si>
  <si>
    <t>for additional guidance.</t>
  </si>
  <si>
    <t>Number of employees participating in the program</t>
  </si>
  <si>
    <t>GASB Statement 68 Requirements</t>
  </si>
  <si>
    <t xml:space="preserve">Amount of forfeitures reflected in pension expense recognized during the </t>
  </si>
  <si>
    <t>reporting period</t>
  </si>
  <si>
    <t>Amount of pension expense recognized during the reporting period</t>
  </si>
  <si>
    <t>Amount of liability at the end of the reporting period, if applicable</t>
  </si>
  <si>
    <t>SIGNIFICANT TRANSACTIONS BETWEEN COMPONENT UNITS (610)</t>
  </si>
  <si>
    <t>Component Units Only</t>
  </si>
  <si>
    <t>All component units must complete this worksheet - it cannot be marked NA for component units.</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</si>
  <si>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</si>
  <si>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Please provide below the employer's share of medical insurance premiums for employees paid to the State</t>
  </si>
  <si>
    <t>Health Plan for this fiscal year. For agencies using NCAS,  this corresponds with account 531560 MED</t>
  </si>
  <si>
    <t>INS CONTRIB-UNIV, 531561 MED INS CONTRIB-APPRO, or 531562 MED INS CONTRIB-RECPTS.</t>
  </si>
  <si>
    <t>Threshold: There is no threshold applicable to this section and a dollar amount is required even</t>
  </si>
  <si>
    <t>if the amount is $0.</t>
  </si>
  <si>
    <t>(2) Transactions with other component units of the State of NC:</t>
  </si>
  <si>
    <t xml:space="preserve">Describe the nature and amount of any other significant transactions with component units of the </t>
  </si>
  <si>
    <t>State of NC.  For a list of component units, please see the 'All Agencies' tab at the end of this workbook or</t>
  </si>
  <si>
    <t>the Instructions file.</t>
  </si>
  <si>
    <t>Threshold: For purposes of this section, 'significant' is defined as $10 million or greater on an</t>
  </si>
  <si>
    <t>accrual basis.</t>
  </si>
  <si>
    <t>DESCRIPTION</t>
  </si>
  <si>
    <t>AMOUNT</t>
  </si>
  <si>
    <t>(1) Employer's share of medical insurance premiums paid to State Health Plan</t>
  </si>
  <si>
    <t>(2) Other significant transactions ($10 million threshold) with other component units:</t>
  </si>
  <si>
    <t xml:space="preserve">   </t>
  </si>
  <si>
    <t>Foundations  Survey (615)</t>
  </si>
  <si>
    <t>This worksheet should be completed by State agencies and component units, excluding universities.</t>
  </si>
  <si>
    <t>Please complete the following for each legally separate, tax exempt foundation or similarly affiliated</t>
  </si>
  <si>
    <t>organization associated with your agency that have assets or revenues of $10 million or more.</t>
  </si>
  <si>
    <t>Name of Not-For-Profit Organization</t>
  </si>
  <si>
    <t>1)  Total Assets</t>
  </si>
  <si>
    <t>2)  Total Liabilities</t>
  </si>
  <si>
    <t>3)  Total Equity</t>
  </si>
  <si>
    <t>4)  Total Revenues</t>
  </si>
  <si>
    <t>5)  Total Expenses</t>
  </si>
  <si>
    <t>6)  Fiscal Year-End Date (Month/Day)</t>
  </si>
  <si>
    <t>7)  Included with your agency's</t>
  </si>
  <si>
    <t xml:space="preserve">      financial statements (Y/N)?</t>
  </si>
  <si>
    <t>Schedule of Due from / Due to University Component Units (616)</t>
  </si>
  <si>
    <t>(Universities Only)</t>
  </si>
  <si>
    <r>
      <t xml:space="preserve">Note: This worksheet </t>
    </r>
    <r>
      <rPr>
        <b/>
        <u/>
        <sz val="10"/>
        <rFont val="Arial"/>
        <family val="2"/>
      </rPr>
      <t>only</t>
    </r>
    <r>
      <rPr>
        <b/>
        <sz val="10"/>
        <rFont val="Arial"/>
        <family val="2"/>
      </rPr>
      <t xml:space="preserve"> applies to a University's transactions with its discretely presented</t>
    </r>
  </si>
  <si>
    <r>
      <t xml:space="preserve">          component units.  It </t>
    </r>
    <r>
      <rPr>
        <b/>
        <u/>
        <sz val="10"/>
        <rFont val="Arial"/>
        <family val="2"/>
      </rPr>
      <t>does not</t>
    </r>
    <r>
      <rPr>
        <b/>
        <sz val="10"/>
        <rFont val="Arial"/>
        <family val="2"/>
      </rPr>
      <t xml:space="preserve"> apply to a University's transactions with its blended</t>
    </r>
  </si>
  <si>
    <t xml:space="preserve">          component units. The amount reported as due from the component unit (due to the </t>
  </si>
  <si>
    <t xml:space="preserve">          component unit) by the University should be reconciled with the component unit and </t>
  </si>
  <si>
    <t xml:space="preserve">          reported as due to the University (due from the University) on the foundation template </t>
  </si>
  <si>
    <t xml:space="preserve">          submitted to OSC.</t>
  </si>
  <si>
    <t>SECTION 1 - SCHEDULE OF DUE FROM UNIVERSITY COMPONENT UNITS</t>
  </si>
  <si>
    <t>NCAS Acct</t>
  </si>
  <si>
    <t>114800</t>
  </si>
  <si>
    <t>Foundation Name</t>
  </si>
  <si>
    <t>Phone #</t>
  </si>
  <si>
    <t>component units' on w/s 905 / Statement</t>
  </si>
  <si>
    <t>of Net Position</t>
  </si>
  <si>
    <t>SECTION 2 - SCHEDULE OF DUE TO UNIVERSITY COMPONENT UNITS</t>
  </si>
  <si>
    <t>212700</t>
  </si>
  <si>
    <t>units' on w/s 905 / Statement of Net</t>
  </si>
  <si>
    <t>Position</t>
  </si>
  <si>
    <t>ANALYSIS OF UNAVAILABLE REVENUES (620)</t>
  </si>
  <si>
    <t>Governmental Funds Only</t>
  </si>
  <si>
    <t>Complete the following information only for Deferred Inflows that are for unavailable revenues in the current period (Account 218120).</t>
  </si>
  <si>
    <t>UR_BegBal</t>
  </si>
  <si>
    <t>UR_IncrInUnRev</t>
  </si>
  <si>
    <t>UR_PYearUnRevErnInCurYr</t>
  </si>
  <si>
    <t>UR_WrtOfUnclAmts</t>
  </si>
  <si>
    <t xml:space="preserve">Prior Year </t>
  </si>
  <si>
    <t>Beginning</t>
  </si>
  <si>
    <t>Unavailable</t>
  </si>
  <si>
    <t>Write-Offs/</t>
  </si>
  <si>
    <t>In Unavailable</t>
  </si>
  <si>
    <t>Revenues Earned</t>
  </si>
  <si>
    <t>Uncollectible</t>
  </si>
  <si>
    <t>Revenue</t>
  </si>
  <si>
    <t>in Current Year</t>
  </si>
  <si>
    <t>Amounts</t>
  </si>
  <si>
    <t>UR_Alcoholic beverage tax</t>
  </si>
  <si>
    <t>(Ties to 11G)</t>
  </si>
  <si>
    <t xml:space="preserve">Revenue statement caption is the type of revenue that has been deferred.  </t>
  </si>
  <si>
    <t>Example: Individual Income Tax, Fee Licenses and Fines, Sales and Services, etc.</t>
  </si>
  <si>
    <t>Write-offs/uncollectible amounts are amounts reported as unavailable revenue in previous years but are now deemed uncollectible.  This</t>
  </si>
  <si>
    <t>amount is not included in the current year unavailable revenue balance.</t>
  </si>
  <si>
    <t>Analytical Review (625)</t>
  </si>
  <si>
    <t>GASB Fund Name:</t>
  </si>
  <si>
    <t xml:space="preserve">$ Change </t>
  </si>
  <si>
    <t>Description — Reason for Significant Change</t>
  </si>
  <si>
    <t>SEGMENTS (635)</t>
  </si>
  <si>
    <t>REPORTABLE SEGMENTS</t>
  </si>
  <si>
    <t xml:space="preserve">Governments that report enterprise funds or that use enterprise fund accounting and reporting standards are </t>
  </si>
  <si>
    <t>required to disclose certain information about each "reportable segment" in the notes to the financial</t>
  </si>
  <si>
    <t>statements.  "Reportable segments" are defined by GASB Statement No. 34, paragraph 122, as amended.</t>
  </si>
  <si>
    <t>AGENCY ACTION</t>
  </si>
  <si>
    <t>If your agency has any "reportable segments" as defined by GAAP, provide the following information</t>
  </si>
  <si>
    <t xml:space="preserve">for each reportable segment (Note: if you have more than one reportable segment, complete a separate </t>
  </si>
  <si>
    <t>worksheet for each one).</t>
  </si>
  <si>
    <t>1) Describe types of goods and services provided by the segment:</t>
  </si>
  <si>
    <t>2) Condensed Statement of Net Position</t>
  </si>
  <si>
    <t>Assets:</t>
  </si>
  <si>
    <t>Due from other funds</t>
  </si>
  <si>
    <t>Due from component unit</t>
  </si>
  <si>
    <t>Other current assets</t>
  </si>
  <si>
    <t>Capital assets</t>
  </si>
  <si>
    <t>Other assets</t>
  </si>
  <si>
    <t>Total assets</t>
  </si>
  <si>
    <t>Deferred outflows of resources:</t>
  </si>
  <si>
    <t>Accumulated decrease in fair value of hedging derivatives</t>
  </si>
  <si>
    <t>Deferred loss on refunding</t>
  </si>
  <si>
    <t>Deferred outflows for pensions</t>
  </si>
  <si>
    <t>Deferred outflows for OPEB</t>
  </si>
  <si>
    <t>Excess consideration provided for acquisition</t>
  </si>
  <si>
    <t>Other deferred outflows</t>
  </si>
  <si>
    <t>Total deferred outflows</t>
  </si>
  <si>
    <t>Liabilities:</t>
  </si>
  <si>
    <t>Interfund payables</t>
  </si>
  <si>
    <t>Due to component unit</t>
  </si>
  <si>
    <t>Other current liabilities</t>
  </si>
  <si>
    <t>Total liabilities</t>
  </si>
  <si>
    <t>Deferred inflows of resources:</t>
  </si>
  <si>
    <t>Accumulated increase in fair value of hedging derivatives</t>
  </si>
  <si>
    <t>Deferred inflows related to PPP arrangements</t>
  </si>
  <si>
    <t>Deferred gain on refunding</t>
  </si>
  <si>
    <t>Deferred inflows-nonexchange transactions</t>
  </si>
  <si>
    <t>Deferred state aid</t>
  </si>
  <si>
    <t>Deferred inflows for pensions</t>
  </si>
  <si>
    <t>Deferred inflows for OPEB</t>
  </si>
  <si>
    <t>Deferred inflows for leases</t>
  </si>
  <si>
    <t>Other deferred inflows</t>
  </si>
  <si>
    <t>Total deferred inflows</t>
  </si>
  <si>
    <t>Net position:</t>
  </si>
  <si>
    <t>Total net position</t>
  </si>
  <si>
    <t>check: Assets + Def outflows - Liab - Def inflows = Net position</t>
  </si>
  <si>
    <t>3) Condensed Statement of Revenues, Expenses and Changes in Net Position:</t>
  </si>
  <si>
    <t>Operating revenues (pledged against bonds)</t>
  </si>
  <si>
    <t>Other operating revenues</t>
  </si>
  <si>
    <t>Depreciation expense</t>
  </si>
  <si>
    <t>Other operating expenses</t>
  </si>
  <si>
    <t>Operating income</t>
  </si>
  <si>
    <t>Nonoperating revenues (expenses):</t>
  </si>
  <si>
    <t xml:space="preserve">    Investment income</t>
  </si>
  <si>
    <t xml:space="preserve">    Interest expense</t>
  </si>
  <si>
    <t xml:space="preserve">    Other nonoperating revenues (expenses)</t>
  </si>
  <si>
    <t>Capital contributions</t>
  </si>
  <si>
    <t>Additions to permanent and term endowments</t>
  </si>
  <si>
    <t>Special and extraordinary items</t>
  </si>
  <si>
    <t>Transfers in</t>
  </si>
  <si>
    <t>Transfers out</t>
  </si>
  <si>
    <t>Change in net position</t>
  </si>
  <si>
    <t>Beginning net position</t>
  </si>
  <si>
    <t>Ending net position</t>
  </si>
  <si>
    <t xml:space="preserve">check: Net position between statements </t>
  </si>
  <si>
    <t>TAX ABATEMENTS (640)</t>
  </si>
  <si>
    <t>Prepare/Phone:</t>
  </si>
  <si>
    <t>For more information on GASB 77, refer to the GASB Resources link on the OSC website (or see link below).</t>
  </si>
  <si>
    <t>Financial Reporting Update GASB 77</t>
  </si>
  <si>
    <t>Please provide the following information for each tax abatement program:</t>
  </si>
  <si>
    <t>1. Program Name:</t>
  </si>
  <si>
    <t>[GASB Codification T10 .105a.(1)]</t>
  </si>
  <si>
    <t>2. Specific Tax Abated:</t>
  </si>
  <si>
    <t>[GASB Codification T10 .105 a,(2)]</t>
  </si>
  <si>
    <t>3. Authority for Abatement:</t>
  </si>
  <si>
    <t>[GASB Codification T10 .105a.(3)]</t>
  </si>
  <si>
    <r>
      <t xml:space="preserve">4. Gross dollar amount of taxes abated during the fiscal year, </t>
    </r>
    <r>
      <rPr>
        <b/>
        <u/>
        <sz val="10"/>
        <rFont val="Arial"/>
        <family val="2"/>
      </rPr>
      <t>on an accrual basis</t>
    </r>
    <r>
      <rPr>
        <b/>
        <sz val="10"/>
        <rFont val="Arial"/>
        <family val="2"/>
      </rPr>
      <t xml:space="preserve"> as a result of the agreement:</t>
    </r>
  </si>
  <si>
    <t>[GASB Codification T10 .105b]</t>
  </si>
  <si>
    <t>5. General Statute or Authority preventing details from being disclosed:</t>
  </si>
  <si>
    <t>[GASB Codification T10 .105f]</t>
  </si>
  <si>
    <t>Note: The paragraph numbers refer to the paragraph numbers in the GASB Codification for Tax Abatements.</t>
  </si>
  <si>
    <t>Complete the Package Narrative for additional disclosures required for each Tax Abatement Program.</t>
  </si>
  <si>
    <t>CASH AND CASH EQUIVALENTS IN BANKS OUTSIDE THE STATE TREASURER</t>
  </si>
  <si>
    <t>CUSTODIAL CREDIT RISK - DEPOSITS (705)</t>
  </si>
  <si>
    <t>Agency/Univ Name:</t>
  </si>
  <si>
    <t>Subject to Custodial Credit Risk Disclosure - Uninsured</t>
  </si>
  <si>
    <t>Held by Pledging</t>
  </si>
  <si>
    <t>Fin. Institution's</t>
  </si>
  <si>
    <t>Cash by</t>
  </si>
  <si>
    <t>Uninsured and</t>
  </si>
  <si>
    <t>Trust Dept. or Agent</t>
  </si>
  <si>
    <t>All Other</t>
  </si>
  <si>
    <t>Summarize by Bank Name</t>
  </si>
  <si>
    <t>Bank</t>
  </si>
  <si>
    <t>Uncollateralized</t>
  </si>
  <si>
    <t>Financial Institution</t>
  </si>
  <si>
    <t>but not in Agency's Name</t>
  </si>
  <si>
    <t>Bank Balances</t>
  </si>
  <si>
    <t>DEMAND  ACCOUNTS:</t>
  </si>
  <si>
    <r>
      <t>Noninterest</t>
    </r>
    <r>
      <rPr>
        <sz val="10"/>
        <rFont val="Arial Narrow"/>
        <family val="2"/>
      </rPr>
      <t xml:space="preserve"> </t>
    </r>
    <r>
      <rPr>
        <b/>
        <u/>
        <sz val="10"/>
        <rFont val="Arial Narrow"/>
        <family val="2"/>
      </rPr>
      <t>and interest</t>
    </r>
    <r>
      <rPr>
        <b/>
        <u/>
        <sz val="9"/>
        <rFont val="Arial Narrow"/>
        <family val="2"/>
      </rPr>
      <t xml:space="preserve"> </t>
    </r>
    <r>
      <rPr>
        <sz val="9"/>
        <rFont val="Arial Narrow"/>
        <family val="2"/>
      </rPr>
      <t>bearing checking accounts</t>
    </r>
  </si>
  <si>
    <t>DA100</t>
  </si>
  <si>
    <t>DA120</t>
  </si>
  <si>
    <t>DA140</t>
  </si>
  <si>
    <t>DA160</t>
  </si>
  <si>
    <t>DA180</t>
  </si>
  <si>
    <t>DA200</t>
  </si>
  <si>
    <t>DA220</t>
  </si>
  <si>
    <t>Residual Cash - Cash with fiscal agent (Trust Accounts)</t>
  </si>
  <si>
    <t>DA240</t>
  </si>
  <si>
    <t>DA260</t>
  </si>
  <si>
    <t>DA320</t>
  </si>
  <si>
    <t>DATot</t>
  </si>
  <si>
    <t>TOTAL DEMAND ACCOUNTS</t>
  </si>
  <si>
    <t>TIME  ACCOUNTS:</t>
  </si>
  <si>
    <t>Savings accounts, NOW accounts, money market accounts, pooled cash accounts (AOC only)</t>
  </si>
  <si>
    <t>TA100</t>
  </si>
  <si>
    <t>TA120</t>
  </si>
  <si>
    <t>TA140</t>
  </si>
  <si>
    <t>TA160</t>
  </si>
  <si>
    <t>TA180</t>
  </si>
  <si>
    <t>TA200</t>
  </si>
  <si>
    <t>TATot</t>
  </si>
  <si>
    <t>TOTAL TIME ACCOUNTS</t>
  </si>
  <si>
    <t>INVESTMENTS HELD OUTSIDE THE STATE TREASURER</t>
  </si>
  <si>
    <t>CUSTODIAL CREDIT RISK - INVESTMENTS (710)</t>
  </si>
  <si>
    <t>Carrying Value</t>
  </si>
  <si>
    <t>Uninsured, Not Registered in Name of Govt.</t>
  </si>
  <si>
    <t>Held by Counterparty</t>
  </si>
  <si>
    <t>Held by Counterparty's Trust Dept. or Agent but not in Agency's Name</t>
  </si>
  <si>
    <t>All Other Investments</t>
  </si>
  <si>
    <t>Held by</t>
  </si>
  <si>
    <t>Counterparty's Trust</t>
  </si>
  <si>
    <t>Dept. or Agent but</t>
  </si>
  <si>
    <t>Out of</t>
  </si>
  <si>
    <t>Type of Investment</t>
  </si>
  <si>
    <t>(Cost + Allowance)</t>
  </si>
  <si>
    <t>not in Agency's Name</t>
  </si>
  <si>
    <t>Investments Categorized:</t>
  </si>
  <si>
    <t>U.S. Treasuries</t>
  </si>
  <si>
    <t>IC100</t>
  </si>
  <si>
    <t>U.S. Treasury STRIPS</t>
  </si>
  <si>
    <t>IC120</t>
  </si>
  <si>
    <t>U.S. agencies</t>
  </si>
  <si>
    <t>IC140</t>
  </si>
  <si>
    <t>Mortgage pass-throughs</t>
  </si>
  <si>
    <t>IC160</t>
  </si>
  <si>
    <t>Collateralized mortgage obligations</t>
  </si>
  <si>
    <t>IC180</t>
  </si>
  <si>
    <t>State and local government</t>
  </si>
  <si>
    <t>IC200</t>
  </si>
  <si>
    <t>Asset-backed securities</t>
  </si>
  <si>
    <t>IC220</t>
  </si>
  <si>
    <t>Collective investment funds</t>
  </si>
  <si>
    <t>IC240</t>
  </si>
  <si>
    <t>Repurchase agreements</t>
  </si>
  <si>
    <t>IC260</t>
  </si>
  <si>
    <t>IC300</t>
  </si>
  <si>
    <t>Domestic corporate bonds</t>
  </si>
  <si>
    <t>IC320</t>
  </si>
  <si>
    <t>Foreign corporate bonds</t>
  </si>
  <si>
    <t>IC340</t>
  </si>
  <si>
    <t>Foreign government bonds</t>
  </si>
  <si>
    <t>IC360</t>
  </si>
  <si>
    <t>Domestic stocks</t>
  </si>
  <si>
    <t>IC380</t>
  </si>
  <si>
    <t>Foreign stocks</t>
  </si>
  <si>
    <t>IC400</t>
  </si>
  <si>
    <t>Other A:</t>
  </si>
  <si>
    <t>Select Other Investment (Click here)</t>
  </si>
  <si>
    <t>IC420</t>
  </si>
  <si>
    <t>Other B:</t>
  </si>
  <si>
    <t>IC440</t>
  </si>
  <si>
    <t xml:space="preserve">Total Categorized </t>
  </si>
  <si>
    <t>IC460</t>
  </si>
  <si>
    <t>Investments Not Categorized:</t>
  </si>
  <si>
    <t>Certificates of deposit (non-negotiable)</t>
  </si>
  <si>
    <t>IN100</t>
  </si>
  <si>
    <t>Money market mutual funds</t>
  </si>
  <si>
    <t>IN160</t>
  </si>
  <si>
    <t>UNC Investment Fund</t>
  </si>
  <si>
    <t>IN180</t>
  </si>
  <si>
    <t>Debt mutual funds</t>
  </si>
  <si>
    <t>IN200</t>
  </si>
  <si>
    <t>Balanced mutual funds</t>
  </si>
  <si>
    <t>IN220</t>
  </si>
  <si>
    <t>International mutual funds</t>
  </si>
  <si>
    <t>IN240</t>
  </si>
  <si>
    <t>Equity mutual funds</t>
  </si>
  <si>
    <t>IN260</t>
  </si>
  <si>
    <t>Pooled debt funds</t>
  </si>
  <si>
    <t>IN280</t>
  </si>
  <si>
    <t>Annuity contracts</t>
  </si>
  <si>
    <t>IN300</t>
  </si>
  <si>
    <t>Investments in real estate</t>
  </si>
  <si>
    <t>IN320</t>
  </si>
  <si>
    <t>Real estate investment trust</t>
  </si>
  <si>
    <t>IN340</t>
  </si>
  <si>
    <t>Hedge funds</t>
  </si>
  <si>
    <t>IN360</t>
  </si>
  <si>
    <t>Private equity limited partnerships</t>
  </si>
  <si>
    <t>IN380</t>
  </si>
  <si>
    <t>Real assets limited partnerships</t>
  </si>
  <si>
    <t>IN400</t>
  </si>
  <si>
    <t>Other limited partnerships</t>
  </si>
  <si>
    <t>IN410</t>
  </si>
  <si>
    <t>Pooled investments</t>
  </si>
  <si>
    <t>IN420</t>
  </si>
  <si>
    <t>Unallocated insurance contracts</t>
  </si>
  <si>
    <t>IN445</t>
  </si>
  <si>
    <t>Other C:</t>
  </si>
  <si>
    <t>IN460</t>
  </si>
  <si>
    <t>Other D:</t>
  </si>
  <si>
    <t>IN480</t>
  </si>
  <si>
    <t>Other E:</t>
  </si>
  <si>
    <t>IN500</t>
  </si>
  <si>
    <t>Other F:</t>
  </si>
  <si>
    <t>IN520</t>
  </si>
  <si>
    <t>Totals per 11G/11P/11F/905 (Bal Sheet/Stmt of Net Position):</t>
  </si>
  <si>
    <t>Current Assets: Investments</t>
  </si>
  <si>
    <t>Current Assets: Restricted Investments</t>
  </si>
  <si>
    <t>Non-Current Assets: Investments</t>
  </si>
  <si>
    <t>Non-Current Assets: Restricted Investmts</t>
  </si>
  <si>
    <t>Contract Value adjustment (401(k) &amp; Def Comp only)</t>
  </si>
  <si>
    <t>Total INVESTMENTS Held Outside the</t>
  </si>
  <si>
    <t xml:space="preserve">State Treasurer </t>
  </si>
  <si>
    <t>HOSTTotal</t>
  </si>
  <si>
    <t>Total per 11G/11P/11F/905</t>
  </si>
  <si>
    <t>HOST11</t>
  </si>
  <si>
    <t>Difference</t>
  </si>
  <si>
    <t>CUSTODIAL CREDIT RISK - DEPOSITS (715)</t>
  </si>
  <si>
    <t>Uninsured and Uncollateralized</t>
  </si>
  <si>
    <t>Held by Pledging Financial Institution</t>
  </si>
  <si>
    <t>Held by Pledging Fin. Institution's Trust Dept. or Agent not Agency's Name</t>
  </si>
  <si>
    <t>All Other Bank Balances</t>
  </si>
  <si>
    <t>CD100</t>
  </si>
  <si>
    <t>CD120</t>
  </si>
  <si>
    <t>CERTIFICATES OF DEPOSIT:</t>
  </si>
  <si>
    <t>CD140</t>
  </si>
  <si>
    <t>CD160</t>
  </si>
  <si>
    <t>CD180</t>
  </si>
  <si>
    <t>CD200</t>
  </si>
  <si>
    <t>CD220</t>
  </si>
  <si>
    <t>CD240</t>
  </si>
  <si>
    <t>CD260</t>
  </si>
  <si>
    <t>CD280</t>
  </si>
  <si>
    <t>CD300</t>
  </si>
  <si>
    <t>CDTotal</t>
  </si>
  <si>
    <t>Total Certificates of Deposit</t>
  </si>
  <si>
    <t>BANK INVESTMENT CONTRACTS:</t>
  </si>
  <si>
    <t>BIC100</t>
  </si>
  <si>
    <t>BIC120</t>
  </si>
  <si>
    <t>BIC140</t>
  </si>
  <si>
    <t>BICTotal</t>
  </si>
  <si>
    <t>Total Bank Investment Contracts</t>
  </si>
  <si>
    <t>TotalTDCDBIC</t>
  </si>
  <si>
    <t>Total Time/Demand/CD/BIC</t>
  </si>
  <si>
    <t>Time/Demand/CD/BIC</t>
  </si>
  <si>
    <t>INTEREST RATE RISK (720)</t>
  </si>
  <si>
    <t>Investment Maturities (in Years)</t>
  </si>
  <si>
    <t>Investment Type</t>
  </si>
  <si>
    <t>Less Than 1</t>
  </si>
  <si>
    <t>1 to 5</t>
  </si>
  <si>
    <t>6 to 10</t>
  </si>
  <si>
    <t>More Than 10</t>
  </si>
  <si>
    <t>Out of Balance</t>
  </si>
  <si>
    <t>Investments Subject to Interest Rate Risk:</t>
  </si>
  <si>
    <t>SIRR100</t>
  </si>
  <si>
    <t>SIRR120</t>
  </si>
  <si>
    <t>SIRR140</t>
  </si>
  <si>
    <t>SIRR160</t>
  </si>
  <si>
    <t>SIRR180</t>
  </si>
  <si>
    <t>SIRR200</t>
  </si>
  <si>
    <t>SIRR220</t>
  </si>
  <si>
    <t>SIRR240</t>
  </si>
  <si>
    <t>SIRR260</t>
  </si>
  <si>
    <t>SIRR300</t>
  </si>
  <si>
    <t>SIRR320</t>
  </si>
  <si>
    <t>SIRR340</t>
  </si>
  <si>
    <t>SIRR360</t>
  </si>
  <si>
    <t>SIRR380</t>
  </si>
  <si>
    <t>SIRR400</t>
  </si>
  <si>
    <t>SIRR420</t>
  </si>
  <si>
    <t>SIRR440</t>
  </si>
  <si>
    <t>SIRR460</t>
  </si>
  <si>
    <t>SIRR480</t>
  </si>
  <si>
    <t>SIRR500</t>
  </si>
  <si>
    <t>Total Investment Subject to Interest Rate Risk</t>
  </si>
  <si>
    <t>Investments Not Subject to Interest Rate Risk:</t>
  </si>
  <si>
    <t>NSIRR100</t>
  </si>
  <si>
    <t>The maturity of a mutual bond fund should be based on the weighted</t>
  </si>
  <si>
    <t>NSIRR160</t>
  </si>
  <si>
    <t>average maturity of all of the debt investment maturities in the fund's</t>
  </si>
  <si>
    <t>NSIRR180</t>
  </si>
  <si>
    <t>portfolio.  For example, a mutual bond fund with a weighted average</t>
  </si>
  <si>
    <t>NSIRR200</t>
  </si>
  <si>
    <t>maturity of 8.5 months should be reported as an investment with a</t>
  </si>
  <si>
    <t>NSIRR220</t>
  </si>
  <si>
    <t>maturity of less than one year. (GASB Codification Section I50.741-5)</t>
  </si>
  <si>
    <t>NSIRR240</t>
  </si>
  <si>
    <t>NSIRR260</t>
  </si>
  <si>
    <t>NSIRR280</t>
  </si>
  <si>
    <t>NSIRR300</t>
  </si>
  <si>
    <t>NSIRR320</t>
  </si>
  <si>
    <t>NSIRR330</t>
  </si>
  <si>
    <t>NSIRR340</t>
  </si>
  <si>
    <t>NSIRR365</t>
  </si>
  <si>
    <t>NSIRR380</t>
  </si>
  <si>
    <t>NSIRR400</t>
  </si>
  <si>
    <t>NSIRR420</t>
  </si>
  <si>
    <t>NSIRR440</t>
  </si>
  <si>
    <t>NSIRR460</t>
  </si>
  <si>
    <t>NSIRR480</t>
  </si>
  <si>
    <t>NSIRR500</t>
  </si>
  <si>
    <t>Total Investments Held Outside the State Treasurer</t>
  </si>
  <si>
    <t>Agrees to page 710</t>
  </si>
  <si>
    <t>*Using exisiting line items in Row 13. Make sure the member names match with other sheets</t>
  </si>
  <si>
    <t xml:space="preserve">                                  CREDIT RISK (725)</t>
  </si>
  <si>
    <t>Moody's/S&amp;P/Fitch</t>
  </si>
  <si>
    <t>Credit Rating</t>
  </si>
  <si>
    <t>Aaa/AAA</t>
  </si>
  <si>
    <t>Aa/AA</t>
  </si>
  <si>
    <t>Baa/BBB</t>
  </si>
  <si>
    <t>Less than Investment Grade</t>
  </si>
  <si>
    <t>Unrated</t>
  </si>
  <si>
    <t xml:space="preserve">Exempt from credit quality </t>
  </si>
  <si>
    <t>Mortgage pass throughs</t>
  </si>
  <si>
    <t>Other A</t>
  </si>
  <si>
    <t>Other B</t>
  </si>
  <si>
    <t>Only Applicable if the Lowest Ratings are not Already Disclosed Above :</t>
  </si>
  <si>
    <t>At year-end, did your agency have any investments in debt securities over $25 million with material differences in credit ratings?  A material difference is defined as a security</t>
  </si>
  <si>
    <t>being rated as investment grade and below investment grade by different rating agencies.</t>
  </si>
  <si>
    <t>N/A</t>
  </si>
  <si>
    <t>If YES, disclose the following:</t>
  </si>
  <si>
    <t>Other Rating Agency (specify)</t>
  </si>
  <si>
    <t>ADDITIONAL LEVEL OF DETAIL (730)</t>
  </si>
  <si>
    <t xml:space="preserve">If there were any dissimilar investments subject to interest rate risk aggregated into a single investment type on Worksheet 720, </t>
  </si>
  <si>
    <t>then breakout out the dissimilar investments below.</t>
  </si>
  <si>
    <r>
      <t>Investments Subject to Interest Rate Risk</t>
    </r>
    <r>
      <rPr>
        <vertAlign val="superscript"/>
        <sz val="10"/>
        <rFont val="Arial"/>
        <family val="2"/>
      </rPr>
      <t xml:space="preserve"> </t>
    </r>
    <r>
      <rPr>
        <vertAlign val="superscript"/>
        <sz val="8"/>
        <rFont val="Arial"/>
        <family val="2"/>
      </rPr>
      <t>a</t>
    </r>
  </si>
  <si>
    <r>
      <t>Credit Rating</t>
    </r>
    <r>
      <rPr>
        <vertAlign val="superscript"/>
        <sz val="10"/>
        <rFont val="Arial"/>
        <family val="2"/>
      </rPr>
      <t xml:space="preserve"> </t>
    </r>
    <r>
      <rPr>
        <vertAlign val="superscript"/>
        <sz val="8"/>
        <rFont val="Arial"/>
        <family val="2"/>
      </rPr>
      <t>b</t>
    </r>
  </si>
  <si>
    <t>1.  Investment Type (per worksheet 720):</t>
  </si>
  <si>
    <t>Dissimilar Investments:</t>
  </si>
  <si>
    <t>2.  Investment Type (per worksheet 720):</t>
  </si>
  <si>
    <t>3.  Investment Type (per worksheet 720):</t>
  </si>
  <si>
    <t>GASB 40 establishes a general disclosure principal that risk disclosures applicable to investments should be reported separately by investment type.  It emphasizes that</t>
  </si>
  <si>
    <t>investments with significantly different risk profiles, such as U.S. Treasury bills and U.S. Treasury strips, should not be aggregated into a single investment type. (GASB</t>
  </si>
  <si>
    <t>Codification Section I50.734-1)</t>
  </si>
  <si>
    <t xml:space="preserve">Indicate the Moody's/S&amp;P/Fitch credit rating or indicate "Unrated" or "Exempt" (for exempt from credit quality).  If you have access to multiple credit ratings for a particular </t>
  </si>
  <si>
    <t>investment, disclose the lowest rating.</t>
  </si>
  <si>
    <t>CONCENTRATION OF CREDIT RISK (735)</t>
  </si>
  <si>
    <t xml:space="preserve">Agency No: </t>
  </si>
  <si>
    <t>This worksheet is only applicable to the University System, the State Treasurer, Department of Transportation, the State 401(k) plan, and the State Deferred Compensation Plan.</t>
  </si>
  <si>
    <r>
      <t>At year-end, did your agency have any investments in any one issuer equal to 5 percent</t>
    </r>
    <r>
      <rPr>
        <vertAlign val="superscript"/>
        <sz val="9"/>
        <rFont val="Arial"/>
        <family val="2"/>
      </rPr>
      <t xml:space="preserve"> 1 </t>
    </r>
    <r>
      <rPr>
        <sz val="9"/>
        <rFont val="Arial"/>
        <family val="2"/>
      </rPr>
      <t>or more of your total investments?</t>
    </r>
  </si>
  <si>
    <t xml:space="preserve">(Note:  Investments issued or explicitly guaranteed by the U.S. government; investments in mutual funds; external investment pools, </t>
  </si>
  <si>
    <r>
      <t>such as STIF</t>
    </r>
    <r>
      <rPr>
        <sz val="9"/>
        <rFont val="Arial"/>
        <family val="2"/>
      </rPr>
      <t xml:space="preserve">; and other pooled investments are </t>
    </r>
    <r>
      <rPr>
        <u/>
        <sz val="9"/>
        <rFont val="Arial"/>
        <family val="2"/>
      </rPr>
      <t>excluded</t>
    </r>
    <r>
      <rPr>
        <sz val="9"/>
        <rFont val="Arial"/>
        <family val="2"/>
      </rPr>
      <t xml:space="preserve"> from this requirement.)</t>
    </r>
  </si>
  <si>
    <t>IF YES, complete the following for each issuer meeting the 5 percent threshold.</t>
  </si>
  <si>
    <r>
      <t xml:space="preserve">Issuer </t>
    </r>
    <r>
      <rPr>
        <vertAlign val="superscript"/>
        <sz val="9"/>
        <rFont val="Arial"/>
        <family val="2"/>
      </rPr>
      <t>2</t>
    </r>
  </si>
  <si>
    <t>Total investments subject to the 5 percent threshold are defined as follows:</t>
  </si>
  <si>
    <t>Total investments held outside the State Treasurer (Worksheet 710)</t>
  </si>
  <si>
    <t>Less: Certificates of deposit (Worksheet 710)</t>
  </si>
  <si>
    <t>Plus: Total STIF balances</t>
  </si>
  <si>
    <t>Total investments subject to 5 percent threshold</t>
  </si>
  <si>
    <t>An issuer is the entity that has the authority to distribute a security or other investment. A bond issuer is the entity that is legally obligated to make principal</t>
  </si>
  <si>
    <t>and interest payments to bond holders.</t>
  </si>
  <si>
    <t>FOREIGN CURRENCY (740)</t>
  </si>
  <si>
    <t>A.  Foreign Currency Risk</t>
  </si>
  <si>
    <t>NOTE:  International Mutual Funds are subject to foreign currency risk if the investment in the fund is not denominated in U.S dollars.  See Worksheet Instructions.</t>
  </si>
  <si>
    <t>Foreign Currency Denomination</t>
  </si>
  <si>
    <t>(i.e., Euro, Japanese Yen, Swiss Franc, etc)</t>
  </si>
  <si>
    <t>(U.S. Dollars)</t>
  </si>
  <si>
    <t>*Formula Column</t>
  </si>
  <si>
    <t>Select Investment Type (Click here)</t>
  </si>
  <si>
    <t>Select Foreign Currency (Click here)</t>
  </si>
  <si>
    <t>B.  Foreign Currency Transactions</t>
  </si>
  <si>
    <t xml:space="preserve">Transaction gains or losses result from a change in exchange rates between the U.S. dollar and the currency in which a foreign currency transaction is </t>
  </si>
  <si>
    <t>denominated.  Also see Worksheet Instructions.</t>
  </si>
  <si>
    <t xml:space="preserve">1.  Provide the aggregate amount of foreign currency transaction gains or losses recognized in the period.  Specify gain or loss by entering gains as </t>
  </si>
  <si>
    <t>positive and losses as negative.</t>
  </si>
  <si>
    <t>Aggregate Gain or Loss</t>
  </si>
  <si>
    <t>(Losses should be negative)</t>
  </si>
  <si>
    <t xml:space="preserve">2.  Provide the total amount of unsettled foreign currency transaction balances at year-end.  </t>
  </si>
  <si>
    <t>Total Amount</t>
  </si>
  <si>
    <t>None</t>
  </si>
  <si>
    <t>DEPOSIT AND INVESTMENT POLICIES (745)</t>
  </si>
  <si>
    <t>This worksheet is only applicable to the University System, Department of Transportation, and Department of State Treasurer.</t>
  </si>
  <si>
    <r>
      <t xml:space="preserve">Does your agency have </t>
    </r>
    <r>
      <rPr>
        <u/>
        <sz val="9"/>
        <rFont val="Arial"/>
        <family val="2"/>
      </rPr>
      <t>formally adopted</t>
    </r>
    <r>
      <rPr>
        <vertAlign val="superscript"/>
        <sz val="9"/>
        <rFont val="Arial"/>
        <family val="2"/>
      </rPr>
      <t xml:space="preserve"> 1 </t>
    </r>
    <r>
      <rPr>
        <sz val="9"/>
        <rFont val="Arial"/>
        <family val="2"/>
      </rPr>
      <t>deposit and investment policies related to the following risk exposures?</t>
    </r>
  </si>
  <si>
    <t>Deposit and Investment Policies?</t>
  </si>
  <si>
    <t>Deposit and Investment Risks</t>
  </si>
  <si>
    <r>
      <t xml:space="preserve">NO </t>
    </r>
    <r>
      <rPr>
        <b/>
        <vertAlign val="superscript"/>
        <sz val="9"/>
        <rFont val="Arial"/>
        <family val="2"/>
      </rPr>
      <t>2</t>
    </r>
  </si>
  <si>
    <r>
      <t xml:space="preserve">N/A </t>
    </r>
    <r>
      <rPr>
        <b/>
        <vertAlign val="superscript"/>
        <sz val="9"/>
        <rFont val="Arial"/>
        <family val="2"/>
      </rPr>
      <t>3</t>
    </r>
  </si>
  <si>
    <t>Credit risk</t>
  </si>
  <si>
    <t>Custodial credit risk - deposits</t>
  </si>
  <si>
    <t>Custodial credit risk - investments</t>
  </si>
  <si>
    <t>Concentration of credit risk</t>
  </si>
  <si>
    <t>Interest rate risk</t>
  </si>
  <si>
    <t>Foreign currency risk</t>
  </si>
  <si>
    <r>
      <t xml:space="preserve">If YES, include a brief description </t>
    </r>
    <r>
      <rPr>
        <vertAlign val="superscript"/>
        <sz val="9"/>
        <rFont val="Arial"/>
        <family val="2"/>
      </rPr>
      <t>4</t>
    </r>
    <r>
      <rPr>
        <sz val="9"/>
        <rFont val="Arial"/>
        <family val="2"/>
      </rPr>
      <t xml:space="preserve"> of your formally adopted policies, by deposit and investment risk, in </t>
    </r>
    <r>
      <rPr>
        <b/>
        <u/>
        <sz val="9"/>
        <rFont val="Arial"/>
        <family val="2"/>
      </rPr>
      <t>attached ACFR Package Narratives</t>
    </r>
    <r>
      <rPr>
        <sz val="9"/>
        <rFont val="Arial"/>
        <family val="2"/>
      </rPr>
      <t>.</t>
    </r>
  </si>
  <si>
    <r>
      <t xml:space="preserve">For the purposes of GASB 40, an investment policy is considered to be a </t>
    </r>
    <r>
      <rPr>
        <u/>
        <sz val="9"/>
        <rFont val="Arial"/>
        <family val="2"/>
      </rPr>
      <t>formally adopted policy</t>
    </r>
    <r>
      <rPr>
        <sz val="9"/>
        <rFont val="Arial"/>
        <family val="2"/>
      </rPr>
      <t xml:space="preserve"> that sets forth a government’s allowable deposits or </t>
    </r>
  </si>
  <si>
    <t>investments.  An investment policy may be formally adopted through legal or contractual provisions or by other means, usually by the governing board.</t>
  </si>
  <si>
    <t>(GASB Codification Section I50.736-1)</t>
  </si>
  <si>
    <t xml:space="preserve">Specific bond covenants related to the investment of debt proceeds should also be considered an investment policy. </t>
  </si>
  <si>
    <t>(GASB Codification Section I50.736-2)</t>
  </si>
  <si>
    <t>If an agency's investment policy is limited to complying with its state's investment statutes, the relevant portions of the state statute relating to the risks</t>
  </si>
  <si>
    <t>required to be disclosed under GASB 40 should be disclosed.  When state law has not addressed a risk, such as interest rate risk, the disclosure should</t>
  </si>
  <si>
    <t>indicate that the agency has not adopted an investment policy on that point. (GASB Codification Section I50.736-3)</t>
  </si>
  <si>
    <t>Indicate "NO" if you are exposed to the risk but do not have an investment policy that addresses the risk.</t>
  </si>
  <si>
    <t>Indicate "N/A" if you are not exposed to the risk.  For example, foreign currency risk would be "N/A" if you have no investments in foreign currencies.</t>
  </si>
  <si>
    <r>
      <t>Only brief disclosures are required</t>
    </r>
    <r>
      <rPr>
        <sz val="9"/>
        <rFont val="Arial"/>
        <family val="2"/>
      </rPr>
      <t xml:space="preserve"> and a government should not include all details of its investment policies in its disclosures.  Many investment</t>
    </r>
  </si>
  <si>
    <t>policies are extremely long and can be quite detailed.  If broad cash management and investment policies have been adopted, only a brief description</t>
  </si>
  <si>
    <t>of the policy that is related to the risks discussed in GASB 40 should be disclosed. (GASB Codification Section I50.736-1)</t>
  </si>
  <si>
    <t>INVESTMENTS HELD OUTSIDE THE STATE TREASURER AND DERIVATIVES</t>
  </si>
  <si>
    <t>FAIR VALUE MEASUREMENTS (755)</t>
  </si>
  <si>
    <t>Fair Value Measurements Using</t>
  </si>
  <si>
    <t>InActiveMarketsForidenticalAssets</t>
  </si>
  <si>
    <t>SignificantOtherObservableInputs</t>
  </si>
  <si>
    <t>SignificantOtherUnObservableInputs</t>
  </si>
  <si>
    <t>AmountNotReported</t>
  </si>
  <si>
    <t>Quoted Prices in</t>
  </si>
  <si>
    <t>Significant Other</t>
  </si>
  <si>
    <t>Significant</t>
  </si>
  <si>
    <t>Valuation</t>
  </si>
  <si>
    <t>Active Markets for</t>
  </si>
  <si>
    <t>Observable</t>
  </si>
  <si>
    <t>Unobservable</t>
  </si>
  <si>
    <t>Technique</t>
  </si>
  <si>
    <t>Identicial Assets</t>
  </si>
  <si>
    <t>Inputs</t>
  </si>
  <si>
    <t xml:space="preserve"> Not reported</t>
  </si>
  <si>
    <t xml:space="preserve">(Select from </t>
  </si>
  <si>
    <t>Select</t>
  </si>
  <si>
    <t>(Level 1)</t>
  </si>
  <si>
    <t>(Level 2)</t>
  </si>
  <si>
    <t>(Level 3)</t>
  </si>
  <si>
    <t>at Fair Value</t>
  </si>
  <si>
    <t>columns G - J)</t>
  </si>
  <si>
    <t>Techniques</t>
  </si>
  <si>
    <t>Investments (excluding NAV investments):</t>
  </si>
  <si>
    <t>FV100</t>
  </si>
  <si>
    <t>—</t>
  </si>
  <si>
    <t>FV120</t>
  </si>
  <si>
    <t>FV140</t>
  </si>
  <si>
    <t>FV160</t>
  </si>
  <si>
    <t>FV180</t>
  </si>
  <si>
    <t>FV200</t>
  </si>
  <si>
    <t>FV220</t>
  </si>
  <si>
    <t>FV240</t>
  </si>
  <si>
    <t>FV260</t>
  </si>
  <si>
    <t>FV280</t>
  </si>
  <si>
    <t>FV300</t>
  </si>
  <si>
    <t>FV320</t>
  </si>
  <si>
    <t>FV340</t>
  </si>
  <si>
    <t>FV360</t>
  </si>
  <si>
    <t>FV380</t>
  </si>
  <si>
    <t>FV400</t>
  </si>
  <si>
    <t>FV420</t>
  </si>
  <si>
    <t>FV440</t>
  </si>
  <si>
    <t>FV460</t>
  </si>
  <si>
    <t>FV480</t>
  </si>
  <si>
    <t>FV500</t>
  </si>
  <si>
    <t>FV520</t>
  </si>
  <si>
    <t>FV540</t>
  </si>
  <si>
    <t>FV560</t>
  </si>
  <si>
    <t>FV580</t>
  </si>
  <si>
    <t>FV600</t>
  </si>
  <si>
    <t>FV620</t>
  </si>
  <si>
    <t>FV640</t>
  </si>
  <si>
    <t>Investments measured at net asset value (NAV):</t>
  </si>
  <si>
    <t>NV720</t>
  </si>
  <si>
    <t>NV740</t>
  </si>
  <si>
    <t>NV760</t>
  </si>
  <si>
    <t>NV780</t>
  </si>
  <si>
    <t>NV800</t>
  </si>
  <si>
    <t>NV820</t>
  </si>
  <si>
    <t>NV840</t>
  </si>
  <si>
    <t>NV860</t>
  </si>
  <si>
    <t>NV880</t>
  </si>
  <si>
    <t>NV900</t>
  </si>
  <si>
    <t>NV1000</t>
  </si>
  <si>
    <t>Investments as a position in an External Investment Pool:</t>
  </si>
  <si>
    <t>NV700</t>
  </si>
  <si>
    <t>Investment derivative instruments:</t>
  </si>
  <si>
    <t>Equity Put Options Long</t>
  </si>
  <si>
    <t>Equity Call Options Short</t>
  </si>
  <si>
    <t>Hedging derivative instruments:</t>
  </si>
  <si>
    <t xml:space="preserve">Did you have a change in a valuation technique that </t>
  </si>
  <si>
    <t xml:space="preserve">had a significant impact on the result? </t>
  </si>
  <si>
    <t xml:space="preserve">Did you report any nonrecurring fair value  </t>
  </si>
  <si>
    <t xml:space="preserve">measurements (such as, impaired capital assets)? </t>
  </si>
  <si>
    <t>If amounts reported in column E are $1 million or greater, then complete WS 756.</t>
  </si>
  <si>
    <t>VALUATION OF INVESTMENTS (756)</t>
  </si>
  <si>
    <t>(Note: The Department of State Treasurer should include all investments)</t>
  </si>
  <si>
    <t>NA for Nonmajor Component Units</t>
  </si>
  <si>
    <r>
      <rPr>
        <b/>
        <u/>
        <sz val="9.75"/>
        <rFont val="Arial"/>
        <family val="2"/>
      </rPr>
      <t>Note</t>
    </r>
    <r>
      <rPr>
        <sz val="9.75"/>
        <rFont val="Arial"/>
        <family val="2"/>
      </rPr>
      <t>: GASB Standards require most investments to be reported at fair value but permit or require cost-based</t>
    </r>
  </si>
  <si>
    <t>measures for certain investments and in certain circumstances (per GASB Statements 31 and 72.)</t>
  </si>
  <si>
    <t>Provide the following information for investments not reported at fair value AND with a</t>
  </si>
  <si>
    <r>
      <t xml:space="preserve">carrying value of </t>
    </r>
    <r>
      <rPr>
        <b/>
        <u/>
        <sz val="9.75"/>
        <rFont val="Arial"/>
        <family val="2"/>
      </rPr>
      <t>$1 million or more</t>
    </r>
    <r>
      <rPr>
        <b/>
        <sz val="9.75"/>
        <rFont val="Arial"/>
        <family val="2"/>
      </rPr>
      <t xml:space="preserve"> (see Worksheet 755, column E):</t>
    </r>
  </si>
  <si>
    <r>
      <t xml:space="preserve">1.   For investments reported </t>
    </r>
    <r>
      <rPr>
        <u/>
        <sz val="9.75"/>
        <rFont val="Arial"/>
        <family val="2"/>
      </rPr>
      <t>at cost</t>
    </r>
    <r>
      <rPr>
        <sz val="9.75"/>
        <rFont val="Arial"/>
        <family val="2"/>
      </rPr>
      <t>, provide the following information:</t>
    </r>
  </si>
  <si>
    <t>Carrying</t>
  </si>
  <si>
    <t>Investment Type (Per 710)</t>
  </si>
  <si>
    <t>Description (if necessary)</t>
  </si>
  <si>
    <t>Value</t>
  </si>
  <si>
    <r>
      <t xml:space="preserve">2.   For investments reported </t>
    </r>
    <r>
      <rPr>
        <u/>
        <sz val="9.75"/>
        <rFont val="Arial"/>
        <family val="2"/>
      </rPr>
      <t>at amortized cost</t>
    </r>
    <r>
      <rPr>
        <sz val="9.75"/>
        <rFont val="Arial"/>
        <family val="2"/>
      </rPr>
      <t>, provide the following information:</t>
    </r>
  </si>
  <si>
    <r>
      <t xml:space="preserve">3.   For investments reported </t>
    </r>
    <r>
      <rPr>
        <u/>
        <sz val="9.75"/>
        <rFont val="Arial"/>
        <family val="2"/>
      </rPr>
      <t>at contract value</t>
    </r>
    <r>
      <rPr>
        <sz val="9.75"/>
        <rFont val="Arial"/>
        <family val="2"/>
      </rPr>
      <t>, provide the following information (e.g. State 401(k) Plan):</t>
    </r>
  </si>
  <si>
    <t>INVESTMENTS MEASURED AT NAV (760)</t>
  </si>
  <si>
    <t>Only Applies to UNC Chapel Hill, the State 401(k) plan, and the State Deferred Compensation Plan.</t>
  </si>
  <si>
    <t>Investments Measured at the NAV</t>
  </si>
  <si>
    <t>Redemption</t>
  </si>
  <si>
    <t>Unfunded</t>
  </si>
  <si>
    <t>Frequency (if</t>
  </si>
  <si>
    <t>Notice</t>
  </si>
  <si>
    <t>Commitments</t>
  </si>
  <si>
    <t>Currently Eligible)</t>
  </si>
  <si>
    <t>Period</t>
  </si>
  <si>
    <t>Total investments measured at the NAV</t>
  </si>
  <si>
    <r>
      <t>Additional disclosures are required in the attached ACFR</t>
    </r>
    <r>
      <rPr>
        <b/>
        <u/>
        <sz val="10"/>
        <rFont val="Arial"/>
        <family val="2"/>
      </rPr>
      <t xml:space="preserve"> Package Narratives</t>
    </r>
    <r>
      <rPr>
        <b/>
        <sz val="10"/>
        <rFont val="Arial"/>
        <family val="2"/>
      </rPr>
      <t>.</t>
    </r>
  </si>
  <si>
    <t>1 - For example, quarterly and/or annually.</t>
  </si>
  <si>
    <t>2 - For example, number of days (30-45 days, 30-60 days, etc.)</t>
  </si>
  <si>
    <t>EXTERNAL INVESTMENT POOLS AND POOL PARTICIPANTS (765)</t>
  </si>
  <si>
    <t>Only Applies to Department of State Treasurer, Department of Transportation, the UNC</t>
  </si>
  <si>
    <t>System the State 401(k) plan, and the State Deferred Compensation Plan.</t>
  </si>
  <si>
    <t xml:space="preserve">GASB Statement 79 allows a qualifying external investment pool to elect to measure all of its investments </t>
  </si>
  <si>
    <t>at amortized cost.</t>
  </si>
  <si>
    <t>For more information on GASB 79, refer to the GASB Resources link on OSC's homepage (or see link below).</t>
  </si>
  <si>
    <t>Financial Reporting Update - GASB 79</t>
  </si>
  <si>
    <t>A.  Entities that Operate Qualifying External Investment Pools</t>
  </si>
  <si>
    <t>An external investment pool may elect to measure all of its investments at amortized cost</t>
  </si>
  <si>
    <t>if it meets all of the following criteria:</t>
  </si>
  <si>
    <t>a. Transacts with its participants at a stable net asset value per share,</t>
  </si>
  <si>
    <t>b. Meets the portfolio maturity requirements in GASB Codification Section In5.108 - .116,</t>
  </si>
  <si>
    <t xml:space="preserve">c. Meets the portfolio quality requirements in GASB Codification Section In5.117 - .126, </t>
  </si>
  <si>
    <t>d. Meets the portfolio diversification requirements in GASB Codification Section In5.127 - .131,</t>
  </si>
  <si>
    <r>
      <t>e. Meets the portfolio liquidity requirements in</t>
    </r>
    <r>
      <rPr>
        <sz val="8"/>
        <rFont val="Arial"/>
        <family val="2"/>
      </rPr>
      <t xml:space="preserve"> </t>
    </r>
    <r>
      <rPr>
        <sz val="10"/>
        <rFont val="Arial"/>
        <family val="2"/>
      </rPr>
      <t>GASB Codification Section In5.132 - .138, and</t>
    </r>
  </si>
  <si>
    <t>f. Meets the shadow pricing requirements in GASB Codification Section In5.139 - .140.</t>
  </si>
  <si>
    <t>Does your entity operate a qualifying external investment pool that measures all of its investments at</t>
  </si>
  <si>
    <t>amortized cost?</t>
  </si>
  <si>
    <t>B.  Entities that Participate in Qualifying External Investment Pools</t>
  </si>
  <si>
    <t xml:space="preserve">If a qualifying external investment pool measures all of its investments at amortized cost, the pool's </t>
  </si>
  <si>
    <t>participants should measure their investments in that qualifyting external investment pool at amortized cost.</t>
  </si>
  <si>
    <t>Does your entity participate in a qualifying external investment pool that measures all of its investments</t>
  </si>
  <si>
    <t>at amortized cost? (Note:  The UNC Investment Fund and the Dept. of State Treasurer (DST) external</t>
  </si>
  <si>
    <t xml:space="preserve">investment pools do not qualify to measure their investments at amortized cost. STIF is a portfolio within the </t>
  </si>
  <si>
    <t>DST external investment pool.)</t>
  </si>
  <si>
    <t>FCCS Entity</t>
  </si>
  <si>
    <t>*Entity To be kept empty in case of Agency Load</t>
  </si>
  <si>
    <t>FCCS Agency</t>
  </si>
  <si>
    <t>905 -  Offline Proprietary Proforma - Statement of Net Position and
 Statement of Revenues, Expenses and Changes in Net Position and Certification of Data File for Universities</t>
  </si>
  <si>
    <r>
      <rPr>
        <u/>
        <sz val="8"/>
        <rFont val="Arial"/>
        <family val="2"/>
      </rPr>
      <t>Instructions</t>
    </r>
    <r>
      <rPr>
        <sz val="8"/>
        <rFont val="Arial"/>
        <family val="2"/>
      </rPr>
      <t xml:space="preserve">: 
(1) Key to Column F, except for shaded cells, which automatically link to other worksheets that must be completed first.
(2) Be sure to sign and date the certification box at the bottom of the worksheet.  (You may either type the signature or paste a digital picture
of the signature.)  Every university and UNC Hospitals must sign the certification.  (Other hospitals do not need to sign the certification.)  </t>
    </r>
  </si>
  <si>
    <t>Column F</t>
  </si>
  <si>
    <t>Statement of Net Position</t>
  </si>
  <si>
    <t>Prior Year -To Compare</t>
  </si>
  <si>
    <t>Account TBL</t>
  </si>
  <si>
    <t>ASSETS</t>
  </si>
  <si>
    <t>**</t>
  </si>
  <si>
    <t>Current Assets:</t>
  </si>
  <si>
    <t xml:space="preserve">Cash and cash equivalents </t>
  </si>
  <si>
    <t xml:space="preserve">Pooled cash </t>
  </si>
  <si>
    <t xml:space="preserve">Investments </t>
  </si>
  <si>
    <t xml:space="preserve">Pooled investments </t>
  </si>
  <si>
    <t xml:space="preserve">Securities lending collateral </t>
  </si>
  <si>
    <t>Receivables:</t>
  </si>
  <si>
    <t>Accounts receivable, net</t>
  </si>
  <si>
    <t>Intergovernmental receivables</t>
  </si>
  <si>
    <t>Interest receivable</t>
  </si>
  <si>
    <t>Other receivables, net</t>
  </si>
  <si>
    <t>Advances to Outside Entities (ws 535)</t>
  </si>
  <si>
    <t>Due from State of NC component units (ws 525)</t>
  </si>
  <si>
    <t>Due from agency/institution component units (ws 616)</t>
  </si>
  <si>
    <t>Due from primary government (ws 515)</t>
  </si>
  <si>
    <t>Inventories</t>
  </si>
  <si>
    <t>Prepaid items</t>
  </si>
  <si>
    <t>Notes receivable</t>
  </si>
  <si>
    <t>Lease Receivable, Net</t>
  </si>
  <si>
    <t>PPP Asset Receivable - current</t>
  </si>
  <si>
    <t>New FY2023</t>
  </si>
  <si>
    <t xml:space="preserve">Restricted/designated cash and cash equivalents </t>
  </si>
  <si>
    <t>11R11000</t>
  </si>
  <si>
    <t xml:space="preserve">Restricted pooled cash </t>
  </si>
  <si>
    <t>11R22000</t>
  </si>
  <si>
    <t xml:space="preserve">Restricted investments </t>
  </si>
  <si>
    <t>Hedging derivatives</t>
  </si>
  <si>
    <t>Beneficial interest in assets held by others</t>
  </si>
  <si>
    <t>Net OPEB asset</t>
  </si>
  <si>
    <t xml:space="preserve">   Total Current assets</t>
  </si>
  <si>
    <t>Noncurrent Assets:</t>
  </si>
  <si>
    <t>PPP Asset Receivable - Noncurrent</t>
  </si>
  <si>
    <t>Investment in joint venture</t>
  </si>
  <si>
    <t xml:space="preserve">Restricted/designated pooled cash </t>
  </si>
  <si>
    <t xml:space="preserve">Restricted pooled investments </t>
  </si>
  <si>
    <t>Restricted due from State of NC component units (ws 525)</t>
  </si>
  <si>
    <t>Restricted due from primary government (ws 515)</t>
  </si>
  <si>
    <t>Capital assets, nondepreciable:</t>
  </si>
  <si>
    <t>Land and permanent easements (ws 201)</t>
  </si>
  <si>
    <t>Art, literature and artifacts, nondepreciable (ws 201)</t>
  </si>
  <si>
    <t>Construction in progress (ws 201)</t>
  </si>
  <si>
    <t>Computer software in development (ws 201)</t>
  </si>
  <si>
    <t>Patents in development (ws 201)</t>
  </si>
  <si>
    <t>Other intangible assets, nondepreciable (ws 201)</t>
  </si>
  <si>
    <t>Total capital assets - nondepreciable</t>
  </si>
  <si>
    <t>Buildings (ws 201)</t>
  </si>
  <si>
    <t>Machinery and equipment (ws 201)</t>
  </si>
  <si>
    <t>Art, literature and artifacts,depreciable (ws 201)</t>
  </si>
  <si>
    <t>General infrastructure (ws 201)</t>
  </si>
  <si>
    <t>Right to Use Lease Asset-Land (ws 201)</t>
  </si>
  <si>
    <t>Right to Use Lease Asset-Buildings (ws 201)</t>
  </si>
  <si>
    <t>Right to Use Lease Asset-Machinery and Equipment (ws 201)</t>
  </si>
  <si>
    <t>Right to Use Lease Asset-General infrastructure (ws 201)</t>
  </si>
  <si>
    <t>Computer software (ws 201)</t>
  </si>
  <si>
    <t>Patents (ws 201)</t>
  </si>
  <si>
    <t>SBITA Network (ws 201)</t>
  </si>
  <si>
    <t>SBITA Software (ws 201)</t>
  </si>
  <si>
    <t>Other intangible assets, depreciable (ws 201)</t>
  </si>
  <si>
    <t>Accumulated depreciation (ws 210)</t>
  </si>
  <si>
    <t>Total capital assets - depreciable, (net)</t>
  </si>
  <si>
    <t xml:space="preserve">   Total Noncurrent assets</t>
  </si>
  <si>
    <t xml:space="preserve">       Total  assets</t>
  </si>
  <si>
    <t>DEFERRED OUTFLOWS OF RESOURCES</t>
  </si>
  <si>
    <t xml:space="preserve">Accumulated decrease in fair value of hedging derivative </t>
  </si>
  <si>
    <t>Deferred outflows for ARO</t>
  </si>
  <si>
    <t xml:space="preserve">       Total  deferred outflows of resources</t>
  </si>
  <si>
    <t>LIABILITIES</t>
  </si>
  <si>
    <t>Current Liabilities:</t>
  </si>
  <si>
    <t>Accounts payable and accrued liabilities:</t>
  </si>
  <si>
    <t xml:space="preserve">Accounts payable </t>
  </si>
  <si>
    <t>Accrued payroll</t>
  </si>
  <si>
    <t>Intergovernmental payables</t>
  </si>
  <si>
    <t>Claims payable</t>
  </si>
  <si>
    <t>Interest payable</t>
  </si>
  <si>
    <t>Short-term debt:</t>
  </si>
  <si>
    <t>Revolving line of credit (ws 310)</t>
  </si>
  <si>
    <t>Commercial paper payable (ws 310)</t>
  </si>
  <si>
    <t>Notes from direct borrowings (ws 310)</t>
  </si>
  <si>
    <t>Direct placements (ws 310)</t>
  </si>
  <si>
    <t>Bond anticipation notes payable (ws 310)</t>
  </si>
  <si>
    <t>Due to State of NC component units (ws 530)</t>
  </si>
  <si>
    <t>Due to agency/institution component units  (w/s 616)</t>
  </si>
  <si>
    <t>Due to primary government (ws 520)</t>
  </si>
  <si>
    <t>Unearned revenue</t>
  </si>
  <si>
    <t>Obligations under reverse repurchase agreements</t>
  </si>
  <si>
    <t>Obligations under securities lending</t>
  </si>
  <si>
    <t>Deposits payable</t>
  </si>
  <si>
    <t>Funds held for others</t>
  </si>
  <si>
    <t>Hedging derivatives liability</t>
  </si>
  <si>
    <t>Notes from direct borrowings-current (ws 310)</t>
  </si>
  <si>
    <t>Leases liability-current (ws 310)</t>
  </si>
  <si>
    <t>Title change in FY2023</t>
  </si>
  <si>
    <t>SBITA liability-current (ws 310)…................................................................</t>
  </si>
  <si>
    <t>Bonds and similar debt payable, net-current (ws 310)</t>
  </si>
  <si>
    <t>Arbitrage rebate payable-current (ws 310)</t>
  </si>
  <si>
    <t>Workers compensation-current (ws 310)</t>
  </si>
  <si>
    <t>Annuity and life income payable-current (ws 310)</t>
  </si>
  <si>
    <t>Pollution remediation payable-current (ws 310)</t>
  </si>
  <si>
    <t>Asset retirement obligation-current (ws 310)</t>
  </si>
  <si>
    <t>Compensated absences-current (ws 310)</t>
  </si>
  <si>
    <t>Net pension liability-current (ws 310)</t>
  </si>
  <si>
    <t>Net OPEB liability-current (ws 310)</t>
  </si>
  <si>
    <t>Liability Insurance trust fund payable-current (ws 310)</t>
  </si>
  <si>
    <t>Other long-term liabilities - current portion (ws 310)</t>
  </si>
  <si>
    <t xml:space="preserve">   Total current liabilities</t>
  </si>
  <si>
    <t>Noncurrent Liabilities:</t>
  </si>
  <si>
    <t>Accounts payable</t>
  </si>
  <si>
    <t>Advance from primary government (ws 535)</t>
  </si>
  <si>
    <t>Lease liability (ws 310)</t>
  </si>
  <si>
    <t xml:space="preserve">Title change in FY2023 </t>
  </si>
  <si>
    <t>SBITA liablity (ws 310)….............................................................................</t>
  </si>
  <si>
    <t>Bonds and similar debt payable, net (ws 310)</t>
  </si>
  <si>
    <t>Arbitrage rebate payable (ws 310)</t>
  </si>
  <si>
    <t>Workers compensation (ws 310)</t>
  </si>
  <si>
    <t>Annuity and life income payable (ws 310)</t>
  </si>
  <si>
    <t>Pollution remediation payable (ws 310)</t>
  </si>
  <si>
    <t>Asset retirement obligation (ws 310)</t>
  </si>
  <si>
    <t>Compensated absences (ws 310)</t>
  </si>
  <si>
    <t>Net pension liability (ws 310)</t>
  </si>
  <si>
    <t>Net OPEB liability (ws 310)</t>
  </si>
  <si>
    <t>Liability Insurance trust fund payable (ws 310)</t>
  </si>
  <si>
    <t>Other long-term liabilities (ws 310)</t>
  </si>
  <si>
    <t xml:space="preserve">   Total noncurrent liabilities</t>
  </si>
  <si>
    <t xml:space="preserve">       Total  liabilities</t>
  </si>
  <si>
    <t>DEFERRED INFLOWS OF RESOURCES</t>
  </si>
  <si>
    <t xml:space="preserve">Accumulated increase in fair value of hedging derivative </t>
  </si>
  <si>
    <t>Deferred Inflows for PPP Arrangements</t>
  </si>
  <si>
    <t xml:space="preserve">Deferred gain on refunding </t>
  </si>
  <si>
    <t>Deferred inflows for irrevocable split-interest agreements</t>
  </si>
  <si>
    <t>Deferred inflows for lease agreements</t>
  </si>
  <si>
    <t xml:space="preserve">       Total  deferred inflows of resources</t>
  </si>
  <si>
    <t>Restricted Nonexpendable:</t>
  </si>
  <si>
    <t>Higher education</t>
  </si>
  <si>
    <t>NonExpendable</t>
  </si>
  <si>
    <t>Economic development</t>
  </si>
  <si>
    <t>Econ Dev</t>
  </si>
  <si>
    <t xml:space="preserve">  Restricted Expendable:</t>
  </si>
  <si>
    <t>Other purposes *NA for Universities*</t>
  </si>
  <si>
    <t>NA for Universities</t>
  </si>
  <si>
    <t xml:space="preserve">   Total net position</t>
  </si>
  <si>
    <t>Verification: Assets + Def. Outflows  - Liab. - Def. Inflows = Net Position</t>
  </si>
  <si>
    <t>Out of Balance Amount</t>
  </si>
  <si>
    <t>Statement of Revenues, Expenses and Changes in Net Position</t>
  </si>
  <si>
    <t>Operating Revenues</t>
  </si>
  <si>
    <t>Sales and services, net</t>
  </si>
  <si>
    <t>Student tuition and fees, net</t>
  </si>
  <si>
    <t>Patient services, net</t>
  </si>
  <si>
    <t>Federal appropriations</t>
  </si>
  <si>
    <t>Federal grants and contracts</t>
  </si>
  <si>
    <t>427AA000</t>
  </si>
  <si>
    <t>State and local grants and contracts</t>
  </si>
  <si>
    <t>428AA000</t>
  </si>
  <si>
    <t>Nongovernmental grants and contracts</t>
  </si>
  <si>
    <t>42BAA000</t>
  </si>
  <si>
    <t>Rental and lease earnings</t>
  </si>
  <si>
    <t xml:space="preserve">   Total operating revenues</t>
  </si>
  <si>
    <t>Operating Expenses</t>
  </si>
  <si>
    <t>Personal services</t>
  </si>
  <si>
    <t>Supplies and materials</t>
  </si>
  <si>
    <t>Services</t>
  </si>
  <si>
    <t>Cost of goods sold</t>
  </si>
  <si>
    <t>Claims and benefits</t>
  </si>
  <si>
    <t>Insurance and bonding</t>
  </si>
  <si>
    <t>Scholarships and fellowships</t>
  </si>
  <si>
    <t>Other fixed charges</t>
  </si>
  <si>
    <t>Grants, state aid &amp; subsidies</t>
  </si>
  <si>
    <t>Other expenses</t>
  </si>
  <si>
    <t xml:space="preserve">   Total operating expenses</t>
  </si>
  <si>
    <t xml:space="preserve">      Operating income (loss)</t>
  </si>
  <si>
    <t>Nonoperating Revenues (Expenses):</t>
  </si>
  <si>
    <t>State appropriations</t>
  </si>
  <si>
    <t xml:space="preserve">State aid - general </t>
  </si>
  <si>
    <t>State aid - program</t>
  </si>
  <si>
    <t>State aid - Coronavirus</t>
  </si>
  <si>
    <t>*See comment in caption*</t>
  </si>
  <si>
    <t>Noncapital grant revenue</t>
  </si>
  <si>
    <t>421AA000</t>
  </si>
  <si>
    <t>Federal Aid - COVID-19</t>
  </si>
  <si>
    <t>421COVID</t>
  </si>
  <si>
    <t>Noncapital gifts, net</t>
  </si>
  <si>
    <t>Noncapital Contributions</t>
  </si>
  <si>
    <t>Interest and fees expense</t>
  </si>
  <si>
    <t>Gain on sale of property and equipment</t>
  </si>
  <si>
    <t>Loss on sale of property and equipment</t>
  </si>
  <si>
    <t>Gain (Loss) on in-substance defeasance of debt</t>
  </si>
  <si>
    <t>Insurance recoveries</t>
  </si>
  <si>
    <t>Grants, aid and subsidies expense</t>
  </si>
  <si>
    <t>56J99000</t>
  </si>
  <si>
    <t>Lease interest revenue</t>
  </si>
  <si>
    <t>Miscellaneous nonoperating revenue</t>
  </si>
  <si>
    <t>Miscellaneous nonoperating expense</t>
  </si>
  <si>
    <t xml:space="preserve">   Total nonoperating revenues (expenses)</t>
  </si>
  <si>
    <t xml:space="preserve">      Income before other revenues expenses gains and losses</t>
  </si>
  <si>
    <t xml:space="preserve">State capital aid </t>
  </si>
  <si>
    <t>Capital grants</t>
  </si>
  <si>
    <t>42DAA000</t>
  </si>
  <si>
    <t>Capital gifts, net</t>
  </si>
  <si>
    <t>Additions to endowments</t>
  </si>
  <si>
    <t>University transfers (ws 565)</t>
  </si>
  <si>
    <t>Special items</t>
  </si>
  <si>
    <t>Extraordinary items</t>
  </si>
  <si>
    <t xml:space="preserve">   Increase (decrease) in net position</t>
  </si>
  <si>
    <t>Net position - beginning of year</t>
  </si>
  <si>
    <t>Net position - end of year</t>
  </si>
  <si>
    <t>Net position between Stmt of Net Position and O/S verification</t>
  </si>
  <si>
    <t>Certification required for Universities and UNC Hospitals:</t>
  </si>
  <si>
    <t>The University/UNC Hospitals data file has been reconciled to the above financial statements and submitted</t>
  </si>
  <si>
    <t>to the Office of the State Auditor at the same time as the submission of the Annual Report package to OSC.</t>
  </si>
  <si>
    <t xml:space="preserve">There will be no further updating of the University/UNC Hospitals data file unless authorized by OSC. </t>
  </si>
  <si>
    <t xml:space="preserve">I hereby certify that the reconciliation of the above financial statements to the University/UNC Hospitals </t>
  </si>
  <si>
    <t>data file has been reviewed by the University Controller/UNC Hospitals management.</t>
  </si>
  <si>
    <t>Certified by</t>
  </si>
  <si>
    <t>**Code in column A is OSC WTB code - for OSC use</t>
  </si>
  <si>
    <t>For 905 - NCAS Acct Roll-up</t>
  </si>
  <si>
    <t>Updated for FY 2023</t>
  </si>
  <si>
    <t xml:space="preserve">ACCOUNT ROLL-UP FOR 11P </t>
  </si>
  <si>
    <t>Note:  Not all captions on the 11P are included</t>
  </si>
  <si>
    <t>905 Ref. no.</t>
  </si>
  <si>
    <t>on the 905, but this serves as a general guide for how</t>
  </si>
  <si>
    <r>
      <t xml:space="preserve">the accounts should roll for year-end reporting. </t>
    </r>
    <r>
      <rPr>
        <b/>
        <sz val="10"/>
        <color indexed="8"/>
        <rFont val="Arial"/>
        <family val="2"/>
      </rPr>
      <t>The roll up table is for all proprietary funds and may include accounts that are not applicable to Univesities</t>
    </r>
  </si>
  <si>
    <t>See below.</t>
  </si>
  <si>
    <t>111110 CSH ON HAND</t>
  </si>
  <si>
    <t>111120 CSH/BNK-NON INT BEAR CHK</t>
  </si>
  <si>
    <t>111130 CSH/BNK-INT BEAR ACCTS</t>
  </si>
  <si>
    <t>111140 CSH/BNK-POOLED CASH ACCTS</t>
  </si>
  <si>
    <t>111190 CSH/BANK-OTHER ACCTS</t>
  </si>
  <si>
    <t>112121 NON-TREAS-CSH W/FISC AGT</t>
  </si>
  <si>
    <t>111210 POOL CSH-LIQ ASSET FND</t>
  </si>
  <si>
    <t>111220 POOL CSH-STATE TREAS STIF</t>
  </si>
  <si>
    <t>111230 POOL CSH-CSH CARRIED FWD</t>
  </si>
  <si>
    <t>111231 CASH CARRYFORWARD-DPI</t>
  </si>
  <si>
    <t>111232 CASH CARRYFORWARD-UNAPPRO</t>
  </si>
  <si>
    <t>111240 POOL CSH-GEN FUND REV</t>
  </si>
  <si>
    <t>111250 POOL CSH-DISBURSING ACCT</t>
  </si>
  <si>
    <t>111255 CASH IN DISB. ACCT.(ACCR)</t>
  </si>
  <si>
    <t>111260 POOL CSH-BUDGET CODE CSH</t>
  </si>
  <si>
    <t>111270 POOL CSH-ALLOTMENT ACCT</t>
  </si>
  <si>
    <t>111280 POOL CSH-UNALLOT APPRO/CI</t>
  </si>
  <si>
    <t>111290 BOND PROCEED CASH ADJUSTM</t>
  </si>
  <si>
    <t>Restricted cash and cash equivalents</t>
  </si>
  <si>
    <t>11R110 CASH ON HAND-RESTRICTED</t>
  </si>
  <si>
    <t>11R120 CSH/BNK-NON INT CHK-RESTR</t>
  </si>
  <si>
    <t>11R121 NON-TREAS CASH W/FISC AGT</t>
  </si>
  <si>
    <t>11R130 CSH/BNK-INT BEAR-RESTRICT</t>
  </si>
  <si>
    <t>11R190 CSH/BNK-OTHER ACCTS-RESTR</t>
  </si>
  <si>
    <t>11R220 POOL CASH-STIF-RESTRICTED</t>
  </si>
  <si>
    <t>11R260 POOL CSH-BUD CODE-RESTRIC</t>
  </si>
  <si>
    <t>11R270 POOL CSH-ALLOTMNT-RESTRIC</t>
  </si>
  <si>
    <t>11R280 POOL CSH-UNALLOT APPR-RST</t>
  </si>
  <si>
    <t>11R290 BOND PROCEED CSH ADJ-REST</t>
  </si>
  <si>
    <t>112101 NON-TREAS-US GOV SEC</t>
  </si>
  <si>
    <t>112102 NON-TREAS-ST &amp; MUNI SEC</t>
  </si>
  <si>
    <t>112103 NON-TREAS-CORP BONDS</t>
  </si>
  <si>
    <t>112104 NON-TREAS-CORP STOCKS</t>
  </si>
  <si>
    <t>112105 NON-TREAS-REPO</t>
  </si>
  <si>
    <t>112106 NON-TREAS-COMM PAPER</t>
  </si>
  <si>
    <t>112107 NON-TREAS-BANKERS' ACCEPT</t>
  </si>
  <si>
    <t>112108 NON-TREAS-ANNUITY CONTR</t>
  </si>
  <si>
    <t>112109 NON-TREAS-INV-REAL ESTATE</t>
  </si>
  <si>
    <t>112110 International Bonds (Corp)</t>
  </si>
  <si>
    <t>112111 International Bonds (Govt)</t>
  </si>
  <si>
    <t>112112 NON-TREAS-INTL STOCKS</t>
  </si>
  <si>
    <t>112113 NON-TREAS-CD'S</t>
  </si>
  <si>
    <t>112114 NON-TREAS-INV AGREEMENTS</t>
  </si>
  <si>
    <t>112115 NON-TREAS-INVEST CONTRACT</t>
  </si>
  <si>
    <t>112116 NON-TREAS-MONEY MARKET</t>
  </si>
  <si>
    <t>112117 NON-TREAS-MUTUAL FUNDS</t>
  </si>
  <si>
    <t>112118 NON-TREAS-REIT</t>
  </si>
  <si>
    <t>112119 NON-TREAS-LIM PARTNERSHIP</t>
  </si>
  <si>
    <t>112120 NON-TREAS-REVERSE REPO</t>
  </si>
  <si>
    <t>112122 NON-TREAS-INV W/FISC AGT</t>
  </si>
  <si>
    <t>112123 NON-TREAS-POOLED INVEST</t>
  </si>
  <si>
    <t>112124 Collateral Mortgage Oblig</t>
  </si>
  <si>
    <t>112150 ALLOW-FV INVESTMENTS</t>
  </si>
  <si>
    <t>112151 ALLOW-FV INVEST FISCAL AG</t>
  </si>
  <si>
    <t>112190 NON-TREAS-OTHER INV</t>
  </si>
  <si>
    <t>112191 NON-TREAS INVST DERIV-CURR</t>
  </si>
  <si>
    <t>NEW ACCT FOR 2009-2010 - GASB 53</t>
  </si>
  <si>
    <t>112210 POOL INV-LONG TERM</t>
  </si>
  <si>
    <t>112211 L/T INVESTMENT-GLOBAL TP</t>
  </si>
  <si>
    <t>112215 BOND INDEX FUND</t>
  </si>
  <si>
    <t>NEW ACCT FOR FY 2016-2017</t>
  </si>
  <si>
    <t>112216 EQUITY INDEX FUND</t>
  </si>
  <si>
    <t>NEW ACCT FOR FY 2018-2019</t>
  </si>
  <si>
    <t>112220 POOL INV-EQUITY INV FUND</t>
  </si>
  <si>
    <t>112230 POOL INV-REAL ES INV FUND</t>
  </si>
  <si>
    <t>112240 POOL INV-VENTURE CAP FUND</t>
  </si>
  <si>
    <t>112241 INFLATION PROTECTION INVESTMENT FUND</t>
  </si>
  <si>
    <t>NEW ACCT FOR FY 2009-2010</t>
  </si>
  <si>
    <t>112243 EXTERNAL FIXED INCOME INVESTMENT</t>
  </si>
  <si>
    <t>NEW ACCT FOR FY 2013-2014</t>
  </si>
  <si>
    <t>112242 CREDIT INVESTMENT FUND</t>
  </si>
  <si>
    <t>112260 INVESTMENTS-EXTERNAL UNIT</t>
  </si>
  <si>
    <t>112280 ALLOW-FV OF POOLED INVEST</t>
  </si>
  <si>
    <t>112281 ALLOW-FV EQUITY INV FUND</t>
  </si>
  <si>
    <t>112282 ALLOW-FV REAL EST INV FND</t>
  </si>
  <si>
    <t>112283 ALLOW-FV VENTURE CAP INV</t>
  </si>
  <si>
    <t>112284 ALLOW -FV LIMITED PART LIA</t>
  </si>
  <si>
    <t>NEW ACCT FOR FY 2007-2008</t>
  </si>
  <si>
    <t>112285 ALLOW -FV OF INFLATION PROTECTION INVESTMENT FUND</t>
  </si>
  <si>
    <t>112286 ALLOW -FV OF CREDIT INVESTMENT FUND</t>
  </si>
  <si>
    <t>112287 ALLOWANCE - FAIR VALUE OF EXTERNAL FIXED INCOME INVESTMENT</t>
  </si>
  <si>
    <t xml:space="preserve">112288 ALLOWANCE - FAIR VALUE BOND INDEX FUND </t>
  </si>
  <si>
    <t>112289 ALLOW-FV EQUITY INDEX FUND</t>
  </si>
  <si>
    <t>112125 NON-TREAS RESTRICT INVEST</t>
  </si>
  <si>
    <t>112152 ALLOW-FV RESTRICT INVESTM</t>
  </si>
  <si>
    <t>112250 Bond Proceeds</t>
  </si>
  <si>
    <t>Securities lending collateral</t>
  </si>
  <si>
    <t>112300 SECURITY LEND COLL INVEST</t>
  </si>
  <si>
    <t xml:space="preserve">          Receivables:</t>
  </si>
  <si>
    <t xml:space="preserve">     Accounts receivable</t>
  </si>
  <si>
    <t>113200 A/R</t>
  </si>
  <si>
    <t>113210 A/R - STUDENTS</t>
  </si>
  <si>
    <t>113220 A/R - PATIENTS</t>
  </si>
  <si>
    <t>113230  RETAILER ACCTS RECEIVABLE</t>
  </si>
  <si>
    <t>NEW ACCT FOR FY 2005-2006</t>
  </si>
  <si>
    <t>113231  NSF RECEIVABLE</t>
  </si>
  <si>
    <t>113232  NSF FEE DUE</t>
  </si>
  <si>
    <t>113300 ALLOW FOR DOUBTFUL ACCTS</t>
  </si>
  <si>
    <t>113310 ALLOW-DOUBT ACCT-STUDENT</t>
  </si>
  <si>
    <t>113320 ALLOW-DOUBT ACCT-PATIENT</t>
  </si>
  <si>
    <t xml:space="preserve">       Intergovernmental receivables</t>
  </si>
  <si>
    <t>113410 INTERGOV-LOC GOV REC</t>
  </si>
  <si>
    <t>113420 INTERGOV-FED AGY REC</t>
  </si>
  <si>
    <t>113425 RECEIVABLES FROM OTHER STATES</t>
  </si>
  <si>
    <t>NEW ACCT FOR FY 2010-2011</t>
  </si>
  <si>
    <t>113450 ALLOWANCE -INTERGOVT REC</t>
  </si>
  <si>
    <t>New account FY 2014-15</t>
  </si>
  <si>
    <t xml:space="preserve">     Interest receivable</t>
  </si>
  <si>
    <t>113510 INT EARN REC ON LOAN/NOTE</t>
  </si>
  <si>
    <t>113520 INT REC - ON INVESTMNT</t>
  </si>
  <si>
    <t xml:space="preserve">       Premiums receivable</t>
  </si>
  <si>
    <t>113600 PREMIUMS RECEIVABLE</t>
  </si>
  <si>
    <t xml:space="preserve">     Contributions receivable</t>
  </si>
  <si>
    <t>113370 ALLOWANCE-CONTRIBUTIONS</t>
  </si>
  <si>
    <t>113700 CONTRIBUTIONS RECEIVABLE</t>
  </si>
  <si>
    <t xml:space="preserve">     Other receivables</t>
  </si>
  <si>
    <t>113360 ALLOWANCE-PLEDGES</t>
  </si>
  <si>
    <t>113910 DUE FROM EMPLOYEES</t>
  </si>
  <si>
    <t>113940 PLEDGES RECEIVABLE</t>
  </si>
  <si>
    <t>113990 OTHER CURRENT RECEIVABLES</t>
  </si>
  <si>
    <t>Due from fiduciary funds</t>
  </si>
  <si>
    <t>114318 GOV INTRA REC-PENS TRUST</t>
  </si>
  <si>
    <t>114319 GOV INTRA REC-AGENCY</t>
  </si>
  <si>
    <t>114321 GOV INTRA REC-PRIV PUR TR</t>
  </si>
  <si>
    <t>114418 Due from Pension Trst Fnd</t>
  </si>
  <si>
    <t>114419 GOV INTER REC-AGENCY</t>
  </si>
  <si>
    <t>114421 GOV INTER REC-PRIV PUR TR</t>
  </si>
  <si>
    <t>114310 GOV INTRA REC-GENERAL</t>
  </si>
  <si>
    <t>114311 GOV INTRA REC-SPECIAL REV</t>
  </si>
  <si>
    <t>114313 GOV INTRA REC-CAP IMPROV</t>
  </si>
  <si>
    <t>114314 GOV INTRA REC-ENTERPRISE</t>
  </si>
  <si>
    <t>114315 GOV INTRA REC-INTERN SVC</t>
  </si>
  <si>
    <t>114320 GOV INTRA REC-PERMANENT</t>
  </si>
  <si>
    <t>114410 GOV INTER REC-GENERAL</t>
  </si>
  <si>
    <t>114411 GOV INTER REC-SPEC REV</t>
  </si>
  <si>
    <t>114413 GOV INTER REC-CAP IMPROV</t>
  </si>
  <si>
    <t>114414 Due from Enterprise Fund</t>
  </si>
  <si>
    <t>114415 GOV INTER REC-INTERN SVC</t>
  </si>
  <si>
    <t>114420 GOV INTER REC-PERMANENT</t>
  </si>
  <si>
    <t>114421  DUE FROM PRIVATE PURPOSE TRUST</t>
  </si>
  <si>
    <t>Advances to Outside Entities</t>
  </si>
  <si>
    <t>See below. NEW FY2021</t>
  </si>
  <si>
    <t>114501 Advances to Outside Entities</t>
  </si>
  <si>
    <t>Due from component units</t>
  </si>
  <si>
    <t>114700 DUE FROM ST OF NC COMPONENT UNITS</t>
  </si>
  <si>
    <t>Due from agency/institution component units</t>
  </si>
  <si>
    <t>114800 DUE FROM AG/INSTITUTION COMPONENT UNITS</t>
  </si>
  <si>
    <t>NEW ACCT for FY 2003-2004</t>
  </si>
  <si>
    <t>Due from primary government</t>
  </si>
  <si>
    <t>114600 DUE FROM PRI GOV AGENCY</t>
  </si>
  <si>
    <t>115100 NOTES/LOANS RECEIVABLE</t>
  </si>
  <si>
    <t>115110 NOTE REC-NDSL LNS REC</t>
  </si>
  <si>
    <t>115120 NOTE REC-OTH STUD LOANS</t>
  </si>
  <si>
    <t>115200 Other Student Loans Rec</t>
  </si>
  <si>
    <t>115210 ALLOW-DOUBT ACCTS - NDSL</t>
  </si>
  <si>
    <t>115220 ALLOW-DOUBT ACCT-OTH STUD</t>
  </si>
  <si>
    <t>Lease receivable</t>
  </si>
  <si>
    <t xml:space="preserve">115300 LEASE RECEIVABLE </t>
  </si>
  <si>
    <t>NEW FY2022</t>
  </si>
  <si>
    <t>PPP Asset Receivable</t>
  </si>
  <si>
    <t>115400 PPP Asset Receivable - Current</t>
  </si>
  <si>
    <t>NEW FY2023</t>
  </si>
  <si>
    <t>Accounts 116110 - 116990</t>
  </si>
  <si>
    <t>116110 INVEN-POSTAGE</t>
  </si>
  <si>
    <t>116120 INVEN-DP SUPPLIES</t>
  </si>
  <si>
    <t>116190 INVEN-OTH OFF MAT/SUPPL</t>
  </si>
  <si>
    <t>116210 INVEN-JANITORIAL SUPPLIES</t>
  </si>
  <si>
    <t>116220 INVEN-BEDDING &amp; TEXTILE</t>
  </si>
  <si>
    <t>116230 INVEN-AGRICULTURAL</t>
  </si>
  <si>
    <t>116240 INVEN-CONSTR/REPAIR SUPPL</t>
  </si>
  <si>
    <t>116250 INVEN-HEAT &amp; UTIL SUPPL</t>
  </si>
  <si>
    <t>116290 INVEN-OTH HSE &amp; CLN SUPPL</t>
  </si>
  <si>
    <t>116310 INVEN-MOTOR FUEL &amp; LUBRIC</t>
  </si>
  <si>
    <t>116320 INVEN-TIRES &amp; TUBES</t>
  </si>
  <si>
    <t>116330 INVEN-MOTOR VEHIC PARTS</t>
  </si>
  <si>
    <t>116390 INVEN-OTH MOTR VEH OP SUP</t>
  </si>
  <si>
    <t>116400 INVEN-FOOD &amp; DIETARY</t>
  </si>
  <si>
    <t>116500 INVEN-CLOTHING &amp; REC SUP</t>
  </si>
  <si>
    <t>116610 INVEN-SCIENTIFIC</t>
  </si>
  <si>
    <t>116620 INVEN-DRUGS/PHARM</t>
  </si>
  <si>
    <t>116700 INVEN-R&amp;D, ED SUPPL</t>
  </si>
  <si>
    <t>116800 INVEN-PURCHASE FOR RESALE</t>
  </si>
  <si>
    <t>116910 INVEN-CENTRAL STORES</t>
  </si>
  <si>
    <t>116990 INVEN-OTH MATERIAL/SUPPL</t>
  </si>
  <si>
    <t>Food stamps</t>
  </si>
  <si>
    <t>119400 FOOD STAMPS</t>
  </si>
  <si>
    <t>119100 PREPAID ITEMS</t>
  </si>
  <si>
    <t>Securities held in trust (Sureties)</t>
  </si>
  <si>
    <t>119300 SECURITIES HELD IN TRUST</t>
  </si>
  <si>
    <t>Hedging Derivatives</t>
  </si>
  <si>
    <t>119700 HEDGING DERIVATIVES-CURR</t>
  </si>
  <si>
    <t xml:space="preserve">Beneficial interest in Assets Held by Others </t>
  </si>
  <si>
    <t xml:space="preserve">114910 BENEFICIAL INTEREST IN ASSETS HELD BY OTHERS </t>
  </si>
  <si>
    <t>NEW ACCT FOR FY 2017-2018</t>
  </si>
  <si>
    <t>Net OPEB Asset</t>
  </si>
  <si>
    <t>119780 NET OPEB ASSET</t>
  </si>
  <si>
    <t>Total Current Assets</t>
  </si>
  <si>
    <t>Non-Current Assets:</t>
  </si>
  <si>
    <t>Restricted/designated cash and cash equivalents</t>
  </si>
  <si>
    <t>121110 CASH ON HAND-NONCURRENT</t>
  </si>
  <si>
    <t>121120 CSH/BNK-NON INT BEAR CHK</t>
  </si>
  <si>
    <t>not new acct, but univ will begin using for fy 2002</t>
  </si>
  <si>
    <t>121130 CSH/BNK-INT BEAR ACCTS</t>
  </si>
  <si>
    <t>121140 CSH/BNK-:POOLED CASH</t>
  </si>
  <si>
    <t>121190 CSH/BNK-OTH ACCTS</t>
  </si>
  <si>
    <t>122121 NON-TREAS-CSH W/FISC AGT</t>
  </si>
  <si>
    <t>Restricted/designated pooled cash</t>
  </si>
  <si>
    <t>121220 POOL CASH-STIF-NONCURRENT</t>
  </si>
  <si>
    <t>121260 POOL CSH-BUD CODE-NONCURR</t>
  </si>
  <si>
    <t>121270 POOL CSH-ALLOTMNT-NONCURR</t>
  </si>
  <si>
    <t>121280 POOL CSH-UNALLOT APPR-NON</t>
  </si>
  <si>
    <t>121290 BOND PROCEED CSH ADJ-NONC</t>
  </si>
  <si>
    <t>122101 NON-TREAS-US GOV SEC</t>
  </si>
  <si>
    <t>122102 NON-TREAS-ST &amp; MUNI SEC</t>
  </si>
  <si>
    <t>122103 NON-TREAS-CORP BONDS</t>
  </si>
  <si>
    <t>122104 NON-TREAS-CORP STOCKS</t>
  </si>
  <si>
    <t>122105 NON-TREAS-REPO</t>
  </si>
  <si>
    <t>122106 NON-TREAS-COMM PAPER</t>
  </si>
  <si>
    <t>122107 NON-TREAS-BANKERS' ACCEP</t>
  </si>
  <si>
    <t>122108 NON-TREAS-ANNUITY CONTR</t>
  </si>
  <si>
    <t>122109 NON-TREAS-REAL ESTATE</t>
  </si>
  <si>
    <t>122110 NON-TREAS-INTL BONDS-CORP</t>
  </si>
  <si>
    <t>122111 NON-TREAS-INTL BONDS-GOV</t>
  </si>
  <si>
    <t>122112 NON-TREAS-INTL STOCKS</t>
  </si>
  <si>
    <t>122113 NON-TREAS-CD'S</t>
  </si>
  <si>
    <t>122114 NON-TREAS-INV AGREEMENTS</t>
  </si>
  <si>
    <t>122115 NON-TREAS-INVEST CONTRACT</t>
  </si>
  <si>
    <t>122116 NON-TREAS-MONEY MARKET</t>
  </si>
  <si>
    <t>122117 NON-TREAS-MUTUAL FUNDS</t>
  </si>
  <si>
    <t>122118 NON-TREAS-REIT</t>
  </si>
  <si>
    <t>122119 NON-TREAS-LIMITED PARTNER</t>
  </si>
  <si>
    <t>122120 NON-TREAS-REVERSE REPO</t>
  </si>
  <si>
    <t>122122 NON-TREAS-INV W/FIS AGT</t>
  </si>
  <si>
    <t>122123 NON-TREAS-POOLED INVEST</t>
  </si>
  <si>
    <t>122124 NON-TREAS-COLL MORT OBLIG</t>
  </si>
  <si>
    <t>122150 ALLOW-FV INVESTMENTS</t>
  </si>
  <si>
    <t>122151 ALLOW-FV INVEST FISCAL AG</t>
  </si>
  <si>
    <t>122190 NON-TREAS-OTHER INVESTS</t>
  </si>
  <si>
    <t>122191 NON-TREAS INV DERIV- NONCU</t>
  </si>
  <si>
    <t>122210 POOL INV-LONG TERM</t>
  </si>
  <si>
    <t>NEW ACCT for FY 2002-2003</t>
  </si>
  <si>
    <t>122280 ALLOW-FV OF POOLED INVEST</t>
  </si>
  <si>
    <t>122125 ENDOWMENT INVESTMENTS</t>
  </si>
  <si>
    <t>Moved from Endowment Investments for 2008Annual Report</t>
  </si>
  <si>
    <t>122126 NON-TREAS RESTRICT INVEST</t>
  </si>
  <si>
    <t>122152 ALLOW-FV ENDOWMENT INVEST</t>
  </si>
  <si>
    <t>122153 ALLOW-FV RESTRICT INVESTM</t>
  </si>
  <si>
    <t>Accounts receivable</t>
  </si>
  <si>
    <t>123200 A/R-NON CURRENT</t>
  </si>
  <si>
    <t>123210 A/R-STUDENTS</t>
  </si>
  <si>
    <t>123220 Accounts Rec - Patients</t>
  </si>
  <si>
    <t>123300 Allow for Doubtful Accts</t>
  </si>
  <si>
    <t>123310 Allow Doubt Accts-Student</t>
  </si>
  <si>
    <t>123320 ALLOW-DOUBT ACCT-PATIENT</t>
  </si>
  <si>
    <t>123510 INT REC ON LOANS/NOTES</t>
  </si>
  <si>
    <t>123520 INT REC ON INVESTMENTS</t>
  </si>
  <si>
    <t>Contributions receivable</t>
  </si>
  <si>
    <t>123370 ALLOWANCE FOR DOUBTFUL ACCTS-CONTRIBUTIONS</t>
  </si>
  <si>
    <t>123700 CONTRIBUTIONS RECEIVABLE-NONCURRENT</t>
  </si>
  <si>
    <t>Other receivables</t>
  </si>
  <si>
    <t>123360 ALLOWANCE-PLEDGES</t>
  </si>
  <si>
    <t>123910 REC-DUE FROM EMPLOYEE</t>
  </si>
  <si>
    <t>123940 PLEDGES RECEIVABLE</t>
  </si>
  <si>
    <t>123990 OTHER NONCURRENT RECEIV</t>
  </si>
  <si>
    <t>Restricted due from primary government</t>
  </si>
  <si>
    <t>124100 RESTRIC DUE FROM PRIM GOV</t>
  </si>
  <si>
    <t>Restricted due from component unit</t>
  </si>
  <si>
    <t>124200 RESTRICTED DUE FROM STATE OF NC COMPONENT UNIT</t>
  </si>
  <si>
    <t>124910 BENEFICIAL INTEREST IN ASSETS HELD BY OTHERS</t>
  </si>
  <si>
    <t>125100 NOTES RECEIVABLE</t>
  </si>
  <si>
    <t>125110 NOTES REC-NDSL LOANS REC</t>
  </si>
  <si>
    <t>125120 NOTES REC-OTH STUD LOANS</t>
  </si>
  <si>
    <t>125200 ALLOW-UNCOLL NOTES REC</t>
  </si>
  <si>
    <t>125210 ALLOW DOUBT ACCTS-NDSL</t>
  </si>
  <si>
    <t>125220 ALLOW DOUBT ACCT-OTH STUD</t>
  </si>
  <si>
    <t>125300 LEASE RECEIVABLE</t>
  </si>
  <si>
    <t>125400 PPP Asset Receivable -Non current</t>
  </si>
  <si>
    <t>Investment in Joint Venture</t>
  </si>
  <si>
    <t>129500 INVESTMENT IN JOINT VENTURE</t>
  </si>
  <si>
    <t>Prepaid Items -Noncurrent</t>
  </si>
  <si>
    <t>See below. Caption title changed FY 2014</t>
  </si>
  <si>
    <t>129100 PREPAID ITEMS - NON CUR</t>
  </si>
  <si>
    <t>129200 UNAMORTIZED DREDGING</t>
  </si>
  <si>
    <t>Account title changed FY2014</t>
  </si>
  <si>
    <t>124310 Advances to General Fund</t>
  </si>
  <si>
    <t>124311 Advances to Spec Rev Fund</t>
  </si>
  <si>
    <t>124313 Advances to Cap Imp Fund</t>
  </si>
  <si>
    <t>124314 Advances to Enterpri Fund</t>
  </si>
  <si>
    <t>124315 Advances to int service fund</t>
  </si>
  <si>
    <t>124318 Advances Pension Trst Fnd</t>
  </si>
  <si>
    <t>124319 Advances Agency Fund</t>
  </si>
  <si>
    <t>124700 Adv to component Units</t>
  </si>
  <si>
    <t>129700 HEDGING DERIVATIV-NONCURR</t>
  </si>
  <si>
    <t>NEW ACCOUNT FY 2009-2010</t>
  </si>
  <si>
    <t>129780 NET OPEB ASSET-NONCURR</t>
  </si>
  <si>
    <t>NEW ACCT FY 2017-2018</t>
  </si>
  <si>
    <t>Total Non-Current Assets</t>
  </si>
  <si>
    <t>Capital Assets:</t>
  </si>
  <si>
    <t xml:space="preserve">     Land and permanent Easements</t>
  </si>
  <si>
    <t>127000 LAND/LAND IMPRV/NONDEPREC</t>
  </si>
  <si>
    <t>127510 PERMANENT EASEMENTS -NON DEPRECIABLE</t>
  </si>
  <si>
    <t xml:space="preserve">     Art, other artifacts &amp; literature - non-depre</t>
  </si>
  <si>
    <t>127410 ART/LIT/ARTIFAC-NONDEPREC</t>
  </si>
  <si>
    <t xml:space="preserve">     Construction in progress</t>
  </si>
  <si>
    <t>127800 CONSTRUCTION IN PROGRESS</t>
  </si>
  <si>
    <t xml:space="preserve">     Computer software in development </t>
  </si>
  <si>
    <t>127830 COMPUTER SOFTWARE IN DEVELOPMENT</t>
  </si>
  <si>
    <t xml:space="preserve">     Patents in development</t>
  </si>
  <si>
    <t>127820 PATENTS IN DEVELOPMENT</t>
  </si>
  <si>
    <t xml:space="preserve">     Other intangible assets, nondepreciable</t>
  </si>
  <si>
    <t>127505 Other intangible assets - Nondepreciable.</t>
  </si>
  <si>
    <t>Capital assets, depreciable</t>
  </si>
  <si>
    <t>Buildings</t>
  </si>
  <si>
    <t>127100 BUILDINGS</t>
  </si>
  <si>
    <t>127110 LEASEHOLD IMPROVEMENTS</t>
  </si>
  <si>
    <t>New FY 2010-2011</t>
  </si>
  <si>
    <t>Machinery and equipment</t>
  </si>
  <si>
    <t>127310 FURNITURE</t>
  </si>
  <si>
    <t>127320 EQUIPMENT</t>
  </si>
  <si>
    <t>127330 MOTOR VEH/MOTORIZED EQUIP</t>
  </si>
  <si>
    <t>127340 LIVESTOCK/OTHER ANIMALS</t>
  </si>
  <si>
    <t>Art, literature &amp; artifacts, depreciable</t>
  </si>
  <si>
    <t>127400 ART/LITERATURE/ARTIFACTS</t>
  </si>
  <si>
    <t>General Infrastructure</t>
  </si>
  <si>
    <t>127210 ROAD SYSTEMS</t>
  </si>
  <si>
    <t>127220 BRIDGES</t>
  </si>
  <si>
    <t>127230 LANDSCAPING</t>
  </si>
  <si>
    <t>127240 UTILITY SYSTEMS</t>
  </si>
  <si>
    <t>127250 TOWERS/TANKS/WELLS</t>
  </si>
  <si>
    <t>127255 DAMS</t>
  </si>
  <si>
    <t>127260 FENCES</t>
  </si>
  <si>
    <t>127265 EXTERIOR LIGHTING SYSTEMS</t>
  </si>
  <si>
    <t>127270 PARKING AREAS</t>
  </si>
  <si>
    <t>127280 TUNNELS</t>
  </si>
  <si>
    <t>127290 OTHER STRUCT/IMPROV</t>
  </si>
  <si>
    <t>NC DOT Highway Network</t>
  </si>
  <si>
    <t>127200 NCDOT HIGHWAY NETWORK</t>
  </si>
  <si>
    <t>Computer software</t>
  </si>
  <si>
    <t>127530  COMPUTER SOFTWARE</t>
  </si>
  <si>
    <t>Patents</t>
  </si>
  <si>
    <t>127520  PATENTS</t>
  </si>
  <si>
    <t>Other Intangible assets- depreciable</t>
  </si>
  <si>
    <t>127500 OTHER INTANGIBLE ASSETS</t>
  </si>
  <si>
    <t>RTU Land and permanent Easements</t>
  </si>
  <si>
    <t>127001  RTU LAND &amp; PERMANET EASEMENTS</t>
  </si>
  <si>
    <t>RTU Buildings</t>
  </si>
  <si>
    <t>127101 RTU BUILDINGS</t>
  </si>
  <si>
    <t>RTU Machinery &amp; Equipment</t>
  </si>
  <si>
    <t>127350 RTU MACHINERY &amp; EQUIPMENT</t>
  </si>
  <si>
    <t>RTU General Infrastructure</t>
  </si>
  <si>
    <t>127295 RTU GENERAL INFRASTRUCTURE</t>
  </si>
  <si>
    <t>Subscription Assets</t>
  </si>
  <si>
    <t>127540 SBITA NETWORK</t>
  </si>
  <si>
    <t>New account FY2023</t>
  </si>
  <si>
    <t>127545 SBITA SOFTWARE</t>
  </si>
  <si>
    <t>Accumulated depreciation</t>
  </si>
  <si>
    <t>Accounts 1279XX.</t>
  </si>
  <si>
    <t>127900 ACCUMULATED DEPRECIATION-NC DOT Highway Network</t>
  </si>
  <si>
    <t>127910 DEPREC-BUILDINGS</t>
  </si>
  <si>
    <t>127911 ACCUM DEPREC - LEASEHOLD IMPOVEMENTS</t>
  </si>
  <si>
    <t>127920 DEPREC-OTHER STRUCTURES</t>
  </si>
  <si>
    <t>127930 ACCUM DEPREC-MOTOR VEH/EQ</t>
  </si>
  <si>
    <t>127931 ACCUM DEPREC-LANDSCAPING</t>
  </si>
  <si>
    <t>127932 ACCUM DEPREC-TOWERS/TANKS</t>
  </si>
  <si>
    <t>127933 ACCUM DEPREC-FENCES</t>
  </si>
  <si>
    <t>127934 ACCUM DEPREC-PARKING AREA</t>
  </si>
  <si>
    <t>127935 ACCUM DEPREC-FURNITURE</t>
  </si>
  <si>
    <t>127936 ACCUM DEPREC-EQUIPMENT</t>
  </si>
  <si>
    <t>127937 ACCDEPREC - LIVESTOCK AND OTHER ANIMALS</t>
  </si>
  <si>
    <t>127940  ACCUM DEP - ART, LIT, ARTIF</t>
  </si>
  <si>
    <t>127950 ACCUM DEP - INTANG ASSETS</t>
  </si>
  <si>
    <t>127951 ACCUM DEPREC- PATENTS</t>
  </si>
  <si>
    <t>127952  ACCUM DEPREC - COMPUTER SOFTWARE</t>
  </si>
  <si>
    <t>127960 ACCUM DEPREC-ROAD NON DOT</t>
  </si>
  <si>
    <t>127961 ACCUM DEPREC - BRIDGES</t>
  </si>
  <si>
    <t>127962 ACCUM DEPREC-UTILITY SYST</t>
  </si>
  <si>
    <t>127963 - ACCUM DEPREC - DAMS</t>
  </si>
  <si>
    <t>127964 ACCUM DEPREC - EXTERIOR LIGHTING SYSTEMS</t>
  </si>
  <si>
    <t>127965 ACCUM DEPREC - TUNNELS</t>
  </si>
  <si>
    <t>127970 ACCUM DEPREC-RTU LAND</t>
  </si>
  <si>
    <t>New account FY2022</t>
  </si>
  <si>
    <t>127971 ACCUM DEPREC-RTU BUILDINGS</t>
  </si>
  <si>
    <t xml:space="preserve">127972 ACCUM DEPREC-RTU MACHINERY &amp; EQUIP </t>
  </si>
  <si>
    <t>127973 ACCUM DEPREC-RTU GENERAL INFRASTRUCTURE</t>
  </si>
  <si>
    <t>127974 ACCUM DEPREC-SBITA NETWORK</t>
  </si>
  <si>
    <t>127975 ACCUM DEPREC-SBITA SOFTWARE</t>
  </si>
  <si>
    <t>TOTAL ASSETS</t>
  </si>
  <si>
    <t>DEFERRED OUTFLOWS OF RESOURCES:</t>
  </si>
  <si>
    <t>Moved caption below assets in FY 2012-13 as per GASB 63</t>
  </si>
  <si>
    <t xml:space="preserve">   Accum dec in fair value hedg deriv</t>
  </si>
  <si>
    <t>129701 Accum Decrease in Fair Value Hedging Derivatives</t>
  </si>
  <si>
    <t>New account title for FY 2012-13</t>
  </si>
  <si>
    <t xml:space="preserve">  Deferred loss on refunding</t>
  </si>
  <si>
    <t>New caption FY 2013-14</t>
  </si>
  <si>
    <t>129702 DEF LOSS ON REFUNDING BOND</t>
  </si>
  <si>
    <t>New account FY 2013-14</t>
  </si>
  <si>
    <t xml:space="preserve">  Forward funded state aid</t>
  </si>
  <si>
    <t>129704 Forward funded state aid</t>
  </si>
  <si>
    <t xml:space="preserve">  Excess consideration provided for acqusition</t>
  </si>
  <si>
    <t>New caption FY 2014-15</t>
  </si>
  <si>
    <t>129705 Excss cons prov for aqstn</t>
  </si>
  <si>
    <t xml:space="preserve">    Deferred outflows for ARO</t>
  </si>
  <si>
    <t>New caption FY 2018-19</t>
  </si>
  <si>
    <t>129706 Def outflows for ARO</t>
  </si>
  <si>
    <t>New account FY 2018-19</t>
  </si>
  <si>
    <t xml:space="preserve">    Deferred outflows for Pensions</t>
  </si>
  <si>
    <t>129710 Def outflows for Pensions</t>
  </si>
  <si>
    <t xml:space="preserve">    Deferred outflows for OPEB</t>
  </si>
  <si>
    <t>New caption FY 2017-2018</t>
  </si>
  <si>
    <t>129720 DEF OUTFLOWS FOR OPEB</t>
  </si>
  <si>
    <t>NEW ACCT FY2017-2018</t>
  </si>
  <si>
    <t xml:space="preserve">  Deferred outflows - Other</t>
  </si>
  <si>
    <t>129703 OTH DEF OUTFLOW OF RESRCS</t>
  </si>
  <si>
    <t>TOTAL DEFERRED OUTFLOWS OF RESOURCES</t>
  </si>
  <si>
    <t>UNCLASSIFIED ASSETS</t>
  </si>
  <si>
    <t>None at this time.</t>
  </si>
  <si>
    <t>Valid asset accts that must be zero at year-end</t>
  </si>
  <si>
    <t>114191 UNIV INTRA REC-UNREST CUR</t>
  </si>
  <si>
    <t>moved from unclass for 2005-2006</t>
  </si>
  <si>
    <t>114192 UNIV INTRA REC-PROPRIET</t>
  </si>
  <si>
    <t>114193 UNIV INTRA REC-RESTR CUR</t>
  </si>
  <si>
    <t>114194 UNIV INTRA REC-LOAN</t>
  </si>
  <si>
    <t>114195 UNIV INTRA REC-ENDOWMENT</t>
  </si>
  <si>
    <t>114196 UNIV INTRA REC-AGENCY</t>
  </si>
  <si>
    <t>114197 UNIV INTRA REC-UNEXP PLNT</t>
  </si>
  <si>
    <t>114198 UNIV INTRA REC-DEBT SVC</t>
  </si>
  <si>
    <t>114199 UNIV INTRA REC-INV PLNT</t>
  </si>
  <si>
    <t>INVALID Asset Accounts</t>
  </si>
  <si>
    <t>Beginning 6/30/02</t>
  </si>
  <si>
    <t>113100 TAXES RECEIVABLE</t>
  </si>
  <si>
    <t>113330 ALLOW-DOUBT ACCT-TAX REV</t>
  </si>
  <si>
    <t>114290 UNIV INTER RECEIVABLE</t>
  </si>
  <si>
    <t>Moved to invalid in FY 2011-12</t>
  </si>
  <si>
    <t>114291 UNIV INTER REC-UNREST CUR</t>
  </si>
  <si>
    <t>114292 UNIV INTER REC-PROPRIET</t>
  </si>
  <si>
    <t>114293 UNIV INTER REC-RESTR CUR</t>
  </si>
  <si>
    <t>114294    UNIV INTER REC-LOAN FUND</t>
  </si>
  <si>
    <t>114295    UNIV INTER REC-ENDOWMENT</t>
  </si>
  <si>
    <t>114296    UNIV INTER REC-AGENCY FND</t>
  </si>
  <si>
    <t>114297    UNIV INTER REC-UNEXP PLNT</t>
  </si>
  <si>
    <t>114298    UNIV INTER REC-DEBT SVCE</t>
  </si>
  <si>
    <t>114299    UNIV INTER REC-INV PLANT</t>
  </si>
  <si>
    <t>114312    Due from Debt Svce Fund</t>
  </si>
  <si>
    <t>114316 GOV INTRA REC-EXP TRUST</t>
  </si>
  <si>
    <t>114317 GOV INTRA REC-NONEXP TRST</t>
  </si>
  <si>
    <t>114412    Due from Debt Svce Fund</t>
  </si>
  <si>
    <t>114416 GOV INTER REC-EXP TRUST</t>
  </si>
  <si>
    <t>114417    Due from Nonexp Trst Fund</t>
  </si>
  <si>
    <t>119200 BOND ISSUANCE COST</t>
  </si>
  <si>
    <t>Moved to Invalid FY 2014</t>
  </si>
  <si>
    <t>119500    Amt Provided for LTD Retire.</t>
  </si>
  <si>
    <t>119701 Deferred Outflow - Current</t>
  </si>
  <si>
    <t>New acct for 2009-10 - GASB 53. Moved to Invalid FY 2012-13</t>
  </si>
  <si>
    <t xml:space="preserve">112205 POOL INV-ST INVESTMT POOL </t>
  </si>
  <si>
    <t>New for  FY15. For State Treasurer use only</t>
  </si>
  <si>
    <t>124312    Advances to Debt Svc Fund</t>
  </si>
  <si>
    <t>124316    Advances to Exp Trust Fnd</t>
  </si>
  <si>
    <t>124317    Advances Nonexp Trst Fnd</t>
  </si>
  <si>
    <t>124600 Advances Prim Gov Agcy-NC</t>
  </si>
  <si>
    <t>127966 ACCUMULATED AMORTIZATION - EASEMENTS</t>
  </si>
  <si>
    <t>128100  AMT AVAIL/PROV GLT DEBT</t>
  </si>
  <si>
    <t>New acct beginning 6/30/02; for governmental only, will be invalid for proprietary</t>
  </si>
  <si>
    <t>128110 AMT AVAIL-GENERAL FUND</t>
  </si>
  <si>
    <t>128120    AMT AVAIL-DEBT SVC FUND</t>
  </si>
  <si>
    <t>128130    Amt Avail In Exp Trst Fnd</t>
  </si>
  <si>
    <t>128140    AMT AVAIL-CAP IMPROV FUND</t>
  </si>
  <si>
    <t>128150 AMT AVAIL-SPEC REV FUND</t>
  </si>
  <si>
    <t>128210 AMT PROV GLT DEBT-GENERAL</t>
  </si>
  <si>
    <t>128220    Amt to be Prov-Debt Svce</t>
  </si>
  <si>
    <t>128230 AMT PROV GLT DEBT-EXP TRS</t>
  </si>
  <si>
    <t>128240    Amt to be Prov-Cap Imp</t>
  </si>
  <si>
    <t>128250 AMT PROV GLT DEBT-SPC REV</t>
  </si>
  <si>
    <t>128260 AMT PROVIDED-GLT NONEXPEN</t>
  </si>
  <si>
    <t>129300 GOODWILL</t>
  </si>
  <si>
    <t>129400 BOND ISSUANCE COST-NONCUR</t>
  </si>
  <si>
    <t>Moved in FY 2013-14</t>
  </si>
  <si>
    <t>129900 OTHER NON-CURRENT ASSETS</t>
  </si>
  <si>
    <t>moved to invalid 7/30/2002</t>
  </si>
  <si>
    <t>Clearing Accounts</t>
  </si>
  <si>
    <t>Includes accounts 1138AA plus the ones below.</t>
  </si>
  <si>
    <t>113801 RECEIVABLES CLEARING</t>
  </si>
  <si>
    <t>113802 RECEIVABLES CLEARING</t>
  </si>
  <si>
    <t>113804    DUE FROM CAP IMP FUND</t>
  </si>
  <si>
    <t>113810 RECEIVABLES CLEARING</t>
  </si>
  <si>
    <t>113873 RECEIVABLES CLEARING</t>
  </si>
  <si>
    <t>113899    RECEIVABLES CLEARING</t>
  </si>
  <si>
    <t>113930 FEDERAL FUNDS REC CLRING</t>
  </si>
  <si>
    <t>113931 OTHER CON/GRANT REC CLEAR</t>
  </si>
  <si>
    <t>LIABILITIES:</t>
  </si>
  <si>
    <t xml:space="preserve">        Accounts payable &amp; accrued liabilities:</t>
  </si>
  <si>
    <t xml:space="preserve">   Accounts payable</t>
  </si>
  <si>
    <t>211100 ACCOUNTS PAYABLE</t>
  </si>
  <si>
    <t>211110 DUE TO EMPLOYEES</t>
  </si>
  <si>
    <t>211120  PRIZE LIABILITY</t>
  </si>
  <si>
    <t>211121 LOW TIER PRIZE LIABILITY</t>
  </si>
  <si>
    <t>211122 PRIZE LIABILITY - ROLLOVER</t>
  </si>
  <si>
    <t>211123 PRIZE LIABILITY - BREAKAGE</t>
  </si>
  <si>
    <t>211230 PAYROLL GARNISHMENT PAY</t>
  </si>
  <si>
    <t>211940 ACCR-SALES TAX PAYABLE</t>
  </si>
  <si>
    <t>211941 DMV ACCR-SALES TAX PAY</t>
  </si>
  <si>
    <t>211950 FED 1099 WITHHOLDING PAY</t>
  </si>
  <si>
    <t>211951 ST NONRESIDENT WITHHOLD</t>
  </si>
  <si>
    <t>211952 FED/ST 1099 NONRES WITHLD</t>
  </si>
  <si>
    <t>211953 NONRESIDENT ALIEN WITHLD</t>
  </si>
  <si>
    <t>NEW ACCT for FY 2004-2005</t>
  </si>
  <si>
    <t>211954 1099 FED WITHHOLDING NONRESIDENT ALIEN WITHLD</t>
  </si>
  <si>
    <t>NEW ACCT for FY 2006-2007</t>
  </si>
  <si>
    <t>211960 ESCHEATS PAYABLE</t>
  </si>
  <si>
    <t>211990 OTH LIABILITIES-ACCRUED</t>
  </si>
  <si>
    <t>211991 INVESTMT DERIV LIAB-CURR</t>
  </si>
  <si>
    <t>NEW ACCT for FY 2009-2010</t>
  </si>
  <si>
    <t>217110 DEP PAY-CONTR RETAINAGE</t>
  </si>
  <si>
    <t>NEW PLACEMENT ON 11P</t>
  </si>
  <si>
    <t xml:space="preserve">     Accrued payroll</t>
  </si>
  <si>
    <t>211210 ACCR-SALARY &amp; WAGES</t>
  </si>
  <si>
    <t>211220 W/HOLD &amp; EMPLOY MATCH PAY</t>
  </si>
  <si>
    <t xml:space="preserve">     Intergovernmental payables</t>
  </si>
  <si>
    <t>211310 INTERGOV PAY-LOCAL GOV</t>
  </si>
  <si>
    <t>211311 LIAB RESV-SALES &amp; USE TAX</t>
  </si>
  <si>
    <t>211320 INTERGOV PAY-FED AGENCY</t>
  </si>
  <si>
    <t>211325 PAYABLES TO OTHER STATES</t>
  </si>
  <si>
    <t>NEW ACCT for FY 2010-2011</t>
  </si>
  <si>
    <t>211330 LIAB RESV FOR WHITE GOODS</t>
  </si>
  <si>
    <t>211340 LIAB RESV FOR SCRAP TIRE</t>
  </si>
  <si>
    <t>211350 LIAB RESV-BEVERAGE TAX</t>
  </si>
  <si>
    <t>211360 Liab Reserve-Franchise Tx</t>
  </si>
  <si>
    <t xml:space="preserve">   Premium tax credit payable</t>
  </si>
  <si>
    <t>211601 PREMIUM TAX CREDIT PAY-ST</t>
  </si>
  <si>
    <t xml:space="preserve">     Due to plan participants</t>
  </si>
  <si>
    <t>211500 DUE TO DEFER COMP PARTIC</t>
  </si>
  <si>
    <t xml:space="preserve">     Claims payable</t>
  </si>
  <si>
    <t>215230 ESCHEATS REFUNDS PAY</t>
  </si>
  <si>
    <t>215290 CLAIMS PAY-OTH ASSISTANCE</t>
  </si>
  <si>
    <t>Unemployment benefits payable</t>
  </si>
  <si>
    <t>215220 CLAIMS PAY-UNEMPLOYMENT</t>
  </si>
  <si>
    <t>Due to fiduciary funds</t>
  </si>
  <si>
    <t>212318 GOV INTRA PAY-PENS TRST</t>
  </si>
  <si>
    <t>212319 GOV INTRA PAY-AGENCY</t>
  </si>
  <si>
    <t>212321 GOV INTRA PAY-PRIV PUR TR</t>
  </si>
  <si>
    <t>212418 GOV INTER PAY-PENS TRST</t>
  </si>
  <si>
    <t>212419 GOV INTER PAY-AGENCY</t>
  </si>
  <si>
    <t>212421 GOV INTER PAY-PRIV PUR TR</t>
  </si>
  <si>
    <t>Due to other funds</t>
  </si>
  <si>
    <t>212310 GOV INTRA PAY-GENERAL</t>
  </si>
  <si>
    <t>212311 GOV INTRA PAY-SPECIAL REV</t>
  </si>
  <si>
    <t>212313 GOV INTRA PAY-CAP IMPROV</t>
  </si>
  <si>
    <t>212314 GOV INTRA PAY-ENTERPRISE</t>
  </si>
  <si>
    <t>212315 GOV INTRA PAY-INTERN SVC</t>
  </si>
  <si>
    <t>212320 GOV INTRA PAY-PERMANENT</t>
  </si>
  <si>
    <t>212410 GOV INTER PAY-GENERAL</t>
  </si>
  <si>
    <t>212411 GOV INTER PAY-SPECIAL REV</t>
  </si>
  <si>
    <t>212413 GOV INTER PAY-CAP IMPROV</t>
  </si>
  <si>
    <t>212414 GOV INTER PAY-ENTERPRISE</t>
  </si>
  <si>
    <t>212415 GOV INTER PAY-INTERN SVC</t>
  </si>
  <si>
    <t>212420 GOV INTER PAY-PERMANENT</t>
  </si>
  <si>
    <t>Due to component units</t>
  </si>
  <si>
    <t>212600 DUE TO ST OF NC COMPONENT UNITS</t>
  </si>
  <si>
    <t>title changed for FY 2003-2004</t>
  </si>
  <si>
    <t>Due to agency/institution component units</t>
  </si>
  <si>
    <t>212700 DUE TO AG/INSTITUTION COMPONENT UNITS</t>
  </si>
  <si>
    <t>Due to primary government</t>
  </si>
  <si>
    <t>212500 DUE TO PRIMARY GOV AGENCY</t>
  </si>
  <si>
    <t>Obligations under reverse repo agre</t>
  </si>
  <si>
    <t>213100 OBL UNDER RVRSE PUR AGREE</t>
  </si>
  <si>
    <t>Obligation under securities lending</t>
  </si>
  <si>
    <t>213150 OBL UNDER SECUR LEND TRAN</t>
  </si>
  <si>
    <t>219200 Hedging deriv liab -Curr</t>
  </si>
  <si>
    <t>Notes from Direct Borrowings *</t>
  </si>
  <si>
    <t>213200 NOTES FROM DIRECT BORROWINGS</t>
  </si>
  <si>
    <t xml:space="preserve">* For the Statewide Annual Report -Rolls to Long Term Liabilities Due within 1 year for CU and GW </t>
  </si>
  <si>
    <t>New FY2020</t>
  </si>
  <si>
    <t>Lease liability *</t>
  </si>
  <si>
    <t>214100 LEASE LIABILITY</t>
  </si>
  <si>
    <t>New in FY2022 and Name Change FY2023</t>
  </si>
  <si>
    <t>SBITA liability</t>
  </si>
  <si>
    <t>214200 SBITA LIABILITY</t>
  </si>
  <si>
    <t>New acct FY2023</t>
  </si>
  <si>
    <t>Medical claims payable</t>
  </si>
  <si>
    <t>215210 CLAIMS PAY-MEDICAL</t>
  </si>
  <si>
    <t>Liability insurance trust fund payable *</t>
  </si>
  <si>
    <t>215291 LIAB INS  TRUST FD PAY-CUR</t>
  </si>
  <si>
    <t>Revolving line of credit payable</t>
  </si>
  <si>
    <t>219100  Revolving line of credit</t>
  </si>
  <si>
    <t>Commercial paper payable</t>
  </si>
  <si>
    <t>219101  Commercial paper</t>
  </si>
  <si>
    <t>Bond anticipation notes payable</t>
  </si>
  <si>
    <t>219102  Anticipation notes</t>
  </si>
  <si>
    <t>Bonds &amp; similar debt payable *</t>
  </si>
  <si>
    <t>See below.* For the statewide Annual Report -Rolls to Long Term Liabilities Due within 1 year for CU and GW</t>
  </si>
  <si>
    <r>
      <t xml:space="preserve">216100 </t>
    </r>
    <r>
      <rPr>
        <sz val="10"/>
        <rFont val="Arial"/>
        <family val="2"/>
      </rPr>
      <t>REVENUE</t>
    </r>
    <r>
      <rPr>
        <sz val="10"/>
        <rFont val="Arial"/>
        <family val="2"/>
      </rPr>
      <t xml:space="preserve"> BONDS PAYABLE</t>
    </r>
  </si>
  <si>
    <t xml:space="preserve">216103 GRANT ANTICIPATION REVENUE BONDS PAYABLE-CURRENT </t>
  </si>
  <si>
    <t>NEW ACCT for FY 2012-13</t>
  </si>
  <si>
    <t>216104  DIRECT PLACEMENTS</t>
  </si>
  <si>
    <t>NEW ACCT FOR FY 2020</t>
  </si>
  <si>
    <t>216105 CERTIF OF PARTICIPA PAYAB</t>
  </si>
  <si>
    <t>NEW ACCT FOR FY 2003-2004</t>
  </si>
  <si>
    <t>216106 LIMITED OBLIGATION BONDS PAYABLE - CURRENT</t>
  </si>
  <si>
    <t>New account for FY 2014-15</t>
  </si>
  <si>
    <t>.  Matured Interest Payable</t>
  </si>
  <si>
    <t>216210 MATURED INTEREST PAYABLE</t>
  </si>
  <si>
    <t>.  Accrued Interest Payable</t>
  </si>
  <si>
    <t>216220 ACCRUED INTEREST PAYABLE</t>
  </si>
  <si>
    <t>217120 DEP PAY-FEDERAL GOV</t>
  </si>
  <si>
    <t>217130 N.C. Funds and Govt Units</t>
  </si>
  <si>
    <t>217140 DEP PAY-PATIENT DEPOSITS</t>
  </si>
  <si>
    <t>217150 DEP PAY-STUDENT DEPOSITS</t>
  </si>
  <si>
    <t>217160 DEP PAY-TENANTS DEPOSIT</t>
  </si>
  <si>
    <t>217170 DUE TO DEFER COMP PARTIC</t>
  </si>
  <si>
    <t>217190 FUNDS HELD FOR OTHERS</t>
  </si>
  <si>
    <t>Arbitrage rebate payable *</t>
  </si>
  <si>
    <t>See below.(moved from under A/P to separate caption)</t>
  </si>
  <si>
    <t>211400 ARBITRAGE REBATE PAYABLE</t>
  </si>
  <si>
    <t>Obligation for Workers comp - Current *</t>
  </si>
  <si>
    <t>See below. New Caption FY 2013-14</t>
  </si>
  <si>
    <t>211910 OBLIG FOR WORKERS COMP</t>
  </si>
  <si>
    <t>* For the Statewide Annual Report -Rolls to Long Term Liabilities Due within 1 year for CU and GW. Moved from Accounts payable for FY 2013-14.</t>
  </si>
  <si>
    <t>Annuity &amp; life income payable *</t>
  </si>
  <si>
    <t>211915  ANNUITY &amp; LIFE INCOME PAYABLE</t>
  </si>
  <si>
    <t>Federal unemployment acct advances</t>
  </si>
  <si>
    <t xml:space="preserve">  Fed unemploy acct advances- current</t>
  </si>
  <si>
    <t>New caption FY 2010-2011</t>
  </si>
  <si>
    <t>211918 - Federal unemployment accounts -current</t>
  </si>
  <si>
    <t>Pollution Remediation *</t>
  </si>
  <si>
    <t xml:space="preserve">211919 -Pollution Remediation Payable - Current </t>
  </si>
  <si>
    <t xml:space="preserve">New Account FY 2008-2009. </t>
  </si>
  <si>
    <t>Asset Retirement Obligation*</t>
  </si>
  <si>
    <t>211925 Asset Retirement Obligation - Current</t>
  </si>
  <si>
    <t>New Account FY 2018-2019</t>
  </si>
  <si>
    <t>Accrued vacation leave *</t>
  </si>
  <si>
    <t xml:space="preserve">211920 ACCRUED VACATION </t>
  </si>
  <si>
    <t>See below.  Changed from Deferred Rev caption for 2005-2006.</t>
  </si>
  <si>
    <t>218110 UNEARNED REVENUE</t>
  </si>
  <si>
    <t>218111 UNEARNED INSURANCE PREM</t>
  </si>
  <si>
    <t>Net OPEB Liabilities</t>
  </si>
  <si>
    <t xml:space="preserve">219151 NET OPEB LIABILITY </t>
  </si>
  <si>
    <t>Total Current Liabilities</t>
  </si>
  <si>
    <t>221100 ACCTS PAYABLE-NON CURR</t>
  </si>
  <si>
    <t>221910 OTHER PAYABLES-NON CURR</t>
  </si>
  <si>
    <t>221930 ESCHEATS PAYABLE</t>
  </si>
  <si>
    <t>227110 DEP PAY-CONTR RETAINAGE</t>
  </si>
  <si>
    <t>221991 INVEST DERIV LIAB NONCURR</t>
  </si>
  <si>
    <t xml:space="preserve">   Death benefit payable</t>
  </si>
  <si>
    <t>See below. Caption title updated FY 2014</t>
  </si>
  <si>
    <t>221500 DEATH BEN PAYABLE</t>
  </si>
  <si>
    <t>Account title updated FY 2014</t>
  </si>
  <si>
    <t>221601 PREMIUM TAX CREDIT PAY-LT</t>
  </si>
  <si>
    <t xml:space="preserve">   Intergovernmental payables</t>
  </si>
  <si>
    <t xml:space="preserve">See below </t>
  </si>
  <si>
    <t>221320 INTERGOV PAY-FED-NONCURR</t>
  </si>
  <si>
    <t xml:space="preserve">   Claims payable</t>
  </si>
  <si>
    <t>225290 Other Assist Claims Pay</t>
  </si>
  <si>
    <t>225220 Unemployment Claims Pay</t>
  </si>
  <si>
    <t>No accounts roll to this caption currently.</t>
  </si>
  <si>
    <t>( Blank )</t>
  </si>
  <si>
    <t>222700 DUE TO PRIMARY GOV AGENCY</t>
  </si>
  <si>
    <t>Advances from primary government</t>
  </si>
  <si>
    <t>222500 ADV FROM PRIM GOV AGENCY</t>
  </si>
  <si>
    <t>Advance from Other funds</t>
  </si>
  <si>
    <t>222310    GOV INTRA PAY-GENERAL</t>
  </si>
  <si>
    <t>222311 GOV INTRA PAY-SPECIAL REV</t>
  </si>
  <si>
    <t>222313    Advances From Cap Imp Fnd</t>
  </si>
  <si>
    <t>222314    Advances From Enterp Fund</t>
  </si>
  <si>
    <t>222315    Advances From Int Svc Fnd</t>
  </si>
  <si>
    <t>222318    Advances Pension Trst Fnd</t>
  </si>
  <si>
    <t>222319    Advances From Agency Fund</t>
  </si>
  <si>
    <t>Advances from component units</t>
  </si>
  <si>
    <t>222600 Advances from Comp Units</t>
  </si>
  <si>
    <t>Contracts payable</t>
  </si>
  <si>
    <t>( blank )</t>
  </si>
  <si>
    <t>229200 HEDGING DERIV LIAB-NONCURR</t>
  </si>
  <si>
    <t>223200 NOTES FROM DIRECT BORROWINGS - NONCURRENT</t>
  </si>
  <si>
    <t xml:space="preserve">* For the Statewide Annual Report -Rolls to Long Term Liabilities Due in more than one year for CU and GW </t>
  </si>
  <si>
    <t>224100 LEASES LIABILITY</t>
  </si>
  <si>
    <t>SBITA liability*</t>
  </si>
  <si>
    <t>224200 SBITA LIABILITY-NON CURR</t>
  </si>
  <si>
    <t>225210 CLAIMS PAYABLE-MEDICAL</t>
  </si>
  <si>
    <t>225291 LIAB INS  TRUST FD PAY-NONCUR</t>
  </si>
  <si>
    <t>226100 REVENUE BONDS PAYABLE</t>
  </si>
  <si>
    <t>226101 GENERAL OBLIGATION BONDS PAYABLE</t>
  </si>
  <si>
    <t>226102 LSE-PURCH REV BNDS PAYABLE</t>
  </si>
  <si>
    <t>226103 GRANT ANTIC REV BONDS PAY</t>
  </si>
  <si>
    <t>NEW ACCT FOR FY 2006-2007</t>
  </si>
  <si>
    <t>226104  DIRECT PLACEMENTS-NONCURRENT</t>
  </si>
  <si>
    <t>226105 CERTIFICATES OF PARTICIPATION PAYABLE</t>
  </si>
  <si>
    <t>226106 LIMITED OBLIGATION BONDS PAYABLE</t>
  </si>
  <si>
    <t>226110 UNAMORT DISC ON BONDS PAY</t>
  </si>
  <si>
    <t>226120 UNAMORT PREM ON BONDS PAY</t>
  </si>
  <si>
    <t>acct title change 7/12/02</t>
  </si>
  <si>
    <t>226140 DEEP DISCOUNT DEBT</t>
  </si>
  <si>
    <t>Accrued Interest Payable</t>
  </si>
  <si>
    <t>226220 ACCRUED INTEREST PAYABLE</t>
  </si>
  <si>
    <t>NEW ACCT for FY 2014-15</t>
  </si>
  <si>
    <t>227120 Federal Government</t>
  </si>
  <si>
    <t>227130 N.C. Funds and Govt Units</t>
  </si>
  <si>
    <t>227140 Patient Deposits</t>
  </si>
  <si>
    <t>227150 DEP PAY-STUDENT DEPOSITS</t>
  </si>
  <si>
    <t>227160 Tenants Deposits</t>
  </si>
  <si>
    <t>227170 Due to Defd Comp Plan Par</t>
  </si>
  <si>
    <t>227190 FUNDS HELD FOR OTHERS</t>
  </si>
  <si>
    <t>227191 FNDS HLD TRUST POOL PARTI</t>
  </si>
  <si>
    <t>See below. (moved from under A/P to separate caption)</t>
  </si>
  <si>
    <t>221400 ARBITRAGE REBATE PAYABLE</t>
  </si>
  <si>
    <t xml:space="preserve">* For the Statewide Annual Report -Rolls to Long Term Liabilities Due in more than one year for CU and GW. </t>
  </si>
  <si>
    <t>Oblig for Workers Comp</t>
  </si>
  <si>
    <t>221990 OBLIG FOR WORKER COMP</t>
  </si>
  <si>
    <t xml:space="preserve">* For the Statewide Annual Report -Rolls to Long Term Liabilities Due in more than one year for CU and GW. Moved from Claims payable for FY 2013-14. </t>
  </si>
  <si>
    <t>221915  ANNUITY &amp; LIFE INCOME PAYABLE</t>
  </si>
  <si>
    <t>Fed unemploy acct advances- noncurr</t>
  </si>
  <si>
    <t>221918 - Federal unemployment accounts -noncurrent</t>
  </si>
  <si>
    <t>New account FY-2010-2011</t>
  </si>
  <si>
    <t>221919 -Pollution Remediation Payable - NonCurrent</t>
  </si>
  <si>
    <t>Asset Retirement Obligation *</t>
  </si>
  <si>
    <t>221925 Asset Retirement Obligation - NonCurrent</t>
  </si>
  <si>
    <t>221920 ACCRUED VACATION</t>
  </si>
  <si>
    <t>228110 UNEARNED REVENUE - NONCURRENT</t>
  </si>
  <si>
    <t>NEW ACCOUNT FOR FY 2016-2017</t>
  </si>
  <si>
    <t>See below. New caption for FY 2014-2015</t>
  </si>
  <si>
    <t>229150 Net pension liab - Noncur</t>
  </si>
  <si>
    <t>* For the Statewide Annual Report -Rolls to Long Term Liabilities Due in more than one year for CU and GW . New account for FY 2014-15</t>
  </si>
  <si>
    <t>See below. New caption for FY 2017-2018</t>
  </si>
  <si>
    <t>229160 NET OPEB LIABILITY - NONCURRENT</t>
  </si>
  <si>
    <t>* For the Statewide Annual Report -Rolls to Long Term Liabilities Due in more than one year for CU and GW . New account for FY 2017-18</t>
  </si>
  <si>
    <t>Total Non-Current Liabilities</t>
  </si>
  <si>
    <t>TOTAL LIABILITIES</t>
  </si>
  <si>
    <t>Moved caption after liabilities in FY 2012-13 as per GASB 63</t>
  </si>
  <si>
    <t xml:space="preserve">   Accum incr in fair value hedg deriv</t>
  </si>
  <si>
    <t>229201 ACCUM INCR FV HEDG DERIV</t>
  </si>
  <si>
    <t>NEW ACCT title for FY 2012-13</t>
  </si>
  <si>
    <t>DEF INFLOWS FOR PPP ARRAGEMENTS</t>
  </si>
  <si>
    <t>229202 DEF INFLOWS FOR PPP ARRAGEMENTS</t>
  </si>
  <si>
    <t>Account title changed for FY 2023</t>
  </si>
  <si>
    <t xml:space="preserve">  Deferred Gain on refunding</t>
  </si>
  <si>
    <t>New caption for FY 2013-14</t>
  </si>
  <si>
    <t>229203 DEF GAIN ON REFUNDNG BOND</t>
  </si>
  <si>
    <t>New account for  FY 2013-14</t>
  </si>
  <si>
    <t xml:space="preserve">  Deferred inflows - nonexchange transactions</t>
  </si>
  <si>
    <t>229204 DEF INFLOW-NONEXCH TXNS</t>
  </si>
  <si>
    <t>New account for FY 2013-14</t>
  </si>
  <si>
    <t xml:space="preserve">  Deferred State aid</t>
  </si>
  <si>
    <t>229206 Deferred state aid</t>
  </si>
  <si>
    <t xml:space="preserve">  Deferred Inflows for Pensions</t>
  </si>
  <si>
    <t>New caption for FY 2014-15</t>
  </si>
  <si>
    <t>229210 Def inflows for Pensions</t>
  </si>
  <si>
    <t xml:space="preserve">  Deferred Inflows for OPEB</t>
  </si>
  <si>
    <t>New caption for FY 2017-2018</t>
  </si>
  <si>
    <t>229220 DEF INFLOWS FOR OPEB</t>
  </si>
  <si>
    <t xml:space="preserve">  Deferred Inflow for Irrevocable Split-Interest Agreement</t>
  </si>
  <si>
    <t>229207 DEFERRED INFLOW OF IRREVOCABLE SPLIT-INTEREST AGRMNT</t>
  </si>
  <si>
    <t xml:space="preserve">  Deferred inflows - other</t>
  </si>
  <si>
    <t>229205 OTH DEF INFLOW OF RESRCS</t>
  </si>
  <si>
    <t xml:space="preserve">  Deferred inflows Lease Agreements</t>
  </si>
  <si>
    <t>229208 DEFERRED INFLOWS FOR LEASE AGREEMENTS</t>
  </si>
  <si>
    <t>New Account FY2022</t>
  </si>
  <si>
    <t>TOTAL DEFERRED INFLOWS OF RESOURCES</t>
  </si>
  <si>
    <t>UNCLASSIFIED LIABILITIES</t>
  </si>
  <si>
    <t>Valid liability accts that must be zero at year-end</t>
  </si>
  <si>
    <t>212191 UNIV INTRA PAY-UNREST CUR</t>
  </si>
  <si>
    <t>212192 UNIV INTRA PAY-PROPRI</t>
  </si>
  <si>
    <t>212193 UNIV INTRA PAY-RESTR CUR</t>
  </si>
  <si>
    <t>212194 UNIV INTRA PAY-LOAN</t>
  </si>
  <si>
    <t>212195 UNIV INTRA PAY-ENDOWMENT</t>
  </si>
  <si>
    <t>212196 UNIV INTRA PAY-AGENCY</t>
  </si>
  <si>
    <t>212197 UNIV INTRA PAY-UNEXP PLNT</t>
  </si>
  <si>
    <t>212198 UNIV INTRA PAY-DEBT SVC</t>
  </si>
  <si>
    <t>212199 UNIV INTRA PAY-INV/PLANT</t>
  </si>
  <si>
    <t>INVALID Liability Accounts</t>
  </si>
  <si>
    <t>211370 Liab resv for Solid waste</t>
  </si>
  <si>
    <t>211600 TAX REFUNDS PAYABLE</t>
  </si>
  <si>
    <t>211999 AP ACCRUAL CLEARING</t>
  </si>
  <si>
    <t>moved from clearing accounts 2005-2006</t>
  </si>
  <si>
    <t>212290 UNIV INTER PAYABLE</t>
  </si>
  <si>
    <t>212291 UNIV INTER PAY-UNREST CUR</t>
  </si>
  <si>
    <t>212292 UNIV INTER PAY-PROPRI</t>
  </si>
  <si>
    <t>212293 UNIV INTER PAY-RESTR CUR</t>
  </si>
  <si>
    <t>212294    UNIV INTER PAY-LOAN</t>
  </si>
  <si>
    <t>212295 UNIV INTER PAY-ENDOWMENT</t>
  </si>
  <si>
    <t>212296    UNIV INTER PAY-AGENCY</t>
  </si>
  <si>
    <t>212297    UNIV INTER PAY-UNEX PLANT</t>
  </si>
  <si>
    <t>212298    UNIV INTER PAY-DEBT SVC</t>
  </si>
  <si>
    <t>212299    UNIV INTER PAY-INV PLANT</t>
  </si>
  <si>
    <t>212312 GOV INTRA PAY-DEBT SVC</t>
  </si>
  <si>
    <t>212316 GOV INTRA PAY-EXP TRUST</t>
  </si>
  <si>
    <t>212317    GOV INTRA PAY-NONEXP TRST</t>
  </si>
  <si>
    <t>212412    Due To Debt Service Fund</t>
  </si>
  <si>
    <t>212416 GOV INTER PAY-EXP TRUST</t>
  </si>
  <si>
    <t>212417    Due To Nonexp Trust Fund</t>
  </si>
  <si>
    <t>215110 BENEFIT PAY-PENSION</t>
  </si>
  <si>
    <t>215120    State Retirement Sys Pay</t>
  </si>
  <si>
    <t>216110 DISCNT/PREM ON BONDS PAY</t>
  </si>
  <si>
    <t>use noncurrent acct 226110</t>
  </si>
  <si>
    <t>216120 UNDERWRITERS FEES</t>
  </si>
  <si>
    <t>use noncurrent acct 226120</t>
  </si>
  <si>
    <t>216130 DEF CHRGE DUE TO ADV REF</t>
  </si>
  <si>
    <t>use noncurrent bonds payable accts 2261XX</t>
  </si>
  <si>
    <t>216140 Deep Discount Debt</t>
  </si>
  <si>
    <t>216150 MATURED BONDS PAYABLE</t>
  </si>
  <si>
    <t>216160 Unmatured Bonds Payable</t>
  </si>
  <si>
    <t>217180 INV TRUST DISTRIBUTIONS</t>
  </si>
  <si>
    <t>proprietary funds should not use/have this acct.(7/22/02)</t>
  </si>
  <si>
    <t>217191 FNDS HLD TRUST POOL PARTI</t>
  </si>
  <si>
    <t>use noncurrent acct 227191</t>
  </si>
  <si>
    <t>218120 DEF REV-UNAVAIL CURR PER</t>
  </si>
  <si>
    <t>moved from Unearned Rev 2005-2006</t>
  </si>
  <si>
    <t>218200 OTHER DEFERRED CREDITS</t>
  </si>
  <si>
    <t>Moved for FY 2013-14</t>
  </si>
  <si>
    <t>219000 OTHER CURRENT LIABILITIES</t>
  </si>
  <si>
    <t>219201 Deferred Inflow - Current</t>
  </si>
  <si>
    <t>NEW ACCT for FY 2009-2010. Invalid for FY-2012-2013</t>
  </si>
  <si>
    <t>222312    Advances From Dbt Svc Fnd</t>
  </si>
  <si>
    <t>Not used since GASB 34</t>
  </si>
  <si>
    <t>222316    Advances Exp Trst Fund</t>
  </si>
  <si>
    <t>222317    Advances Nonexp Trst Fnd</t>
  </si>
  <si>
    <t>226130 UNAMORT CHARGE-REFUNDING BONDS</t>
  </si>
  <si>
    <t>229000 OTHER NON-CURRENT LIAB</t>
  </si>
  <si>
    <t>Includes account 2138AA plus the ones below.</t>
  </si>
  <si>
    <t>211240 CENTRAL PAYROLL CLEARING</t>
  </si>
  <si>
    <t>211250 ELECTRONIC PAYABLES CLEAR</t>
  </si>
  <si>
    <t>211255 PAYROLL BENEFITS PAYABLES CLEAR</t>
  </si>
  <si>
    <t>211260 PROCUREMENT CARD CLEARING</t>
  </si>
  <si>
    <t>211270 A/P RECOVERY CLEARING</t>
  </si>
  <si>
    <t>211280 SET OFF DEBT CLEARING</t>
  </si>
  <si>
    <t>211930 HEALTH BENEFITS PAYABLE</t>
  </si>
  <si>
    <t>211970 FED CONT/GRANT PAY CLEAR</t>
  </si>
  <si>
    <t>211971 OTHER CONT/GRANT PAY CLEA</t>
  </si>
  <si>
    <t>2138AA    PAYABLES CLEARING</t>
  </si>
  <si>
    <t>NET POSITION</t>
  </si>
  <si>
    <t>330000 NET POSITION</t>
  </si>
  <si>
    <t>Change in title for FY2012-13</t>
  </si>
  <si>
    <t>Net Position Adjustments</t>
  </si>
  <si>
    <t>See below</t>
  </si>
  <si>
    <t>330001 RESTATEMENT-NET POSITION</t>
  </si>
  <si>
    <t>Revenue/expense summaries</t>
  </si>
  <si>
    <t>399998    PRIOR YEAR REV/EXP SUM</t>
  </si>
  <si>
    <t>399999 Curr Year Rev/Exp Summary</t>
  </si>
  <si>
    <t>TOTAL NET POSITION</t>
  </si>
  <si>
    <t>UNCLASSIFIED FUND EQUITY</t>
  </si>
  <si>
    <t>390000 COMPANY CLOSING ACCOUNT</t>
  </si>
  <si>
    <t>should be zero at year-end</t>
  </si>
  <si>
    <t>999999    SUSPENSE ACCOUNT</t>
  </si>
  <si>
    <t>999999998 SUSPENSE ACCOUNT</t>
  </si>
  <si>
    <t>INVALID Equity Accts</t>
  </si>
  <si>
    <t>310000 CONTRIBUTED CAPITAL</t>
  </si>
  <si>
    <t>311000 CONT CAPITAL-DONATE ASSET</t>
  </si>
  <si>
    <t>320000 FUND BALANCE</t>
  </si>
  <si>
    <t>320001 RESTATEMENT-FUND BAL</t>
  </si>
  <si>
    <t>32xxxx RESERVED BALANCES ( OLD REPORTING MODEL)</t>
  </si>
  <si>
    <t>321101 RESV BAL-INVENTORIES</t>
  </si>
  <si>
    <t>321102 RESV BAL-INVTY-VARIANCE</t>
  </si>
  <si>
    <t>321103 RESV BAL-SPECIFIC ENCUM</t>
  </si>
  <si>
    <t>321104 RESV BAL-CLEAN WATER PROJ</t>
  </si>
  <si>
    <t>321105 RESV BAL-RETRE HLTH PREM</t>
  </si>
  <si>
    <t>321106 RESV BAL-ENERGY CONSERV</t>
  </si>
  <si>
    <t>321107 RESV BAL-MEDICAID</t>
  </si>
  <si>
    <t>321108 RESV BAL-ADV FOR COM UNIT</t>
  </si>
  <si>
    <t>321109 RESV BAL-SAVINGS</t>
  </si>
  <si>
    <t>321110 RESV BAL-REPAIRS&amp;RENOV</t>
  </si>
  <si>
    <t>321111 RESV BAL-DISPROP SHARE</t>
  </si>
  <si>
    <t>321112 RESV BAL-VAC &amp; SICK LEAVE</t>
  </si>
  <si>
    <t>321113 RESV BAL-NOTES REC</t>
  </si>
  <si>
    <t>321114 RESV BAL-PUB SCHL BLDG</t>
  </si>
  <si>
    <t>321115 RESV-CRIT SCHL FAC NEEDS</t>
  </si>
  <si>
    <t>321116 RESV BAL-PREPAID EXPENSE</t>
  </si>
  <si>
    <t>321117 RESV BAL-CAPITAL PROJECTS</t>
  </si>
  <si>
    <t>321118 RESV BAL-CLAIMS/BENEFITS</t>
  </si>
  <si>
    <t>321119 RESV BAL-LOAN &amp; GRANT COM</t>
  </si>
  <si>
    <t>321120 RESV BAL-ABANDONED PROP</t>
  </si>
  <si>
    <t>321121 RESV BAL-POLITICL PARTIES</t>
  </si>
  <si>
    <t>321122 RESV BAL-WILDLIFE ENDOW</t>
  </si>
  <si>
    <t>321123 RESV BAL-RETIREMENT SYS</t>
  </si>
  <si>
    <t>321124 RES-WILDLIFE LT INTEREST</t>
  </si>
  <si>
    <t>321125 RES-WILDLIFE ST INTEREST</t>
  </si>
  <si>
    <t>321126 RES-WILDLIFE INTEREST EX</t>
  </si>
  <si>
    <t>321127 RES-WILDLIFE TRANS YOUTH</t>
  </si>
  <si>
    <t>321128 RES-CHEM ALCH TEST</t>
  </si>
  <si>
    <t>321129 RES-CULTURAL RESOURCES</t>
  </si>
  <si>
    <t>321130 RES-RESV FED RETIREE ADMIN.</t>
  </si>
  <si>
    <t>321131 RESV FED RETIREE REFUND</t>
  </si>
  <si>
    <t>321132 RESV CLEAN WATER MGMT.</t>
  </si>
  <si>
    <t>321133 RESERVE FOR INVESTMENTS</t>
  </si>
  <si>
    <t>321134 RESV BAL-INTANGIBLE TAX</t>
  </si>
  <si>
    <t>321135 RESV BAL-RAILROAD</t>
  </si>
  <si>
    <t>321137 RESV BAL-BAILEY &amp; EMORY</t>
  </si>
  <si>
    <t>321138 RESERVE FOR WORK FIRST</t>
  </si>
  <si>
    <t>321139 RESERVE FOR DPI ALLOCATIO</t>
  </si>
  <si>
    <t>321140 RESERVE-WILDLIFE TRANS IN</t>
  </si>
  <si>
    <t>321141 RESERVE FOR AQUARIUMS</t>
  </si>
  <si>
    <t>321142 RESV FOR RAILROAD DIVIDENDS</t>
  </si>
  <si>
    <t>321190 RESV BAL-OTHER RESERVED</t>
  </si>
  <si>
    <t>321198 RESV BAL-MONTHLY ACCRUALS</t>
  </si>
  <si>
    <t>321199 RESV BEG FUND BAL ADJUST</t>
  </si>
  <si>
    <t>322100 RESTR FUND BALANCE</t>
  </si>
  <si>
    <t>322101 RESTR BAL-LOANS</t>
  </si>
  <si>
    <t>322102 RESTR BAL-ENDOWMENTS</t>
  </si>
  <si>
    <t>322103 RESTR-REV BOND RETIREMENT</t>
  </si>
  <si>
    <t>322104 RESTR FOR RESTR FUNDS</t>
  </si>
  <si>
    <t>322105 RESTRICTED FOR UNEXP PLNT</t>
  </si>
  <si>
    <t>322106 REST US GOV GRANTS REFUND</t>
  </si>
  <si>
    <t>322107 RESTRICTED FOR TERM ENDOW</t>
  </si>
  <si>
    <t>322108 RESTRICT FOR QUASI-ENDOWM</t>
  </si>
  <si>
    <t>322109 REST ANNUITY LIFE INC FDS</t>
  </si>
  <si>
    <t>322110 RESTRICT REPAIR &amp; REPLACE</t>
  </si>
  <si>
    <t>322190 RESTR BEG FUND BAL ADJUST</t>
  </si>
  <si>
    <t>323110 UNRESV-UNDESIG FUND BAL</t>
  </si>
  <si>
    <t>323120 UNRESV-SUBSEQUENT YR EXP</t>
  </si>
  <si>
    <t>323130 UNRES SAVINGS RESERVE</t>
  </si>
  <si>
    <t>323201 DES REPAIRS &amp; RENOVATIONS</t>
  </si>
  <si>
    <t>323202 DES CW MANAGEMNT TRUST FD</t>
  </si>
  <si>
    <t>323203 DES DISPROPORTIONATE SHAR</t>
  </si>
  <si>
    <t>323204 DES AQUARIUMS</t>
  </si>
  <si>
    <t>323205 DES WORK FIRST</t>
  </si>
  <si>
    <t>323206 DES CAPITAL PROJECTS</t>
  </si>
  <si>
    <t>323207 DES RAILROAD DIVIDENDS</t>
  </si>
  <si>
    <t>323208 DES INTANGIBLES RESERVE</t>
  </si>
  <si>
    <t>323190 UNRSV BEG FUND BAL ADJUST</t>
  </si>
  <si>
    <t>324110 UNRESTR-UNDESIG FUND BAL</t>
  </si>
  <si>
    <t>324120 UNRESTR-SUBSEQUENT YR EXP</t>
  </si>
  <si>
    <t>324130 UNRESTRICTED QUASI ENDOW</t>
  </si>
  <si>
    <t>324190 UNRESTR-BEG FUND BAL ADJ</t>
  </si>
  <si>
    <t>331910 RET EARN-AJD TO CSH REV</t>
  </si>
  <si>
    <t>331920 RET EARN-AJD TO CSH EXP</t>
  </si>
  <si>
    <t>340000 INVESTMENT IN PROPERTY</t>
  </si>
  <si>
    <t xml:space="preserve">Note: New accounts for current fiscal year can be found at </t>
  </si>
  <si>
    <t xml:space="preserve">http://www.osc.nc.gov/sigdocs/sig_docs/sigNCAS_Data_Elements.html </t>
  </si>
  <si>
    <t>Nine digit sub accounts roll to the  6 digit account</t>
  </si>
  <si>
    <t>ACCOUNT ROLL-UP FOR 53P</t>
  </si>
  <si>
    <t>UPDATED for FY 2023</t>
  </si>
  <si>
    <t>Note:  Not all captions on the 53P are included</t>
  </si>
  <si>
    <t>OPERATING REVENUES</t>
  </si>
  <si>
    <t>the accounts should roll for year-end reporting.</t>
  </si>
  <si>
    <t>434101 SALES/SERVICES - BAD DEBT</t>
  </si>
  <si>
    <t>434102 SALES/SERVICES-ALLOWANCE</t>
  </si>
  <si>
    <t>434110 HOUSEHOLD/CLEANING SVC</t>
  </si>
  <si>
    <t>434120 TRANSPORTATION SALES/SVC</t>
  </si>
  <si>
    <t>434131 TELEPHONE/TELECOM SVC</t>
  </si>
  <si>
    <t>434132 COMPUTER SALES &amp; SVC</t>
  </si>
  <si>
    <t>434133 POSTGE,FRGHT &amp; DELIV SVC</t>
  </si>
  <si>
    <t>434134 PRINT, BIND &amp; DUPLIC SVC</t>
  </si>
  <si>
    <t>434139 OTHER COMMUNICATION SVC</t>
  </si>
  <si>
    <t>434140 MAINTENANCE &amp; REPAIR SVC</t>
  </si>
  <si>
    <t>434150 FOOD &amp; VENDING SVC</t>
  </si>
  <si>
    <t>434160 PROFESSIONAL SERVICES</t>
  </si>
  <si>
    <t>434170 UTILITY SALES &amp; SERVICES</t>
  </si>
  <si>
    <t>434180 AGRICULT &amp; FORESTRY SVC</t>
  </si>
  <si>
    <t>434190 OTHER SALES &amp; SERVICES</t>
  </si>
  <si>
    <t>434195 UNIV/CC AUXILIARY SALES</t>
  </si>
  <si>
    <t>434196 SALES COMMISSIONS</t>
  </si>
  <si>
    <t>434310 SALE OF PUBLICATIONS</t>
  </si>
  <si>
    <t>434390 OTH SALES OF GOODS</t>
  </si>
  <si>
    <t>434700  LOTTERY TICKET SALES</t>
  </si>
  <si>
    <t>See below. Exceptions are 435811 and 435829 which are invalid</t>
  </si>
  <si>
    <t>4358XX  Tuition &amp; fees</t>
  </si>
  <si>
    <t>434200 HOSPITAL &amp; MEDICAL SALES</t>
  </si>
  <si>
    <t>434201 HOSP/MED SALES-BAD DEBT</t>
  </si>
  <si>
    <t>535611 CONTRACTUAL ADJUSTMENTS</t>
  </si>
  <si>
    <t>535612 INDIGENT CARE WRITE-OFFS</t>
  </si>
  <si>
    <t>Employer contributions</t>
  </si>
  <si>
    <t>436150 EMPLYER UNEMP INS CONTRIB</t>
  </si>
  <si>
    <t>432997 FEDERAL APPROPRIATIONS</t>
  </si>
  <si>
    <t xml:space="preserve">Accounts 4327AA </t>
  </si>
  <si>
    <t>State and local grants and contacts</t>
  </si>
  <si>
    <t>Accounts 4328AA,432CAA, 432FAA, 432HAA</t>
  </si>
  <si>
    <t>Nongovernmental grants and contacts</t>
  </si>
  <si>
    <t>Accounts 432BAA</t>
  </si>
  <si>
    <t>433200 INTEREST EARN ON LOANS-PROGRAM</t>
  </si>
  <si>
    <t>433210 CONSTRUCTION PERIOD INT</t>
  </si>
  <si>
    <t>437112 LOAN COLLECTION-INTEREST</t>
  </si>
  <si>
    <t>434410 RENTAL OF REAL PROPERTY</t>
  </si>
  <si>
    <t>434420 RENTAL OF EQUIPMENT</t>
  </si>
  <si>
    <t>434430 RENTAL PARKING LOTS</t>
  </si>
  <si>
    <t>434440 LEASE INCOME</t>
  </si>
  <si>
    <t>See below. Accts 435XXX except for 4358XX, 435500005 to 435500008,435500031, 435500118, 435590, 435710, 435711 and  435900064.</t>
  </si>
  <si>
    <t>437993 ELECTRON/DIGITAL TRAN FEE</t>
  </si>
  <si>
    <t>moved from Misc Rev 2005-2006</t>
  </si>
  <si>
    <t>437994 RETURNED CHECK FEE</t>
  </si>
  <si>
    <t>435901 UPPER PAYMENT LIMIT (UPL) HOSPITAL ASSESSMENTS</t>
  </si>
  <si>
    <t>New for FY 2011-2012</t>
  </si>
  <si>
    <t>435902 EQUITY ASSESSMENTS</t>
  </si>
  <si>
    <t>435903 PUB HOSP ENHANCED DEF PAY</t>
  </si>
  <si>
    <t>538030 FINE/PENALTY/FORFEIT -TRANSFER</t>
  </si>
  <si>
    <t>New account for FY 2010-2011</t>
  </si>
  <si>
    <t>Toll revenue</t>
  </si>
  <si>
    <t>435710 Toll receipts</t>
  </si>
  <si>
    <t>New for FY 2010-2011</t>
  </si>
  <si>
    <t>435711 Toll receipts - bad debt</t>
  </si>
  <si>
    <t>Insurance premiums</t>
  </si>
  <si>
    <t>434600 INSURANCE PREMIUMS</t>
  </si>
  <si>
    <t>437111 LOAN COLLECTION-PRINCIPAL</t>
  </si>
  <si>
    <t>437115 LIQU. DAMAGE COLLECTIONS</t>
  </si>
  <si>
    <t>437117 REBATES</t>
  </si>
  <si>
    <t>437118 PER DIEM COLLECTIONS</t>
  </si>
  <si>
    <t>437119 PUBLIC ASSIST COLLECTIONS</t>
  </si>
  <si>
    <t>437120 MED RECOUP NON-ST AGENCY</t>
  </si>
  <si>
    <t>437121 PAYBACK SETTLEMENTS</t>
  </si>
  <si>
    <t>437122 ACCTS REC INTEREST</t>
  </si>
  <si>
    <t>437123 ACCTS REC PENALTY</t>
  </si>
  <si>
    <t>437127 PROCUREMENT CARD REBATES</t>
  </si>
  <si>
    <t>NEW FOR FY 2008</t>
  </si>
  <si>
    <t>437800 RESERVE TO BDGT REDUCTION</t>
  </si>
  <si>
    <t>437985 OTHER MISC REVENUE-GRANT RELATED PROGRAM REVENUE</t>
  </si>
  <si>
    <t>NEW FOR FY 2014-15</t>
  </si>
  <si>
    <t>437990 OTHER MISC REV-PROGRAM</t>
  </si>
  <si>
    <t>437995 OTHER MISC REV-GENERAL</t>
  </si>
  <si>
    <t>UNCLASSIFIED REVENUES</t>
  </si>
  <si>
    <t>432998 COUNTY APPROPRIATIONS</t>
  </si>
  <si>
    <t>will be analyzed, when used</t>
  </si>
  <si>
    <t>Valid rev accts that must be zero at year-end</t>
  </si>
  <si>
    <t>432996 PROVIDER MATCH</t>
  </si>
  <si>
    <t>434500 SALE OF LAND</t>
  </si>
  <si>
    <t>435900064 STATE ICF-MR ASSESSMENT CLEARING</t>
  </si>
  <si>
    <t>moved from fees for 2005-2006</t>
  </si>
  <si>
    <t>437210 PROCEEDS-GENERAL OBLIGATION BONDS</t>
  </si>
  <si>
    <t>437211 PROCEEDS - REVENUE BONDS</t>
  </si>
  <si>
    <t>437212 PROCEEDS OF REFUND DEBT</t>
  </si>
  <si>
    <t>437213 PROCEEDS-LEASES</t>
  </si>
  <si>
    <t>moved from unclass for 2005-2006; New acct title FY2022</t>
  </si>
  <si>
    <t>437214 PROCEEDS-OTHER FINANCING</t>
  </si>
  <si>
    <t>437215 BOND PREMIUM</t>
  </si>
  <si>
    <t>437217 PROCEED-LSE PURCH REV BND</t>
  </si>
  <si>
    <t>437218 PROCEEDS - GARVEE</t>
  </si>
  <si>
    <t>NEW FOR FY 2007-2008</t>
  </si>
  <si>
    <t>437219 PROCEEDS-LIMITED OBLIGATION BONDS</t>
  </si>
  <si>
    <t>437220 PROCEEDS -FEDERAL LOAN</t>
  </si>
  <si>
    <t>NEW FOR FY 2009-2010</t>
  </si>
  <si>
    <t>437300 INDIRECT(OVERHD) COST REC</t>
  </si>
  <si>
    <t>moved from misc for 2006-2007</t>
  </si>
  <si>
    <t>437500 RETIREMENT OF INDEBTEDNES</t>
  </si>
  <si>
    <t>moved from misc for 2005-2006</t>
  </si>
  <si>
    <t>437600 PLANT FUND ADDITION-UNIV</t>
  </si>
  <si>
    <t>437992 IMP/PETTY CASH RE-DEPOSIT</t>
  </si>
  <si>
    <t>438045 INTERFUND BORROWING</t>
  </si>
  <si>
    <t>NEW FOR FY 2010-2011</t>
  </si>
  <si>
    <t>438046 INTERFUND BORROWING REPAYMENT</t>
  </si>
  <si>
    <t>4389 PRIOR YEAR CARRYFORWARD</t>
  </si>
  <si>
    <t>moved from trf in for 2005-2006</t>
  </si>
  <si>
    <t>438RAA Transfer In- ARRA Billing Rate (should be zero for year end)</t>
  </si>
  <si>
    <t>NEW ACCOUNT FOR FY 2009-2010</t>
  </si>
  <si>
    <t>INVALID Revenue Accounts</t>
  </si>
  <si>
    <t>431100 TAX REVENUES</t>
  </si>
  <si>
    <t>431101 HIGHWAY USE TAX</t>
  </si>
  <si>
    <t>431102 MOTOR FUEL TAX</t>
  </si>
  <si>
    <t>431200 TAX REVENUE REFUNDS</t>
  </si>
  <si>
    <t>431201 TAX REFUND HIGHWAY USE</t>
  </si>
  <si>
    <t>431202 TAX REFUND MOTOR FUEL</t>
  </si>
  <si>
    <t>431300 TAX DISTRIBUTION IN</t>
  </si>
  <si>
    <t>431400 TAX DISTRIBUTION OUT</t>
  </si>
  <si>
    <t xml:space="preserve">432999 FEDERAL GRANTS - NONOPER  </t>
  </si>
  <si>
    <t>433110 INT/DIV ON INVESTMENTS</t>
  </si>
  <si>
    <t>433112 INTEREST INC-BOND PROCEED</t>
  </si>
  <si>
    <t>433113 INT/DIV INC INVST-GENERAL</t>
  </si>
  <si>
    <t>433114 INT INC-BOND PROC-GENERAL</t>
  </si>
  <si>
    <t>433120 STIF INTEREST INCOME</t>
  </si>
  <si>
    <t>433122 STIF INT INC-GENERAL REV</t>
  </si>
  <si>
    <t>433130 LTIF INTEREST INCOME</t>
  </si>
  <si>
    <t>433132 LTIF INT INC-GENERAL REV</t>
  </si>
  <si>
    <t>433135 BOND INDEX FUND INTEREST INCOME-PROGRAM REV</t>
  </si>
  <si>
    <t>New Account FY 2016-2017</t>
  </si>
  <si>
    <t>433137 BOND INDEX FUND INTEREST INCOME-GENERAL REV</t>
  </si>
  <si>
    <t>433140 EQUITY FUND INT INCOME</t>
  </si>
  <si>
    <t>433150 REAL ESTATE FUND INT INC</t>
  </si>
  <si>
    <t>433160 VENTURE CAP FUND INT INC</t>
  </si>
  <si>
    <t>433170 LIQUID ASSET FUND INT INC</t>
  </si>
  <si>
    <t>433180 INFLATION PROTECTION INVESTMENT FUND INTEREST INCOME</t>
  </si>
  <si>
    <t>New Account FY 2009-2010</t>
  </si>
  <si>
    <t>433190 CREDIT INVESTMENT FUND INTEREST INCOME</t>
  </si>
  <si>
    <t>433201 INT EARNINGS LOAN-GENERAL</t>
  </si>
  <si>
    <t>Use acct 433200</t>
  </si>
  <si>
    <t>434320 SALE OF SURPLUS PROPERTY</t>
  </si>
  <si>
    <t>435500005 FEED TAX</t>
  </si>
  <si>
    <t xml:space="preserve"> Moved from Fees, licenses and fines in FY 2012-2013</t>
  </si>
  <si>
    <t>435500006 FERTILIZER TAX</t>
  </si>
  <si>
    <t>435500007 LIME TAX</t>
  </si>
  <si>
    <t>435500008 SEED TAX</t>
  </si>
  <si>
    <t>435500031 FOREST PRODUCTION ASSESSMENT</t>
  </si>
  <si>
    <t>435500118 911 FEE</t>
  </si>
  <si>
    <t>New for FY 2012-13</t>
  </si>
  <si>
    <t>435590 TOBACCO SETTLEMENT</t>
  </si>
  <si>
    <t>435811 RESIDENT ELDERLY TUITION WAIVER</t>
  </si>
  <si>
    <t>moved from Fees, Lic 2005-2006</t>
  </si>
  <si>
    <t>435829 NONRES MILITARY TUITION</t>
  </si>
  <si>
    <t>436110 PENS/INSUR EMPLYER CONTR</t>
  </si>
  <si>
    <t>436120 PENS/INSUR EMPLYEE CONTR</t>
  </si>
  <si>
    <t>436130 ON BEHALF CONTRIBUTIONS</t>
  </si>
  <si>
    <t>436140 RETIREE INSURANCE CONTRIB</t>
  </si>
  <si>
    <t>436160 TRUSTEE DEPOSITS</t>
  </si>
  <si>
    <t>Use accts 436200 or 436203</t>
  </si>
  <si>
    <t>436201 PRIV DON &amp; GIFTS - NONOP</t>
  </si>
  <si>
    <t>436300 PUBLIC DONATIONS &amp; GIFTS</t>
  </si>
  <si>
    <t>436301 PUB DON &amp; GIFTS - NONOPER</t>
  </si>
  <si>
    <t>moved from Miscell Rev 2005-2006</t>
  </si>
  <si>
    <t>437113 INSURANCE RECOVERIES</t>
  </si>
  <si>
    <t>437114 ESCHEAT FUND COLLECTIONS</t>
  </si>
  <si>
    <t>437216 CERTIFICATES OF PARTICIPA</t>
  </si>
  <si>
    <t>437221 PROCEEDS-SBITA</t>
  </si>
  <si>
    <t>437400 REALIZED GAIN-SALE OF INV</t>
  </si>
  <si>
    <t>437401 REALIZD GAIN-SALE INV-GEN</t>
  </si>
  <si>
    <t>437410 UNREALIZD GAIN INV-PROGRM</t>
  </si>
  <si>
    <t>437411 UNREALIZD GAIN INV-GENERL</t>
  </si>
  <si>
    <t>437420 PURCHASE/REDEMPT OF UNITS</t>
  </si>
  <si>
    <t>437430 REINVESTMENT OF DISTRIB</t>
  </si>
  <si>
    <t>New Account FY 2010-2011</t>
  </si>
  <si>
    <t>438030 TRANSFER FROM CIVIL FINE/PENALTY FUND</t>
  </si>
  <si>
    <t xml:space="preserve">438054 TRANSFER -CONNECT GO BOND </t>
  </si>
  <si>
    <t>New account FY 2016-17</t>
  </si>
  <si>
    <t>438072 TRANSFER NIN TO UNIV 2011 R&amp;R RESERVE</t>
  </si>
  <si>
    <t>4382AA STATEWIDE REIMBURSEMENTS</t>
  </si>
  <si>
    <t>OPERATING EXPENSES</t>
  </si>
  <si>
    <t>.  Personal services</t>
  </si>
  <si>
    <t>531110 EPA REG SALARIES-UNIV</t>
  </si>
  <si>
    <t>531111 EPA-REG SALARIES-APPRO</t>
  </si>
  <si>
    <t>531112 EPA-REG SALARIES-RECPT</t>
  </si>
  <si>
    <t>531113 EPA-REG SALARIES-UNDESIG</t>
  </si>
  <si>
    <t>531114 EPA-REG SAL/WAGE-INDIRECT</t>
  </si>
  <si>
    <t>ADDED 2004</t>
  </si>
  <si>
    <t>531120 EPA-SPC SAL-APP-DIRECTOR</t>
  </si>
  <si>
    <t>531121 EPA-SPC SAL-APP-JUDGES</t>
  </si>
  <si>
    <t>531122 EPA-SPC SAL-APP-DA/AST DA</t>
  </si>
  <si>
    <t>531123 EPA-SPC SAL-APP-MAGISTRAT</t>
  </si>
  <si>
    <t>531124 EPA-SPC SAL-APP-CRT REP</t>
  </si>
  <si>
    <t>531125 EPA-SPC SAL-APP-CLERK</t>
  </si>
  <si>
    <t>531126 EPA-SPC SAL-APP-SPEC COUN</t>
  </si>
  <si>
    <t>531127 EPA-SPC SAL-APP-CRT COUN</t>
  </si>
  <si>
    <t>531128 EPA-SPC SAL-APP-PD/AST PD</t>
  </si>
  <si>
    <t>531129 EPA-SPC SAL-APP-AD/AST AD</t>
  </si>
  <si>
    <t>531130 EPA-SPC-SAL-APP-STAFF</t>
  </si>
  <si>
    <t>531141 SEC/COUNCIL OF ST SAL-APP</t>
  </si>
  <si>
    <t>531142   EPA SEC/COUNCIL OF ST SAL</t>
  </si>
  <si>
    <t>531150 EPA-TEACH SALARIES-UNIV</t>
  </si>
  <si>
    <t>531151 EPA-TEACH SALARIES-APPRO</t>
  </si>
  <si>
    <t>531152 EPA-TEACH SALARIES-RECPT</t>
  </si>
  <si>
    <t>531153 EPA - TEACH SALARIES - UNDESIGNATED</t>
  </si>
  <si>
    <t>531154 EPA - TIME LIMITED SAL - APPROPRIATED</t>
  </si>
  <si>
    <t>531156 EPA - TIME LIMITED TEACH SAL - UNDESIGNATED</t>
  </si>
  <si>
    <t>531160 EPA - TIME LIMITED SAL - UNIVERSITY</t>
  </si>
  <si>
    <t>531155 EPA-T LIMIT TEACH SAL-REC</t>
  </si>
  <si>
    <t>NEW ACCT FOR FY 2002-2003</t>
  </si>
  <si>
    <t>531161 EPA- Time limited Sal- Approp</t>
  </si>
  <si>
    <t>Old account used in FY 2008-2009</t>
  </si>
  <si>
    <t>531162 EPA-TIME LIMITED SAL-RECP</t>
  </si>
  <si>
    <t>531191 EPA-REG SALARY -INCREASES</t>
  </si>
  <si>
    <t>531192 EPA-TEACH SAL -INCREASES</t>
  </si>
  <si>
    <t>531210 SPA-REG SALARIES-UNIV</t>
  </si>
  <si>
    <t>531211 SPA-REG SALARIES-APPRO</t>
  </si>
  <si>
    <t>531212 SPA-REG SALARIES-RECPT</t>
  </si>
  <si>
    <t>531213 SPA-REG SALARIES-UNDESIG</t>
  </si>
  <si>
    <t>531214 SPA-REG SAL/WAGE-INDIRECT</t>
  </si>
  <si>
    <t>531220 SPA TIME LIMITED SAL-UNIV</t>
  </si>
  <si>
    <t>531221 SPA TIME LIMITED SAL-APP</t>
  </si>
  <si>
    <t>531222 SPA TIME LIMITEDSAL-REC</t>
  </si>
  <si>
    <t>531223 SPA TIME LIMITED SAL-UNDE</t>
  </si>
  <si>
    <t>531230 LEO SALARIES-UNIVERSITY</t>
  </si>
  <si>
    <t>NEW ACCT FOR FY 2005-2006. Title changed in 2009-2010</t>
  </si>
  <si>
    <t>531231 LEO SALARIES -APPROPRIATED</t>
  </si>
  <si>
    <t>531232 LEO SALARIES -RECEIPTS</t>
  </si>
  <si>
    <t>531233 LEO SALARIES  -UNDESIGNATED</t>
  </si>
  <si>
    <t>531251 SPA-TEACH SALARIES-APPRO</t>
  </si>
  <si>
    <t>531252 SPA-TEACH SALARIES-RECPT</t>
  </si>
  <si>
    <t>531253 SPA-TEACH SALARIES-UNDESG</t>
  </si>
  <si>
    <t>531254 SPA TEACHING SUPPL-APPROP</t>
  </si>
  <si>
    <t>531255 SPA TEACHING SUPPLE-REC</t>
  </si>
  <si>
    <t>531256 SPA TEACHING SUPP-UNDESIG</t>
  </si>
  <si>
    <t>531257 SPA T LIMIT TEACH SAL-APP</t>
  </si>
  <si>
    <t>531258 SPA T LIMIT TEACH SAL-REC</t>
  </si>
  <si>
    <t>531291 SPA REG SALARY -INCREASES</t>
  </si>
  <si>
    <t>531292 SPA TEACH SAL -INCREASES</t>
  </si>
  <si>
    <t>531310 REG(N S) TEMP WAGES-UNIV</t>
  </si>
  <si>
    <t>531311 REG(N S) TEMP WAGES-APPR</t>
  </si>
  <si>
    <t>531312 REG(N S) TEMP WAGES-RECPT</t>
  </si>
  <si>
    <t>531313 REG(N S) TEMP WAGES-UNDES</t>
  </si>
  <si>
    <t>531320 CONTR EMPL PER IRS-UNIV</t>
  </si>
  <si>
    <t>531321 CONTR EMPL PER IRS-APPRO</t>
  </si>
  <si>
    <t>531322 CONTR EMPL PER IRS-RECPT</t>
  </si>
  <si>
    <t>531323 CONTR EMPL PER IRS-UNDES</t>
  </si>
  <si>
    <t>531350 STU TEMP WAGES - UNIV</t>
  </si>
  <si>
    <t>531351 STU TEMP WAGES - APPRO</t>
  </si>
  <si>
    <t>531352 STU TEMP WAGES - RECPTS</t>
  </si>
  <si>
    <t>531353 STU TEMP WAGES - UNDESIG</t>
  </si>
  <si>
    <t>531410 OT PAY - UNIV</t>
  </si>
  <si>
    <t>531411 OT PAY - APPROPRIATED</t>
  </si>
  <si>
    <t>531412 OT PAY - RECEIPTS</t>
  </si>
  <si>
    <t>531413 OT PAY - UNDESIGNATED</t>
  </si>
  <si>
    <t>531420 HOLIDAY PAY - UNIV</t>
  </si>
  <si>
    <t>531421 HOLIDAY PAY - APPRO</t>
  </si>
  <si>
    <t>531421000 HOLIDAY PAY - APPRO</t>
  </si>
  <si>
    <t>531422 HOLIDAY PAY - RECEIPTS</t>
  </si>
  <si>
    <t>531423 HOLIDAY PAY - UNDESIGNATD</t>
  </si>
  <si>
    <t>531430 SHIFT PREM PAY - UNIV</t>
  </si>
  <si>
    <t>531431 SHIFT PREM PAY - APPRO</t>
  </si>
  <si>
    <t>531432 SHIFT PREM PAY - RECEIPTS</t>
  </si>
  <si>
    <t>531433 SHIFT PREM PAY - UNDESIG</t>
  </si>
  <si>
    <t>531440 CALLBK/STBY PREM PAY-UNIV</t>
  </si>
  <si>
    <t>531441 CALLBK/STBY PREM PAY-APPR</t>
  </si>
  <si>
    <t>531442 CALLBK/STBY PREM PAY-RECT</t>
  </si>
  <si>
    <t>531443 CALLBK/STBY PREM PAY-UNDE</t>
  </si>
  <si>
    <t>531450 DUAL EMPL WAGES - UNIV</t>
  </si>
  <si>
    <t>531451 DUAL EMPL WAGES - APPRO</t>
  </si>
  <si>
    <t>moved from Personal Serv to invalid 2005-2006. Moved back in FY 2016-17</t>
  </si>
  <si>
    <t>531452 DUAL EMPL WAGES - RECPTS</t>
  </si>
  <si>
    <t>531453 DUAL EMPL WAGES - UNDESIG</t>
  </si>
  <si>
    <t>531620 SEVER SLRY CONTINUE-UNIV</t>
  </si>
  <si>
    <t>531621 SEVER SLRY CONTINUE-APPRO</t>
  </si>
  <si>
    <t>531622 SEVER SLRY CONTINUE-RECT</t>
  </si>
  <si>
    <t>531623 SEVER SLRY CONTINUE-UNDES</t>
  </si>
  <si>
    <t>531641 INMATE LABOR</t>
  </si>
  <si>
    <t>531642 THERAPEUTIC WAGES</t>
  </si>
  <si>
    <t>531643 NATIONAL GUARD PAYMENTS</t>
  </si>
  <si>
    <t>531649 OTH SPECIAL PROGRAM WAGES</t>
  </si>
  <si>
    <t>531651 COMPENSATION TO BOARD MEM</t>
  </si>
  <si>
    <t>531652 COMPEN TO OTH ELECTED OFF</t>
  </si>
  <si>
    <t>531653 COMPEN TO NATIONAL GUARD</t>
  </si>
  <si>
    <t>.  Employee benefits</t>
  </si>
  <si>
    <t>531460 EPA&amp;SPA-LONGVTY PAY-UNIV</t>
  </si>
  <si>
    <t>531461 EPA&amp;SPA-LONGVTY PAY-APPRO</t>
  </si>
  <si>
    <t>531462 EPA&amp;SPA-LONGVTY PAY-REC</t>
  </si>
  <si>
    <t>Acct 531462001 inactivated 6/1/05</t>
  </si>
  <si>
    <t>531463 EPA&amp;SPA-LONGVTY PAY-UNDES</t>
  </si>
  <si>
    <t>531464 LONGEVITY-INDIRECT COST</t>
  </si>
  <si>
    <t>531471 BONUS INCENTIVE PAY - APPROP</t>
  </si>
  <si>
    <t>531472 BONUS INCENTIVE WAGES- RECEIPTS</t>
  </si>
  <si>
    <t>531473 BONUS/INCENTIVE WAGES - UNDESIGNATED</t>
  </si>
  <si>
    <t>NEW ACCT FOR FY 2015-16</t>
  </si>
  <si>
    <t>531474 BONUS/INCENTIVE WAGES - UNIVERSITIES</t>
  </si>
  <si>
    <t>531480 SUBSIDIZED WAGE SUPPLMNT</t>
  </si>
  <si>
    <t>NEW ACCT FOR FY 2016-17</t>
  </si>
  <si>
    <t>531510 SOCIAL SEC CONTRIB-UNIV</t>
  </si>
  <si>
    <t>531511 SOCIAL SEC CONTRIB-APPRO</t>
  </si>
  <si>
    <t>531512 SOCIAL SEC CONTRIB-RECPTS</t>
  </si>
  <si>
    <t>531513 SOCIAL SEC CONTRIB-UNDES</t>
  </si>
  <si>
    <t>531514 SOC SECURITY-INDIRECT COS</t>
  </si>
  <si>
    <t>531520 REG RETIRE CONTRIB-UNIV</t>
  </si>
  <si>
    <t>531521 REG RETIRE CONTRIB-APPRO</t>
  </si>
  <si>
    <t>531522 REG RETIRE CONTRIB-RECPTS</t>
  </si>
  <si>
    <t>531523 REG RETIRE CONTRIB-UNDES</t>
  </si>
  <si>
    <t>531524 REG RETIRE-INDIRECT COST</t>
  </si>
  <si>
    <t>531530 LEO RETIRE CONTRIB-UNIV</t>
  </si>
  <si>
    <t>531531 LEO RETIRE CONTRIB-APPRO</t>
  </si>
  <si>
    <t>531532 LEO RETIRE CONTRIB-RECPTS</t>
  </si>
  <si>
    <t>531533 LEO RETIRE CONTRIB-UNDES</t>
  </si>
  <si>
    <t>531540 OPT RETIRE CONTRIB-UNIV</t>
  </si>
  <si>
    <t>531541 OPTIONAL RETIREMENT - APPROPRIATED</t>
  </si>
  <si>
    <t>531542 OPTIONAL RETIREMENT - RECEIPTS</t>
  </si>
  <si>
    <t>531550 PENSION SPIKE PMT UNIV</t>
  </si>
  <si>
    <t>CHANGED TITLE IN FY2015-16</t>
  </si>
  <si>
    <t>531551 PENSION SPIKE PMT APPROPR</t>
  </si>
  <si>
    <t>531552 PENSION SPIKE PMT RECIPTS</t>
  </si>
  <si>
    <t>531553 PENSIONS SPIKE PMT UNDESIG</t>
  </si>
  <si>
    <t>531560 MED INS CONTRIB-UNIV</t>
  </si>
  <si>
    <t>531561 MED INS CONTRIB-APPRO</t>
  </si>
  <si>
    <t>531562 MED INS CONTRIB-RECPTS</t>
  </si>
  <si>
    <t>531563 MED INS CONTRIB-UNDES</t>
  </si>
  <si>
    <t>531571 DISABILITY INS PREM</t>
  </si>
  <si>
    <t>531572 UNEMP COMP PAYMNTS TO DES</t>
  </si>
  <si>
    <t>TITLE UPDATED FY 2013-14</t>
  </si>
  <si>
    <t>531573 WORKER COMP PREMIUMS</t>
  </si>
  <si>
    <t>531574 ADDITIONAL EMPLOYEE BENEFITS</t>
  </si>
  <si>
    <t>531575 EMPLOYEE ASSISTANCE PROGR</t>
  </si>
  <si>
    <t>531576 FLEXIBLE SPENDING ACCOUNT SAVINGS TRANSFER</t>
  </si>
  <si>
    <t>531577 UNEMPLOYMENT INSURANCE 1% PAYMENT TO DIVISION OF EMPLOYMENT SECURITY</t>
  </si>
  <si>
    <t>NEW ACCT FOR FY 2013-14</t>
  </si>
  <si>
    <t>531590 RESERVES FOR STAFF BENE</t>
  </si>
  <si>
    <t>531595 PENSION EXPENSE</t>
  </si>
  <si>
    <t>NEW FOR FY 2014-2015</t>
  </si>
  <si>
    <t>531598 OPEB EXPENSE</t>
  </si>
  <si>
    <t>NEW FOR FY 2017-2018</t>
  </si>
  <si>
    <t>531611 EMPLOYEE SUGGESTION AWARD</t>
  </si>
  <si>
    <t>531624 GRIEVANCE SETTLEMENT</t>
  </si>
  <si>
    <t>531625 ST DISABILITY PMT-UNDES/UNIV</t>
  </si>
  <si>
    <t>531626 EXTEND ST DISABILITY PMT</t>
  </si>
  <si>
    <t>531627 ST DISABILITY PMT-APPROP</t>
  </si>
  <si>
    <t>531628 ST DISABILITY PMT-RECEIPT</t>
  </si>
  <si>
    <t>531631 WRKER COMP-MED PAYMENTS</t>
  </si>
  <si>
    <t>531632 WRKER COMP-TEMP DIS PAYMN</t>
  </si>
  <si>
    <t>531633 WRKER COMP-PERM DIS PAYMN</t>
  </si>
  <si>
    <t>531634 WRKER COMP-DEATH BENEFITS</t>
  </si>
  <si>
    <t>531639 OTHER WORKERS COMP COSTS</t>
  </si>
  <si>
    <t>531660 TAXBLE EMPL EXP REIMB</t>
  </si>
  <si>
    <t>531661 TAXABLE EMPLOYEE EXPENSE REIMBURSEMENT - APPROPRIATED</t>
  </si>
  <si>
    <t>531662 TAXABLE EMPLOYEE EXPENSE REIMBURSEMENT-RECEIPTS</t>
  </si>
  <si>
    <t>531663 TAXABLE EMPLOYEE EXPENSE REIMBURSEMENT- UNDESIGNATED</t>
  </si>
  <si>
    <t>set up in 6/2/07. Not used yet.</t>
  </si>
  <si>
    <t>531664 NONTAXABLE EMPLOYEE CELL PHONE REIMBURSEMENT</t>
  </si>
  <si>
    <t>NEW ACCT FOR FY 2011-2012</t>
  </si>
  <si>
    <t>531700 CHANGE IN ACCRD VACATION</t>
  </si>
  <si>
    <t>531998 HLTH BNFITS INTRFACE SUSP</t>
  </si>
  <si>
    <t>531999 PAYROLL INTRFACE SUSPENSE</t>
  </si>
  <si>
    <t>532941 EMP EDUCATION ASSIST PROG</t>
  </si>
  <si>
    <t>moved from Other Services 2005-2006</t>
  </si>
  <si>
    <t>532942 OTHER EMP EDUCATIONAL EXP</t>
  </si>
  <si>
    <t>532950 EMP MOVING EXPENSES</t>
  </si>
  <si>
    <t>532951 STAFF TUITION WAIVER</t>
  </si>
  <si>
    <t>535840 SERVICE &amp; OTHER AWARDS</t>
  </si>
  <si>
    <t>Unemployment benefits</t>
  </si>
  <si>
    <t>535241 UNEMP COMP PAYMENTS</t>
  </si>
  <si>
    <t>533XXX Supplies except 533800</t>
  </si>
  <si>
    <t xml:space="preserve">   .534XXX Capital outlay (Accounts 534XXX. 534522 and 534710 are invalid accounts)</t>
  </si>
  <si>
    <t xml:space="preserve"> (moved from Other to be under supplies and materials in FY 2013)</t>
  </si>
  <si>
    <t>.  Contracted personal services</t>
  </si>
  <si>
    <t>532110 LEGAL SERVICES</t>
  </si>
  <si>
    <t>532120 FINAN/AUDIT SERVICES</t>
  </si>
  <si>
    <t>532123 ARRA BILLING RATE</t>
  </si>
  <si>
    <t>532131 HOSPITAL PROVDED MED SERV</t>
  </si>
  <si>
    <t>532132 OTHER PROVIDED MED SER</t>
  </si>
  <si>
    <t>532133 EMPLYEE/EMPLYMENT PHYSICA</t>
  </si>
  <si>
    <t>53214B IT SUBSCRIPTION SUPPORT</t>
  </si>
  <si>
    <t>532140 OTH INFORMATION TECH SVCS</t>
  </si>
  <si>
    <t>Revised title FY 2013-14</t>
  </si>
  <si>
    <t>532141 WAN SUPPORT SERVICES</t>
  </si>
  <si>
    <t>NEW effective July 1, 2002</t>
  </si>
  <si>
    <t>532142 VIDEO TRANSMISSION SUPPORT SVCS</t>
  </si>
  <si>
    <t>NEW effective January 1, 2003</t>
  </si>
  <si>
    <t>532143 LAN SUPPORT SERVICES</t>
  </si>
  <si>
    <t>532144 PC/PRINTER SUPPORT SVC</t>
  </si>
  <si>
    <t>532145 MANAGE SERVER SUPPORT SVC</t>
  </si>
  <si>
    <t>NEW effective January 1, 2003. Revised title FY 2013-14</t>
  </si>
  <si>
    <t>532146 MAINFRAME SUPPORT SVC</t>
  </si>
  <si>
    <t>532147 IT SEAT MANAGEMENT SVC</t>
  </si>
  <si>
    <t>532150 ACADEMIC SERVICES</t>
  </si>
  <si>
    <t>532148 APPLICATION DEVELOPMENT</t>
  </si>
  <si>
    <t>532149 IT PROJ MGMT ANLSIS SVCS</t>
  </si>
  <si>
    <t>532150000 ACADEMIC SERVICES</t>
  </si>
  <si>
    <t>532160 ENGINEERING SERVICES</t>
  </si>
  <si>
    <t>532170 ADMIN SERVICES</t>
  </si>
  <si>
    <t>532171 ADMIN SVCS-EXTENDED SVCS</t>
  </si>
  <si>
    <t>532181 FOOD SER AGREEMENT</t>
  </si>
  <si>
    <t>532182 LAUNDRY SER AGREEMENT</t>
  </si>
  <si>
    <t>532183 LABORATORY SER AGREEMENT</t>
  </si>
  <si>
    <t>532183000 LABORATORY SER AGREEMENT</t>
  </si>
  <si>
    <t>532185 WASTE REM/RECY SER AGREEM</t>
  </si>
  <si>
    <t>532185000 WASTE REM/RECY SER AGREEM</t>
  </si>
  <si>
    <t>532184 JANITORIAL SER AGREEMENT</t>
  </si>
  <si>
    <t>Moved from Other Services FY 2015</t>
  </si>
  <si>
    <t>532186 SECURITY SERVICE AGREE</t>
  </si>
  <si>
    <t>532187 PEST CONTROL AGREEMENT</t>
  </si>
  <si>
    <t>532188 LAWNS &amp; GROUNDS SER AGREE</t>
  </si>
  <si>
    <t>532189 ELECTRONIC MONITORING</t>
  </si>
  <si>
    <t>NEW ACCT FOR FY 2014-15</t>
  </si>
  <si>
    <t>532191 DUAL EMP PAY TO AGENCY</t>
  </si>
  <si>
    <t>532192 HONORARIUMS</t>
  </si>
  <si>
    <t>532193 TRANSPORTATION SVCS</t>
  </si>
  <si>
    <t>532194 EMPLOYEE ON LOAN PAYMENTS</t>
  </si>
  <si>
    <t>532195 VETERINARY SERVICES</t>
  </si>
  <si>
    <t>NEW ACCT FOR FY 2004-2005</t>
  </si>
  <si>
    <t>532196 RESTORATION SERVICES</t>
  </si>
  <si>
    <t>532197 GAMING SYSTEMS SERVICES</t>
  </si>
  <si>
    <t>532199 MISC CONTRACTUAL SERVICES</t>
  </si>
  <si>
    <t>Acct 532199014 inactivated 5/9/05</t>
  </si>
  <si>
    <t>532199000 MISC CONTRACTUAL SERVICES</t>
  </si>
  <si>
    <t>532199001 MISC SVC-AUCTION SVC</t>
  </si>
  <si>
    <t>532199002 MISC SVC-AGRI/FORSTRY SVC</t>
  </si>
  <si>
    <t>532199003 MISC SVC-BURIAL/CREM SVCS</t>
  </si>
  <si>
    <t>532199004 MISC SVC-INTERPRETER SVCS</t>
  </si>
  <si>
    <t>532199005 MISC SVC-O/S HOUSE CSTS-M</t>
  </si>
  <si>
    <t>532199006 MISC SVC-O/S HOUSE CSTS-F</t>
  </si>
  <si>
    <t>532199007 MISC SVC-NURSE AID TR PG</t>
  </si>
  <si>
    <t>532199008 PARENT KIDNAP SVCS</t>
  </si>
  <si>
    <t>532199009 PARENT LOCATING SERVICES</t>
  </si>
  <si>
    <t>532199010 TRANSITIONAL HOME PROGRAM</t>
  </si>
  <si>
    <t>532199215 MISC CONTRACTUAL SERVICES</t>
  </si>
  <si>
    <t>532199310 MISC CONTRACTUAL SERVICES</t>
  </si>
  <si>
    <t>532199314 MISC CONTRACTUAL SERVICES</t>
  </si>
  <si>
    <t>532199356 STUDENT WORK PROGRAM</t>
  </si>
  <si>
    <t>53219935A MISC CONTRACTUAL SERVICES</t>
  </si>
  <si>
    <t>532199380 MISC CONTRACTUAL SERVICES</t>
  </si>
  <si>
    <t>532199383 MISC CONTRACTUAL SERVICES</t>
  </si>
  <si>
    <t>532199476 MISC CONTRACTUAL SERVICES</t>
  </si>
  <si>
    <t>532199604 ACQ OF ROW-DEED FROM IND</t>
  </si>
  <si>
    <t>532199619 MISC CONTRACTUAL SERVICES</t>
  </si>
  <si>
    <t>532199900 WORKSHOP/CONF EXP-MISC</t>
  </si>
  <si>
    <t>.  Utilities</t>
  </si>
  <si>
    <t>532210 ENRG SER -ELECTRICAL</t>
  </si>
  <si>
    <t>532220 ENRG SER -NAT.GAS/PROPANE</t>
  </si>
  <si>
    <t>532230 ENRG SER -WATER &amp; SEWER</t>
  </si>
  <si>
    <t>532241 ENRG SER -FUEL OIL</t>
  </si>
  <si>
    <t>532242 ENRG SER -COAL FUEL</t>
  </si>
  <si>
    <t>532243 ENRG SER -WOOD FUEL</t>
  </si>
  <si>
    <t>532244 ENRG SER -CHEM &amp; ADDIT</t>
  </si>
  <si>
    <t>532245 STEAM</t>
  </si>
  <si>
    <t>532870 CABLE TV</t>
  </si>
  <si>
    <t>.  Travel</t>
  </si>
  <si>
    <t>532711 TRANSP AIR - IN STATE</t>
  </si>
  <si>
    <t>532712 TRANS AIR-OUT STATE,IN US</t>
  </si>
  <si>
    <t>532713 TRANSP AIR-OUT OF COUNTRY</t>
  </si>
  <si>
    <t>532714 TRANSP-GRND - IN STATE</t>
  </si>
  <si>
    <t>532715 TRANS GRND-OUT STA,IN US</t>
  </si>
  <si>
    <t>532716 TRANS GRND-OUT OF COUNTRY</t>
  </si>
  <si>
    <t>532717 TRANSP OTHER - IN STATE</t>
  </si>
  <si>
    <t>532718 TRANS OTH-OUTSTATE, IN US</t>
  </si>
  <si>
    <t>532719 TRANS OTH-OUT OF COUNTRY</t>
  </si>
  <si>
    <t>532721 LODGING - IN STATE</t>
  </si>
  <si>
    <t>532722 LODGING-OUT STATE, IN US</t>
  </si>
  <si>
    <t>532723 LODGING-OUT OF COUNTRY</t>
  </si>
  <si>
    <t>532724 MEALS - IN STATE</t>
  </si>
  <si>
    <t>532725 MEALS-OUT OF STATE,IN US</t>
  </si>
  <si>
    <t>532726 MEALS  - OUT OF COUNTRY</t>
  </si>
  <si>
    <t>532727 MISC - IN STATE</t>
  </si>
  <si>
    <t>532728 MISC - OUT STATE, IN US</t>
  </si>
  <si>
    <t>532729 MISC  - OUT OF COUNTRY</t>
  </si>
  <si>
    <t>532731 BD/NON-EMPLOYEE TRANSP</t>
  </si>
  <si>
    <t>532732 BD/NON-EMPLOYEE SUBSIS</t>
  </si>
  <si>
    <t>532733 BD/NON-EMPLOYEE TRAINING</t>
  </si>
  <si>
    <t>.  Communication</t>
  </si>
  <si>
    <t>532810 BUNDLED VOICE/DATA</t>
  </si>
  <si>
    <t>new account for 2005-2006</t>
  </si>
  <si>
    <t>532811 TELEPHONE SERVICE</t>
  </si>
  <si>
    <t>532812 TELECOMMUN DATA CHRG</t>
  </si>
  <si>
    <t>532813 TELECONFERENCE CHARGES</t>
  </si>
  <si>
    <t>532814 CELLULAR PHONE SERVICES</t>
  </si>
  <si>
    <t>532815 EMAIL AND CALENDARING</t>
  </si>
  <si>
    <t>532816 VIDEO TRANSMISSION CHARGE</t>
  </si>
  <si>
    <t>532817 INTERNET SERV PROV CHARGE</t>
  </si>
  <si>
    <t>532818 DATA WIRING SVC CHRG</t>
  </si>
  <si>
    <t>532819 TELEPHONE WIRING SVC CHRG</t>
  </si>
  <si>
    <t>.  Data processing services</t>
  </si>
  <si>
    <t>532821 COMPUTER/DATA PROCESS SVC</t>
  </si>
  <si>
    <t>532822 MANAGED LAN SVC CHARGE</t>
  </si>
  <si>
    <t>532823 AUTHENTIC &amp; AUTHORIZ SVCS</t>
  </si>
  <si>
    <t>532824 MANAGED SERVER SVCS</t>
  </si>
  <si>
    <t>532825 MANAGED WAN SVCS</t>
  </si>
  <si>
    <t>532826 SOFTWARE SUBSCRIPTIONS</t>
  </si>
  <si>
    <t>532827 ELECTRONIC SERVICES</t>
  </si>
  <si>
    <t>532828 MANAGED DESKTOP SVCS</t>
  </si>
  <si>
    <t>.  Other services</t>
  </si>
  <si>
    <t>532310 REPAIRS-BUILDINGS</t>
  </si>
  <si>
    <t>532320 REPAIRS-OTHER STRUCTURES</t>
  </si>
  <si>
    <t>532331 REPAIRS-MOTOR VEHICLES</t>
  </si>
  <si>
    <t>532332 REPAIRS-OTHER COMPUTER EQUIP</t>
  </si>
  <si>
    <t>532333 REPAIRS-OTHER EQUIPMENT</t>
  </si>
  <si>
    <t>532334 REPAIR-WAN EQUIP</t>
  </si>
  <si>
    <t>532335 REPAIR-VIDEO TRANSMSN EQP</t>
  </si>
  <si>
    <t>532336 REPAIRS-LAN EQUIP</t>
  </si>
  <si>
    <t>532337 REPAIRS-PC/PRINTER</t>
  </si>
  <si>
    <t>532338 REPAIRS-SERVERS</t>
  </si>
  <si>
    <t>532339 REPAIRS - VOICE COMMUNICATIONS EQUIPMENT</t>
  </si>
  <si>
    <t>532390 REPAIRS-OTHER</t>
  </si>
  <si>
    <t>532840 POSTAGE, FREIGHT &amp; DELIV</t>
  </si>
  <si>
    <t>532849 CENTRAL MAIL SUSPENSE</t>
  </si>
  <si>
    <t>532850 PRINT,BIND,DUPLICATE</t>
  </si>
  <si>
    <t>532860 ADVERTISING</t>
  </si>
  <si>
    <t>moved from unclassified for 2005-2006</t>
  </si>
  <si>
    <t>532925 INMATE TUITION</t>
  </si>
  <si>
    <t>532930 REGISTRATION FEES</t>
  </si>
  <si>
    <t>535621 INVENTOR PRICE VAR ADJUST</t>
  </si>
  <si>
    <t>535622 OTH INVENTORY ADJUSTMENTS</t>
  </si>
  <si>
    <t>535630 FIXED ASSET WRITEDOWNS</t>
  </si>
  <si>
    <t>535660 SVC CHRG-SALE SURPLUS</t>
  </si>
  <si>
    <t>535670 AD VALORUM TAX-ST SHARE</t>
  </si>
  <si>
    <t>535680 VENDOR REFUND CLEARING</t>
  </si>
  <si>
    <t>535810 STUD/PATINT ENTRTNMNT EXP</t>
  </si>
  <si>
    <t>535890 OTHER ADMIN EXPENSE</t>
  </si>
  <si>
    <t>Lottery Prize</t>
  </si>
  <si>
    <t>See below.  New Caption 2005-2006</t>
  </si>
  <si>
    <t>535980  LOTTERY PRIZE EXPENSE</t>
  </si>
  <si>
    <t>Claims</t>
  </si>
  <si>
    <t>535210 PENSION FUND PAYMENTS</t>
  </si>
  <si>
    <t>535219 OTHER NON-EMP PENSIONS</t>
  </si>
  <si>
    <t>535221 LONG TERM DISAB PAYMENTS</t>
  </si>
  <si>
    <t>535222 DIS CLAIM-DEATH BENEFITS</t>
  </si>
  <si>
    <t>535223 REIM-STATE DISABILITY PAY</t>
  </si>
  <si>
    <t>535232 LEO SEPARATION ALLOWANCE</t>
  </si>
  <si>
    <t>535242 MEDICAL CLAIM PAYMENTS</t>
  </si>
  <si>
    <t>535243 CONTRIB DEATH BENEFITS</t>
  </si>
  <si>
    <t>535244 PHARMACY CLAIM PAYMENTS</t>
  </si>
  <si>
    <t>535251 FIRE LOSS CLAIM PAYMENTS</t>
  </si>
  <si>
    <t>535252 WIND STORM LOSSES &amp; OTHR</t>
  </si>
  <si>
    <t>535253 INSURANCE EXTENDED COVER</t>
  </si>
  <si>
    <t>535254 VOL SAFETY WC CLAIM PMTS</t>
  </si>
  <si>
    <t>533800 PURCHASES FOR RESALE</t>
  </si>
  <si>
    <t>535430 DEPRECIATION</t>
  </si>
  <si>
    <t>532911 PROPERTY-INSURANCE</t>
  </si>
  <si>
    <t>532912 MOTOR VEHICLE INSURANCE</t>
  </si>
  <si>
    <t>532913 LIABILITY INSURANCE</t>
  </si>
  <si>
    <t>532919 OTHER INSURANCE</t>
  </si>
  <si>
    <t>532920 BONDING</t>
  </si>
  <si>
    <t>Refund of contributions</t>
  </si>
  <si>
    <t>535218 REFUND OF CONTRIB</t>
  </si>
  <si>
    <t>536810 EDUC AWAR-APPROP GRANTS</t>
  </si>
  <si>
    <t>536820 MINORITY PRESENCE AWARD</t>
  </si>
  <si>
    <t>536840 ACAD ENHANCEMENT SCHOOL</t>
  </si>
  <si>
    <t>536850 TEACHERS SCHOLARSHIPS</t>
  </si>
  <si>
    <t>536860 MEDICAL &amp; DENTAL GRANTS</t>
  </si>
  <si>
    <t>536870 TRAINEESHIPS</t>
  </si>
  <si>
    <t>536875 GRAD ASST TUITION AWARDS</t>
  </si>
  <si>
    <t>536880 INCENTIVE SCHOLARSHIPS</t>
  </si>
  <si>
    <t>536885    NO DESCRIPTION FOUND</t>
  </si>
  <si>
    <t>536890 OTHER EDUCATIONAL AWARDS</t>
  </si>
  <si>
    <t>5368XX EDUCATIONAL AWARDS &amp; SCHOLARSHIPS</t>
  </si>
  <si>
    <t xml:space="preserve">      Other:</t>
  </si>
  <si>
    <t>.   Other fixed charges</t>
  </si>
  <si>
    <t>532410 MAINT AGREEMNT-BUILDINGS</t>
  </si>
  <si>
    <t>532420 MAINT AGREEMNT-OTH STRUCT</t>
  </si>
  <si>
    <t>532430 MAINT AGREEMENT-EQUIP</t>
  </si>
  <si>
    <t>532441 MAINT AGREEMENT-OTHER SOFTWARE</t>
  </si>
  <si>
    <t>532442 MAINT AGRMT-WAN SOFTWARE</t>
  </si>
  <si>
    <t>NEW ACCT effective July 1, 2002</t>
  </si>
  <si>
    <t>532443 MAINT AGRMT-NON-WAN DP EQ</t>
  </si>
  <si>
    <t>532444 MAINT AGRMT-WAN EQUIP</t>
  </si>
  <si>
    <t>532445 MAINT AGRMT-VIDEO TRAN EQ</t>
  </si>
  <si>
    <t>532446 MAINT AGREE-LAN EQUIP</t>
  </si>
  <si>
    <t>NEW ACCT effective January 1, 2003</t>
  </si>
  <si>
    <t>532447 MAINT AGREE-PC/PRINTER</t>
  </si>
  <si>
    <t>532448 MAINT AGREE-PC SOFTWARE</t>
  </si>
  <si>
    <t>532449 MAINT AGREE-SERVER SOFTWR</t>
  </si>
  <si>
    <t>532450 MAINT AGREE-SERVER EQUIP</t>
  </si>
  <si>
    <t>532451 MAINT AGREE-MAINFRAME EQP</t>
  </si>
  <si>
    <t>532452 MAINT AGREE-MAINFRME SFTW</t>
  </si>
  <si>
    <t>532490 MAINT AGREEMENT-OTHER</t>
  </si>
  <si>
    <t>535111 LEGAL SETTLEMENTS</t>
  </si>
  <si>
    <t>535112 TORT CLAIMS</t>
  </si>
  <si>
    <t>535113 COURT COSTS</t>
  </si>
  <si>
    <t>535114 EXPERT WITNESS FEES</t>
  </si>
  <si>
    <t>535115 REWRD,CAPTRE,EXTRDITN EXP</t>
  </si>
  <si>
    <t>535120 LICENSES &amp; PERMIT COSTS</t>
  </si>
  <si>
    <t>535830 MEMBERSHIP DUES&amp;SUBSCRIPT</t>
  </si>
  <si>
    <t>. Grants, aid and subsidies</t>
  </si>
  <si>
    <t>536J00 NGO OTHER AIDS &amp; GRANTS</t>
  </si>
  <si>
    <t>moved from invalid for 2005-2006</t>
  </si>
  <si>
    <t>536900 OTHER AIDS &amp; GRANTS</t>
  </si>
  <si>
    <t>536Q00 OTHER AIDS &amp; GRANTS TO INDIVIDUALS</t>
  </si>
  <si>
    <t>.   Other expenses</t>
  </si>
  <si>
    <t>532511 RENT/LEASE -LAND</t>
  </si>
  <si>
    <t>532512 RENT/LEASE-BLDINGS/OFFICE</t>
  </si>
  <si>
    <t>532513 RENT/LEASE-OTH FACILITIES</t>
  </si>
  <si>
    <t>532521 RENT/LEASE-MOTOR VEHICLES</t>
  </si>
  <si>
    <t>532523 RENT/LEASE-COMMUN EQUIP</t>
  </si>
  <si>
    <t>532524 RENT/LEASE-GEN OFF EQUIP</t>
  </si>
  <si>
    <t>532525 RENT/LEASE-FURN &amp; FURNISH</t>
  </si>
  <si>
    <t>532530 RENT/LEASE-NON-WAN DP EQ</t>
  </si>
  <si>
    <t>532531 RENT/LEASE-WAN EQUIP</t>
  </si>
  <si>
    <t>532532 RENT/LEASE-VIDEO TRAN EQU</t>
  </si>
  <si>
    <t>532533 RENT/LEASE OF LAN EQUIMENT</t>
  </si>
  <si>
    <t>532534 RENT/LEASE-PC/PRINTER</t>
  </si>
  <si>
    <t>532535 RENT/LEASE-SERVER EQUIP</t>
  </si>
  <si>
    <t>532536 RENT/LEASE-MAINFRAME EQP</t>
  </si>
  <si>
    <t>532541 RENT/LEASE-PC SOFTWARE</t>
  </si>
  <si>
    <t>532542 RENT/LEASE-SERVER SOFTWR</t>
  </si>
  <si>
    <t>532543 RENT/LEASE-MAINFRAME SOFTWR</t>
  </si>
  <si>
    <t>532590 RENT/LEASE OTHER PROPERTY</t>
  </si>
  <si>
    <t>535610 RECEIVABLE WRITEOFFS</t>
  </si>
  <si>
    <t>new title</t>
  </si>
  <si>
    <t>535820 ADMIN TRANSITION EXP</t>
  </si>
  <si>
    <t>535850 INTERST EXP-CASH MGMT ACT</t>
  </si>
  <si>
    <t>535900 OTHER EXPENSES</t>
  </si>
  <si>
    <t>535912 INV INCOME DISTRIBUTION</t>
  </si>
  <si>
    <t>535930 AIRCRAFT EXPENSES</t>
  </si>
  <si>
    <t>535935 EQUIPMENT USAGE</t>
  </si>
  <si>
    <t>New effective FY2017</t>
  </si>
  <si>
    <t>535940 COLLECTION COSTS</t>
  </si>
  <si>
    <t>535960 ELECTRONIC PAYMT PROC FEE</t>
  </si>
  <si>
    <t>UNCLASSIFIED EXPENSES</t>
  </si>
  <si>
    <t>Valid exp accts that must be zero at year-end</t>
  </si>
  <si>
    <t>531673 Ref Pr Yr Deduction Clrng</t>
  </si>
  <si>
    <t>New acct - Fiscal Year 2006-2007</t>
  </si>
  <si>
    <t>532799 TRAVEL ADVANCES</t>
  </si>
  <si>
    <t>moved from travel for 2005-2006</t>
  </si>
  <si>
    <t>534140 RTU LAND AND PERM EASE</t>
  </si>
  <si>
    <t>534240 RTU BUILDINGS</t>
  </si>
  <si>
    <t>534425 RTU GENERAL INFRASTRUCTURE</t>
  </si>
  <si>
    <t>534560 RTU MACHINERY AND EQUIPMENT</t>
  </si>
  <si>
    <t>534716 SBITA OUTLAY-NETWORK</t>
  </si>
  <si>
    <t>534717 SBITA OUTLAY-SOFTWARE</t>
  </si>
  <si>
    <t>535311 BOND PRINCIPAL PAYMENTS</t>
  </si>
  <si>
    <t>535311674 BOND PRINCIPAL PAYMENTS</t>
  </si>
  <si>
    <t>535312 ANTICIPATN NOTES PRIN PAY</t>
  </si>
  <si>
    <t>535313 LEASE PRINCIPLE PAYMENTS</t>
  </si>
  <si>
    <t>moved from unclass for 2005-2006; new acct title FY2022</t>
  </si>
  <si>
    <t>535314 OTHER PRINCIPAL PAYMENTS</t>
  </si>
  <si>
    <t>535315 SBITA PRINCIPAL PAYMENTS</t>
  </si>
  <si>
    <t>535333 PAY-REF DEBT ESCROW AGENT</t>
  </si>
  <si>
    <t>535334 PAYMENT OF DEBT SERVICE PRINCIPAL</t>
  </si>
  <si>
    <t>535613 ACCRUED EXPENSE ADJUSTMNT</t>
  </si>
  <si>
    <t>535640 INDIRECT (OVERHEAD) COSTS</t>
  </si>
  <si>
    <t>moved from other services for 2006-2007</t>
  </si>
  <si>
    <t>535675 P-CARD CLEARING</t>
  </si>
  <si>
    <t>535950 PETTY/IMPREST CASH</t>
  </si>
  <si>
    <t>moved from other exp for 2005-2006</t>
  </si>
  <si>
    <t>538045 INTERFUND BORROWING</t>
  </si>
  <si>
    <t>538046 INTERFUND BORROWING REPAYMENT</t>
  </si>
  <si>
    <t>5382XX STATEWIDE REIMBURSEMENT</t>
  </si>
  <si>
    <t>5383AA AGENCY REIMBURSEMENT</t>
  </si>
  <si>
    <t>5388AA AGENCY FED FUND TRANS/RECEIPT</t>
  </si>
  <si>
    <t>5389AA TRANSFER OF APPROPRIATIONS</t>
  </si>
  <si>
    <t>moved from trf out for 2005-2006</t>
  </si>
  <si>
    <t>538RAA Transfer Out - ARRA Billing Rate (should be zero for year end)</t>
  </si>
  <si>
    <t>INVALID EXPENSES</t>
  </si>
  <si>
    <t>See below - invalid accts for proprietary funds</t>
  </si>
  <si>
    <t>531564 MED INS CONTRIB-INDIRECT</t>
  </si>
  <si>
    <t>531570 NO STATEWIDE DESC FOUND</t>
  </si>
  <si>
    <t>acct has not been set up in NCAS as of 7/1/14</t>
  </si>
  <si>
    <t>532121 SECURITIES TRANS FEE</t>
  </si>
  <si>
    <t>moved from Contracted Personal Svc 2005-2006</t>
  </si>
  <si>
    <t>532440 MAINT AGREEMENT-DP EQUIP</t>
  </si>
  <si>
    <t>stop using effective January 1, 2003</t>
  </si>
  <si>
    <t>532522 RENT/LEASE-DP EQUIPMENT</t>
  </si>
  <si>
    <t>533899 THIRTEENTH PERIOD PURCHASE FOR RESALE INVENTORY ADJUSTMENT</t>
  </si>
  <si>
    <t>533999 THIRTEENTH PERIOD SUPPLIES AND MATERIALS INVENTORY ADJUSTMENT</t>
  </si>
  <si>
    <t>534522 COMPUTER EQUIPMENT</t>
  </si>
  <si>
    <t>534710 COMPUTER SOFTWARE</t>
  </si>
  <si>
    <t>535233 RETIREMENT SUPPLEMENT</t>
  </si>
  <si>
    <t>moved from Claims 2005-2006</t>
  </si>
  <si>
    <t>535335 RETIREMENT OF INDEBTEDNESS</t>
  </si>
  <si>
    <t>535337 BOND DISCOUNT</t>
  </si>
  <si>
    <t>Moved to Invalid for FY 2011-2012</t>
  </si>
  <si>
    <t>535410 DEPRECIATION-BUILDINGS</t>
  </si>
  <si>
    <t>use acct 535430 Depreciation</t>
  </si>
  <si>
    <t>535420 DEPRCIATN-OTH STR&amp;IMPROV</t>
  </si>
  <si>
    <t>535440 AMORTIZATION</t>
  </si>
  <si>
    <t>535631 FIXED ASSET WRTDWNS-NONOP</t>
  </si>
  <si>
    <t>moved from Fixed Asset Writedown 2005-2006</t>
  </si>
  <si>
    <t>535710 LOSS-REFUNDING OF DEBT</t>
  </si>
  <si>
    <t>535909 REALIZD LOSS-SALE INV-GEN</t>
  </si>
  <si>
    <t>535910 REALIZED LOSS SALE ON INV</t>
  </si>
  <si>
    <t>535911 UNREALIZD LOSS INV-PROGRM</t>
  </si>
  <si>
    <t>535913 UNREALIZD LOSS INV-GENERL</t>
  </si>
  <si>
    <t>535970 PAYMENTS UNDER TRUST</t>
  </si>
  <si>
    <t>535971 PAYMENTS UNDER CUSTODIAL</t>
  </si>
  <si>
    <t>535993 UNALLOT APP-BROUGHT FORWD</t>
  </si>
  <si>
    <t>536XXX except 5368XX, 536900, 536997, 536999, 536J00,536J99, 536Q00 and 536Q99</t>
  </si>
  <si>
    <t>537XXX Agency Reserves</t>
  </si>
  <si>
    <t>Moved to Invalid for 2007 Annual Report</t>
  </si>
  <si>
    <t>538010 Statewide Operating Transfer</t>
  </si>
  <si>
    <t>NON OPERATING REVENUES (EXPENSES)</t>
  </si>
  <si>
    <t>439100 State appropriations</t>
  </si>
  <si>
    <t>538044 Transfer to Reimburse Appropriation for payroll.</t>
  </si>
  <si>
    <t xml:space="preserve">State Aid- General </t>
  </si>
  <si>
    <t>432908 State Aid - General</t>
  </si>
  <si>
    <t>State Aid-Program</t>
  </si>
  <si>
    <t>432990 State Aid-Program</t>
  </si>
  <si>
    <t>432906 State aid- National Mortgage Settlement</t>
  </si>
  <si>
    <t>State Aid- Coronavirus</t>
  </si>
  <si>
    <t>NEW FY2020, account caption changed FY2021</t>
  </si>
  <si>
    <t>432905 State Aid - Coronavirus</t>
  </si>
  <si>
    <t>State aid - lottery proceeds</t>
  </si>
  <si>
    <t>432992 state aid - Lottery proceeds</t>
  </si>
  <si>
    <t>Noncapital grants</t>
  </si>
  <si>
    <t xml:space="preserve">Accounts 4321AA, 4322AA, 4323AA, 4324AA, </t>
  </si>
  <si>
    <t>4325AA, 4326AA, 432995</t>
  </si>
  <si>
    <t>436200 NONCAP GIFTS</t>
  </si>
  <si>
    <t>436202 NONCAP GIFTS-BAD DEBT</t>
  </si>
  <si>
    <t>See below NEW FY2021</t>
  </si>
  <si>
    <t>436207 Noncapital Contributions</t>
  </si>
  <si>
    <t>437128 LEASE INTEREST</t>
  </si>
  <si>
    <t>Interest &amp; fees on capital asset-related debt</t>
  </si>
  <si>
    <t xml:space="preserve">.    Debt interest </t>
  </si>
  <si>
    <t>535321 BOND INTEREST PAYMENTS</t>
  </si>
  <si>
    <t>535322 ANTICIPATN NOTES INT PAY</t>
  </si>
  <si>
    <t>535323 LEASE INTEREST PAYMENTS</t>
  </si>
  <si>
    <t>535324 OTHER INTEREST PAYMENTS</t>
  </si>
  <si>
    <t>535325 OTH INT PAY-NONOPERATING</t>
  </si>
  <si>
    <t>535326 AMORTIZATION - DEBT DISCOUNTS, PREMIUMS, AND REFUNDING DEFERRALS</t>
  </si>
  <si>
    <t>NEW ACCT FOR FY 2011-12</t>
  </si>
  <si>
    <t>535327 SBITA INTEREST PAYMENTS</t>
  </si>
  <si>
    <t>.    Other debt service costs</t>
  </si>
  <si>
    <t>535331 FISCAL AGENT &amp; OTH FEES</t>
  </si>
  <si>
    <t>535336 ARBITRAGE EXPENSE</t>
  </si>
  <si>
    <t>Gain (loss) on sale of property &amp; equip</t>
  </si>
  <si>
    <t>Accounts 434330 and 535650.</t>
  </si>
  <si>
    <t>2740/2750</t>
  </si>
  <si>
    <t xml:space="preserve">Gain on extinguishment of Debt </t>
  </si>
  <si>
    <t>437510 Gain on Extinguishment of Debt</t>
  </si>
  <si>
    <t>Gain on in-substance defeasance of debt</t>
  </si>
  <si>
    <t>437520 GAIN ON IN-SUBSTANCE DEFEASANCE OF DEBT</t>
  </si>
  <si>
    <t>Investment earnings, net</t>
  </si>
  <si>
    <t>433111 INT/DIV ON INV - NONOPER</t>
  </si>
  <si>
    <t>433121 STIF INT INCOME - NONOPER</t>
  </si>
  <si>
    <t>433125 EIF INT INC-PROG</t>
  </si>
  <si>
    <t>433131 LTIF INT INCOME - NONOPER</t>
  </si>
  <si>
    <t>433136 BOND INDEX FUND INTEREST INCOME - NONOPER PROG</t>
  </si>
  <si>
    <t>433300 ENDOWMENT INCOME</t>
  </si>
  <si>
    <t>433400 SECURITIES LENDING INCOME</t>
  </si>
  <si>
    <t>437402 REAL GAIN INV-NONOP-PROG</t>
  </si>
  <si>
    <t>437412 UNREA GAIN INV-NONOP-PROG</t>
  </si>
  <si>
    <t>532122 SECURITIES TRANS FEE NOOP</t>
  </si>
  <si>
    <t>535914 REAL LOSS INV-NONOP-PROG</t>
  </si>
  <si>
    <t>535916 UNREA LOSS INV-NONOP-PROG</t>
  </si>
  <si>
    <t>535918 INVESTMENT EXP-NONOP-PROG</t>
  </si>
  <si>
    <t>437116 INSURANCE RECOV - NONOPER</t>
  </si>
  <si>
    <t>Grants, aid and subsidies</t>
  </si>
  <si>
    <t>536J99 NGO OTHER AIDS &amp; GRANTS</t>
  </si>
  <si>
    <t>536997  FEDERAL LOAN SUBSIDY</t>
  </si>
  <si>
    <t>536999  OTHER GRANTS &amp; AIDS-NONOP</t>
  </si>
  <si>
    <t xml:space="preserve">536Q99  OTHER AIDS AND GRANTS TO INDIVIDUALS - NONOPERATING
</t>
  </si>
  <si>
    <t>Federal interest Subsidy on debt</t>
  </si>
  <si>
    <t>432907 FEDERAL INTEREST SUBSIDY ON DEBT</t>
  </si>
  <si>
    <t>Loss on In-Substance Defeasance of Debt</t>
  </si>
  <si>
    <t>535341 LOSS ON IN-SUBSTANCE DEFEASANCE OF DEBT</t>
  </si>
  <si>
    <t>Miscellaneous:</t>
  </si>
  <si>
    <t>.   Miscellaneous non-operating rev</t>
  </si>
  <si>
    <t>434321 SALE OF SURP PROP-NONOPER</t>
  </si>
  <si>
    <t>437550 GAIN ON TERMINATION OF IRREVOCABLE SPLLIT-INTEREST AGR</t>
  </si>
  <si>
    <t>437991 OTHER MISC REV-NONOP-PROG</t>
  </si>
  <si>
    <t>437996 NATIONAL MORTGAGE SETTLEMENT</t>
  </si>
  <si>
    <t>NEW FY 2012-13</t>
  </si>
  <si>
    <t>437997 SETTLEMENTS</t>
  </si>
  <si>
    <t>NEW FY 2014-15</t>
  </si>
  <si>
    <t>4383AA OTH REV-COMPONENT UNITS (as directed only by OSC)</t>
  </si>
  <si>
    <t>Moved from Invalid for FY 2011-2012</t>
  </si>
  <si>
    <t>.   Miscellaneous non-operating exp</t>
  </si>
  <si>
    <t>535332 BOND ISSUE COST</t>
  </si>
  <si>
    <t>Moved from Other debt service in FY 2011-2012</t>
  </si>
  <si>
    <t>535901 OTHER EXPENSES, NON-OPER</t>
  </si>
  <si>
    <t>NEW FY 2008-2009</t>
  </si>
  <si>
    <t>535920 REFUNDED TO GRANTORS</t>
  </si>
  <si>
    <t xml:space="preserve">535923 LEGISLATIVE MANDATED TRANSFER </t>
  </si>
  <si>
    <t>NEW FY 2011-12</t>
  </si>
  <si>
    <t>535925 COMPONENT UNIT CI REVERSION</t>
  </si>
  <si>
    <t>535926 REVRSN CI- PROJECT RES 40703</t>
  </si>
  <si>
    <t>535927 COMPONENT UNIT TRANSFER TO CONTINGENCY RESERVE</t>
  </si>
  <si>
    <t>Other Revenues, expenses, gains ,or losses:</t>
  </si>
  <si>
    <t>Capital Contributions</t>
  </si>
  <si>
    <t>.   State capital aid</t>
  </si>
  <si>
    <t>Account 432901, 432902, 432903, 432904, 432993, 432991, 432994, 980000</t>
  </si>
  <si>
    <t>.   Capital grants</t>
  </si>
  <si>
    <t xml:space="preserve">Account 432DAA, 432EAA, 432JAA, </t>
  </si>
  <si>
    <t>432KAA, 432LAA, 432GAA, 432SAA (NEW FY2021)</t>
  </si>
  <si>
    <t>.   Capital gifts, net</t>
  </si>
  <si>
    <t>436203, 436204</t>
  </si>
  <si>
    <t>436205  PERMANENT ENDOWMENTS</t>
  </si>
  <si>
    <t>436206  TERM ENDOWMENTS</t>
  </si>
  <si>
    <t>4380XX STATEWIDE OPERATING TRANSFERS (Invalid for Universities and Component Units)</t>
  </si>
  <si>
    <t>Except 438030 rolls to 536XXX, 438045 and 438046 roll to valid accounts that zero at Year end</t>
  </si>
  <si>
    <t>4381XX OPERATING TRANSFERS (Invalid for Universities and Component Units)</t>
  </si>
  <si>
    <t>4384XX AGENCY NONROUTINE TRANSFR (Invalid for Universities and Component Units)</t>
  </si>
  <si>
    <t>5380XX STATEWIDE OPERATING TRANSFERS (Invalid for Universities and Component Units)</t>
  </si>
  <si>
    <t>538010 is invalid. Effective July 1, 2008. 538030 rolls to Fees, Licenses and fines. 538045 and 538046 roll to valid expenses which are zero at year end. 538044 rolls to State appropriations</t>
  </si>
  <si>
    <t>5381XX OPERATING TRANSFERS (Invalid for Universities and Component Units)</t>
  </si>
  <si>
    <t>5384XX AGENCY NONROUTINE TRANSFR (Invalid for Universities and Component Units)</t>
  </si>
  <si>
    <t>University transfers</t>
  </si>
  <si>
    <t>4385XX Mandatory</t>
  </si>
  <si>
    <t>4386XX Non Mandatory</t>
  </si>
  <si>
    <t>4387XX Inter-Institutional</t>
  </si>
  <si>
    <t>5385XX Mandatory</t>
  </si>
  <si>
    <t>5386XX Non Mandatory</t>
  </si>
  <si>
    <t>5387XX Inter-Institutional</t>
  </si>
  <si>
    <t>Accounts 437750, 535750</t>
  </si>
  <si>
    <t>Extraordinary gain (loss):</t>
  </si>
  <si>
    <t>.   Extraordinary gain</t>
  </si>
  <si>
    <t>437700 EXTRAORDINARY GAIN</t>
  </si>
  <si>
    <t>.   Extraordinary loss</t>
  </si>
  <si>
    <t>535700 EXTRAORDINARY LOSS</t>
  </si>
  <si>
    <t>Account 330001</t>
  </si>
  <si>
    <t xml:space="preserve">905Hosp - Offline Proprietary Proforma for UNC-Health Care Reporting Unit  - Combining Stmt of Net Position &amp; 
Stmt of Revenues, Expenses and Changes in Net Position </t>
  </si>
  <si>
    <t xml:space="preserve">Crossfoot </t>
  </si>
  <si>
    <r>
      <rPr>
        <u/>
        <sz val="8"/>
        <rFont val="Arial"/>
        <family val="2"/>
      </rPr>
      <t>Instructions</t>
    </r>
    <r>
      <rPr>
        <sz val="8"/>
        <rFont val="Arial"/>
        <family val="2"/>
      </rPr>
      <t xml:space="preserve">: 
(1) Key to each member entity's column.  The balances for the UNC Health Care System as a whole (column F) will automatically populate based on the sum of the balances in the member entities' columns, except for the shaded cells.  The shaded cells in the UNC Health Care System column (column F) automatically link to other worksheets that must be completed first.
(2) Be sure to sign and date the certification box at the bottom of the worksheet.  (You may either type the signature or paste a digital picture of the signature.)  </t>
    </r>
  </si>
  <si>
    <t>Removed FY20</t>
  </si>
  <si>
    <t>Agency number</t>
  </si>
  <si>
    <t>48X</t>
  </si>
  <si>
    <t>Eliminations</t>
  </si>
  <si>
    <t>48</t>
  </si>
  <si>
    <t>48E</t>
  </si>
  <si>
    <t>48L</t>
  </si>
  <si>
    <t>48R</t>
  </si>
  <si>
    <t>48C</t>
  </si>
  <si>
    <t>48T</t>
  </si>
  <si>
    <t>48RH</t>
  </si>
  <si>
    <t>48CW</t>
  </si>
  <si>
    <t>48HP</t>
  </si>
  <si>
    <t>Check</t>
  </si>
  <si>
    <t>Agency GASB number</t>
  </si>
  <si>
    <t>263X</t>
  </si>
  <si>
    <t>2631&amp;2634</t>
  </si>
  <si>
    <t>26xx</t>
  </si>
  <si>
    <t>UNC Health Care</t>
  </si>
  <si>
    <t>Hospital-wide</t>
  </si>
  <si>
    <t>UNC Hosp</t>
  </si>
  <si>
    <t>Liability Insurance</t>
  </si>
  <si>
    <t>Rex</t>
  </si>
  <si>
    <t xml:space="preserve">Chatham </t>
  </si>
  <si>
    <t>UNC</t>
  </si>
  <si>
    <t>Rockingham</t>
  </si>
  <si>
    <t>Caldwell</t>
  </si>
  <si>
    <t>High Point</t>
  </si>
  <si>
    <t>Rep Unit Total</t>
  </si>
  <si>
    <t>UNC Hospitals</t>
  </si>
  <si>
    <t>Enterprise Fund</t>
  </si>
  <si>
    <t>Trust Fund</t>
  </si>
  <si>
    <t>Healthcare</t>
  </si>
  <si>
    <t>Hospital</t>
  </si>
  <si>
    <t>Physicians Ntwrk</t>
  </si>
  <si>
    <t>Health Care</t>
  </si>
  <si>
    <t>Memorial</t>
  </si>
  <si>
    <t>Lease receivable, net</t>
  </si>
  <si>
    <t xml:space="preserve">PPP Asset Receivable – Current                  </t>
  </si>
  <si>
    <t>PPP Asset Receivable -Non current</t>
  </si>
  <si>
    <t>*Removed FCCS Account Codes*</t>
  </si>
  <si>
    <t>Due to agency/institution component units (ws 616)</t>
  </si>
  <si>
    <t>Asset Retirement Obligation-current (ws 310)</t>
  </si>
  <si>
    <t>Leases liability (ws 310)</t>
  </si>
  <si>
    <t>Asset Retirement Obligation (ws 310)</t>
  </si>
  <si>
    <t xml:space="preserve">Supplies and materials </t>
  </si>
  <si>
    <t>Beginning net position total = ending net position per prior yr Annual Rprt</t>
  </si>
  <si>
    <t>Certification required for UNC Health Care System:</t>
  </si>
  <si>
    <t>I hereby certify that the financial information for the UNC Health Care System above is complete and includes every</t>
  </si>
  <si>
    <t>member of the UNC Health Care System financial reporting entity.  I further certify that the balances for each member</t>
  </si>
  <si>
    <t>entity (i.e. each column) reconcile back to that member's w/s 905.  I certify that the above reconciliation has been</t>
  </si>
  <si>
    <t>reviewed by appropriate management of the UNC Health Care System.</t>
  </si>
  <si>
    <t>33240G</t>
  </si>
  <si>
    <t>06BC</t>
  </si>
  <si>
    <t>Offline Fiduciary Proforma for Deferred Compensation Plan 
Stmt of Net Position &amp; Stmt of Changes in Net Postion  - 906-6B</t>
  </si>
  <si>
    <t xml:space="preserve">Notes: This worksheet is only for Deferred Comp, so NA for all others. </t>
  </si>
  <si>
    <t>6B</t>
  </si>
  <si>
    <t>Deferred Compensation Plan</t>
  </si>
  <si>
    <r>
      <rPr>
        <u/>
        <sz val="8"/>
        <rFont val="Arial"/>
        <family val="2"/>
      </rPr>
      <t>Instructions</t>
    </r>
    <r>
      <rPr>
        <sz val="8"/>
        <rFont val="Arial"/>
        <family val="2"/>
      </rPr>
      <t>: Please key current year financial statements  to Column J, except for shaded cells and totals.</t>
    </r>
  </si>
  <si>
    <t>Column J</t>
  </si>
  <si>
    <t>Investments:</t>
  </si>
  <si>
    <t xml:space="preserve">  U.S. government and agency securities</t>
  </si>
  <si>
    <t xml:space="preserve">  Mortgage pass throughs</t>
  </si>
  <si>
    <t>*Not being Used</t>
  </si>
  <si>
    <t xml:space="preserve">  Collateralized mortgage obligations</t>
  </si>
  <si>
    <t xml:space="preserve">  Government bonds</t>
  </si>
  <si>
    <t xml:space="preserve">  Asset-backed securities</t>
  </si>
  <si>
    <t xml:space="preserve">  Negotiable certificates of deposit</t>
  </si>
  <si>
    <t xml:space="preserve">  Repurchase agreements</t>
  </si>
  <si>
    <t xml:space="preserve">  Commercial paper</t>
  </si>
  <si>
    <t xml:space="preserve">  Annuity contracts</t>
  </si>
  <si>
    <t xml:space="preserve">  Corporate bonds</t>
  </si>
  <si>
    <t xml:space="preserve">  Certificates of deposit</t>
  </si>
  <si>
    <t xml:space="preserve">  Collective investment funds</t>
  </si>
  <si>
    <t>CollInvFund</t>
  </si>
  <si>
    <t xml:space="preserve">  Pooled debt funds</t>
  </si>
  <si>
    <t xml:space="preserve">  Unallocated insurance contracts</t>
  </si>
  <si>
    <t>UnalInsCont</t>
  </si>
  <si>
    <t xml:space="preserve">  Synthetic guaranteed investment contracts</t>
  </si>
  <si>
    <t>SynthInvCont</t>
  </si>
  <si>
    <t xml:space="preserve">  Non-State Treasurer pooled investments</t>
  </si>
  <si>
    <t xml:space="preserve">  Accounts receivable</t>
  </si>
  <si>
    <t xml:space="preserve">  Interest receivable</t>
  </si>
  <si>
    <t xml:space="preserve">  Contributions receivable</t>
  </si>
  <si>
    <t>Sureties</t>
  </si>
  <si>
    <t xml:space="preserve">Capital assets-nondepreciable </t>
  </si>
  <si>
    <t xml:space="preserve">Capital assets-depreciable, net </t>
  </si>
  <si>
    <t>Liabilities</t>
  </si>
  <si>
    <t>Benefits payable</t>
  </si>
  <si>
    <t xml:space="preserve">  Other employee benefits</t>
  </si>
  <si>
    <t>OthEmpBenefitsNP</t>
  </si>
  <si>
    <t>Stmnt of Fid Net Position verification</t>
  </si>
  <si>
    <t>Additions:</t>
  </si>
  <si>
    <t>Contributions:</t>
  </si>
  <si>
    <t xml:space="preserve">  Employer</t>
  </si>
  <si>
    <t xml:space="preserve">  Members</t>
  </si>
  <si>
    <t xml:space="preserve">  Trustee deposits</t>
  </si>
  <si>
    <t xml:space="preserve">  Other contributions</t>
  </si>
  <si>
    <t xml:space="preserve">    Total contributions</t>
  </si>
  <si>
    <t>Investment income:</t>
  </si>
  <si>
    <t xml:space="preserve">  Investment earnings (loss)</t>
  </si>
  <si>
    <t xml:space="preserve">  Less investment expenses</t>
  </si>
  <si>
    <t xml:space="preserve">    Net investment income (loss)</t>
  </si>
  <si>
    <t>Other additions:</t>
  </si>
  <si>
    <t xml:space="preserve">  Fees, licenses and fines</t>
  </si>
  <si>
    <t xml:space="preserve">  Interest earnings on loans</t>
  </si>
  <si>
    <t xml:space="preserve">  Miscellaneous</t>
  </si>
  <si>
    <t xml:space="preserve">    Total other additions</t>
  </si>
  <si>
    <t>Total additions</t>
  </si>
  <si>
    <t>Deductions:</t>
  </si>
  <si>
    <t>Administrative expenses</t>
  </si>
  <si>
    <t>AdminExp</t>
  </si>
  <si>
    <t>Other deductions</t>
  </si>
  <si>
    <t xml:space="preserve">  Total deductions</t>
  </si>
  <si>
    <t xml:space="preserve">    Change in net position</t>
  </si>
  <si>
    <t>Net position - beginning</t>
  </si>
  <si>
    <t>Restatement</t>
  </si>
  <si>
    <t>Net position - ending</t>
  </si>
  <si>
    <t>Stmnt of Changes in Net Position verification</t>
  </si>
  <si>
    <t>33180G</t>
  </si>
  <si>
    <t>Offline Fiduciary Proforma for NC 401(k) Plan 
Stmt of Net Position &amp; Stmt of Changes in Net Postion - 906-6C</t>
  </si>
  <si>
    <t xml:space="preserve">Notes: This worksheet is only for 401(k) , so NA for all others. </t>
  </si>
  <si>
    <t>6C</t>
  </si>
  <si>
    <t>NC 401(k) Plan</t>
  </si>
  <si>
    <t xml:space="preserve">  Pension benefits</t>
  </si>
  <si>
    <t>PensionBen</t>
  </si>
  <si>
    <r>
      <rPr>
        <b/>
        <sz val="10"/>
        <rFont val="Arial"/>
        <family val="2"/>
      </rPr>
      <t xml:space="preserve">Offline Fiduciary Proforma-Deferred Comp and NC 401(k) </t>
    </r>
    <r>
      <rPr>
        <b/>
        <sz val="12"/>
        <rFont val="Arial"/>
        <family val="2"/>
      </rPr>
      <t xml:space="preserve">
</t>
    </r>
    <r>
      <rPr>
        <b/>
        <sz val="10"/>
        <rFont val="Arial"/>
        <family val="2"/>
      </rPr>
      <t>Combining Stmt of Net Position &amp; Stmt of Changes in Net Postion - 906-6BC</t>
    </r>
  </si>
  <si>
    <t>This worksheet is only for Def Comp and 401(k) combined Package so is NA for all others.</t>
  </si>
  <si>
    <t>6BC</t>
  </si>
  <si>
    <t>Deferred Comp &amp; NC 401(k) Plan</t>
  </si>
  <si>
    <t>3324&amp;3318</t>
  </si>
  <si>
    <r>
      <rPr>
        <u/>
        <sz val="9"/>
        <rFont val="Arial"/>
        <family val="2"/>
      </rPr>
      <t>Note</t>
    </r>
    <r>
      <rPr>
        <sz val="9"/>
        <rFont val="Arial"/>
        <family val="2"/>
      </rPr>
      <t>: Please do not key to this worksheet. It is populated from the 906-6B and 906-6C worksheets</t>
    </r>
  </si>
  <si>
    <t>Total Def Comp + 401(k)</t>
  </si>
  <si>
    <t>Deferred Comp  906-6B</t>
  </si>
  <si>
    <t>401(k)  906-6C</t>
  </si>
  <si>
    <t xml:space="preserve"> Net Position verification between SNP &amp; O/S</t>
  </si>
  <si>
    <t>Offline Custodial Funds Proforma - 907</t>
  </si>
  <si>
    <t>Statements of Fiduciary Net Position &amp; Changes in Net Position</t>
  </si>
  <si>
    <t>Balance
June 30, 2023</t>
  </si>
  <si>
    <t>Cash &amp; cash equivalents</t>
  </si>
  <si>
    <t xml:space="preserve">  Bank investment contracts</t>
  </si>
  <si>
    <t xml:space="preserve">  U.S. Govt. securities</t>
  </si>
  <si>
    <t xml:space="preserve">  State and municipal securities</t>
  </si>
  <si>
    <t xml:space="preserve">  Corporate stocks</t>
  </si>
  <si>
    <t xml:space="preserve">  Mutual funds</t>
  </si>
  <si>
    <t xml:space="preserve">  Accounts receivables</t>
  </si>
  <si>
    <t>Notes receivables</t>
  </si>
  <si>
    <t>Capital assets-nondepreciable</t>
  </si>
  <si>
    <t>Capital assets-depreciable,net</t>
  </si>
  <si>
    <t>Funds Held for Others</t>
  </si>
  <si>
    <t>Individuals, organizations, and other governments</t>
  </si>
  <si>
    <t>Participant deposits</t>
  </si>
  <si>
    <t>Less investment expenses</t>
  </si>
  <si>
    <t>Net investment income</t>
  </si>
  <si>
    <t>Deductions</t>
  </si>
  <si>
    <t>Payments in accordance with custodial arrangements</t>
  </si>
  <si>
    <t>Total deductions</t>
  </si>
  <si>
    <t xml:space="preserve">Net position - July 1, as restated </t>
  </si>
  <si>
    <t>Net position - June 30</t>
  </si>
  <si>
    <t>Offline Governmental Funds Proforma - 908</t>
  </si>
  <si>
    <t>Balance Sheet and Statement of Revenues, Expenditures and Changes in Fund Balance</t>
  </si>
  <si>
    <t>BALANCE SHEET:</t>
  </si>
  <si>
    <t>Receivables, net:</t>
  </si>
  <si>
    <t xml:space="preserve">  Taxes receivable</t>
  </si>
  <si>
    <t xml:space="preserve">  Intergovernmental receivable</t>
  </si>
  <si>
    <t xml:space="preserve">  Other receivable</t>
  </si>
  <si>
    <t>Advances to outside entities</t>
  </si>
  <si>
    <t>Notes receivables, net</t>
  </si>
  <si>
    <t>Securities held in trust</t>
  </si>
  <si>
    <t>Restricted investments</t>
  </si>
  <si>
    <t>Restricted due from component units</t>
  </si>
  <si>
    <t>Forward funded state aid</t>
  </si>
  <si>
    <t>Total Assets and Deferred Outflows</t>
  </si>
  <si>
    <t xml:space="preserve">  Accounts payable</t>
  </si>
  <si>
    <t xml:space="preserve">  Accrued payroll</t>
  </si>
  <si>
    <t xml:space="preserve">  Intergovernmental payable</t>
  </si>
  <si>
    <t xml:space="preserve">  Claims payable</t>
  </si>
  <si>
    <t>Tax refunds payable</t>
  </si>
  <si>
    <t>Advance from other funds</t>
  </si>
  <si>
    <t>Unavailable revenue</t>
  </si>
  <si>
    <t>Total Deferred Inflows of Reousrces</t>
  </si>
  <si>
    <t>Fund Balance</t>
  </si>
  <si>
    <t>Nonspendable</t>
  </si>
  <si>
    <t>Total Fund Balance</t>
  </si>
  <si>
    <t>Total Liabilities, Deferred Inflows and Fund Balance</t>
  </si>
  <si>
    <t>STATEMENT OF REVENUES, EXPENDITURES AND CHANGES IN FUND BALANCE</t>
  </si>
  <si>
    <t>For the Fiscal Year Ended
June 30, 2023</t>
  </si>
  <si>
    <t>Taxes:</t>
  </si>
  <si>
    <t xml:space="preserve">  Individual income tax</t>
  </si>
  <si>
    <t xml:space="preserve">  Corporate income tax</t>
  </si>
  <si>
    <t xml:space="preserve">  Sales and use tax</t>
  </si>
  <si>
    <t xml:space="preserve">  Motor fuels tax</t>
  </si>
  <si>
    <t xml:space="preserve">  Franchise tax</t>
  </si>
  <si>
    <t xml:space="preserve">  Highway use tax</t>
  </si>
  <si>
    <t xml:space="preserve">  Insurance tax</t>
  </si>
  <si>
    <t xml:space="preserve">  Beverage tax</t>
  </si>
  <si>
    <t xml:space="preserve">  Tobacco products tax</t>
  </si>
  <si>
    <t xml:space="preserve">  Other taxes</t>
  </si>
  <si>
    <t>Federal funds</t>
  </si>
  <si>
    <t>Local funds</t>
  </si>
  <si>
    <t>Investment earnings (losses)</t>
  </si>
  <si>
    <t>Rental and lease property</t>
  </si>
  <si>
    <t>Fees, licenses, and fines</t>
  </si>
  <si>
    <t>Tobacco settlement</t>
  </si>
  <si>
    <t>Contributions, gifts, and grants</t>
  </si>
  <si>
    <t>Funds escheated</t>
  </si>
  <si>
    <t>Federal COVID-19 funds</t>
  </si>
  <si>
    <t xml:space="preserve">  Total revenues</t>
  </si>
  <si>
    <t>Current:</t>
  </si>
  <si>
    <t xml:space="preserve">  General government</t>
  </si>
  <si>
    <t xml:space="preserve">  Primary and secondary education</t>
  </si>
  <si>
    <t xml:space="preserve">  Higher education</t>
  </si>
  <si>
    <t xml:space="preserve">  Health and human services</t>
  </si>
  <si>
    <t xml:space="preserve">  Economic development</t>
  </si>
  <si>
    <t xml:space="preserve">  Environment and natural resources</t>
  </si>
  <si>
    <t xml:space="preserve">  Public safety, corrections, and regulation</t>
  </si>
  <si>
    <t xml:space="preserve">  Transportation</t>
  </si>
  <si>
    <t xml:space="preserve">  Agriculture</t>
  </si>
  <si>
    <t>Capital outlay</t>
  </si>
  <si>
    <t>Debt service:</t>
  </si>
  <si>
    <t xml:space="preserve">  Principal retirement</t>
  </si>
  <si>
    <t xml:space="preserve">  Interest and fees</t>
  </si>
  <si>
    <t xml:space="preserve">  Debt issuance costs</t>
  </si>
  <si>
    <t>Total expenditures</t>
  </si>
  <si>
    <t>Excess revenues over (under) expenditures</t>
  </si>
  <si>
    <t>Other Financing Sources (Uses)</t>
  </si>
  <si>
    <t>Other debt issued</t>
  </si>
  <si>
    <t>Premium on debt issues</t>
  </si>
  <si>
    <t>Sale of capital assets</t>
  </si>
  <si>
    <t xml:space="preserve">  Total other financing sources (uses)</t>
  </si>
  <si>
    <t>Net change in fund balance</t>
  </si>
  <si>
    <t xml:space="preserve">Fund balance - July 1, as restated </t>
  </si>
  <si>
    <t>Fund balance - June 30</t>
  </si>
  <si>
    <t>Thresholds:</t>
  </si>
  <si>
    <t>Percent change</t>
  </si>
  <si>
    <t>Offline Computed Variances  - 910</t>
  </si>
  <si>
    <t>$ value of change</t>
  </si>
  <si>
    <t>From the 905 for Analytical Review ws 625</t>
  </si>
  <si>
    <t>Number of comments</t>
  </si>
  <si>
    <r>
      <rPr>
        <u/>
        <sz val="9"/>
        <rFont val="Arial"/>
        <family val="2"/>
      </rPr>
      <t>Note</t>
    </r>
    <r>
      <rPr>
        <sz val="9"/>
        <rFont val="Arial"/>
        <family val="2"/>
      </rPr>
      <t>: Please do not key to this worksheet. It is populated from the 905 and PriorYr905 worksheets, so the cells are locked.</t>
    </r>
  </si>
  <si>
    <t>From 905 Tab</t>
  </si>
  <si>
    <t>From PriorYr905 tab</t>
  </si>
  <si>
    <t>For ws 625</t>
  </si>
  <si>
    <t>% Diff</t>
  </si>
  <si>
    <t>C=Comment</t>
  </si>
  <si>
    <r>
      <rPr>
        <b/>
        <u/>
        <sz val="8"/>
        <rFont val="Arial"/>
        <family val="2"/>
      </rPr>
      <t>SNP</t>
    </r>
    <r>
      <rPr>
        <b/>
        <sz val="8"/>
        <rFont val="Arial"/>
        <family val="2"/>
      </rPr>
      <t xml:space="preserve"> - ASSETS</t>
    </r>
  </si>
  <si>
    <t>Due from State of NC component units</t>
  </si>
  <si>
    <t>Restricted pooled cash</t>
  </si>
  <si>
    <t>Prepaid Items</t>
  </si>
  <si>
    <t>Restricted pooled investments</t>
  </si>
  <si>
    <t>Restricted due from State of NC component units</t>
  </si>
  <si>
    <t>Capital assets - nondepreciable:</t>
  </si>
  <si>
    <t>Land and permanent easements</t>
  </si>
  <si>
    <t>Art, literature and artifacts, nondepreciable</t>
  </si>
  <si>
    <t>Construction in progress</t>
  </si>
  <si>
    <t>Computer software in deveopment</t>
  </si>
  <si>
    <t>Patents in development</t>
  </si>
  <si>
    <t>Other intangible assets, nondepreciable</t>
  </si>
  <si>
    <t>Total capital assets, nondepreciable</t>
  </si>
  <si>
    <t>Capital assets - depreciable:</t>
  </si>
  <si>
    <t>Art, literature and artifacts, depreciable</t>
  </si>
  <si>
    <t>General infrastructure</t>
  </si>
  <si>
    <t>Right to use lease asset-Land</t>
  </si>
  <si>
    <t>Right to use lease asset-Buildings</t>
  </si>
  <si>
    <t>Right to use lease asset-Machinery and Equipment</t>
  </si>
  <si>
    <t>Right to use lease asset-General Infrastructure</t>
  </si>
  <si>
    <t xml:space="preserve">Computer software </t>
  </si>
  <si>
    <t>Other intangible assets, depreciable</t>
  </si>
  <si>
    <t>Total Capital assets - depreciable, net</t>
  </si>
  <si>
    <t>Total Noncurrent Assets</t>
  </si>
  <si>
    <t>Total Deferred Outflows of Resources</t>
  </si>
  <si>
    <t xml:space="preserve">LIABILITIES </t>
  </si>
  <si>
    <t xml:space="preserve">Revolving line of credit </t>
  </si>
  <si>
    <t>Due to State of NC component units</t>
  </si>
  <si>
    <t>Notes from direct borrowings-current</t>
  </si>
  <si>
    <t>Leases liability - current</t>
  </si>
  <si>
    <t>SBITA liability-current (ws 310)…..............................</t>
  </si>
  <si>
    <t>Bonds and similar debt payable, net - current</t>
  </si>
  <si>
    <t>Arbitrage rebate payable - current</t>
  </si>
  <si>
    <t>Workers compensation - current</t>
  </si>
  <si>
    <t>Annuity and life income payable - current</t>
  </si>
  <si>
    <t>Pollution remediation payable - current</t>
  </si>
  <si>
    <t>Asset retirement obligation - current</t>
  </si>
  <si>
    <t xml:space="preserve">Compensated absences-current </t>
  </si>
  <si>
    <t>Net pension liability-current</t>
  </si>
  <si>
    <t>Net OPEB liability-current</t>
  </si>
  <si>
    <t>Liability insurance trust fund payable - current</t>
  </si>
  <si>
    <t>Other long-term liabilities - current</t>
  </si>
  <si>
    <t>Advance from primary government</t>
  </si>
  <si>
    <t>Leases Liability</t>
  </si>
  <si>
    <t>Bonds and similar debt payable, net</t>
  </si>
  <si>
    <t xml:space="preserve">Compensated absences </t>
  </si>
  <si>
    <t xml:space="preserve">Net pension liability </t>
  </si>
  <si>
    <t>Other long-term liabilities</t>
  </si>
  <si>
    <t>Total noncurrent Liabilities</t>
  </si>
  <si>
    <t>Deferred inflows for PPP Arrangements</t>
  </si>
  <si>
    <t>Review net position changes and classifications for reasonableness</t>
  </si>
  <si>
    <t>Net Investment in capital assets</t>
  </si>
  <si>
    <t xml:space="preserve">   Restricted Nonexpendable:</t>
  </si>
  <si>
    <t xml:space="preserve">      Higher education</t>
  </si>
  <si>
    <t xml:space="preserve">      Health and human services</t>
  </si>
  <si>
    <t xml:space="preserve">      Economic development</t>
  </si>
  <si>
    <t>Other Purposes *NA for Universities*</t>
  </si>
  <si>
    <t xml:space="preserve">Statement of Net Position verification </t>
  </si>
  <si>
    <t>SRECNP</t>
  </si>
  <si>
    <t>Operating Revenues:</t>
  </si>
  <si>
    <t>Total operating revenues</t>
  </si>
  <si>
    <t>Operating Expenses:</t>
  </si>
  <si>
    <t>Total operating expenses</t>
  </si>
  <si>
    <t>Operating income (loss)</t>
  </si>
  <si>
    <t>State aid - general</t>
  </si>
  <si>
    <t>Gain on sale of property &amp; equipment</t>
  </si>
  <si>
    <t>Loss on sale of property &amp; equipment</t>
  </si>
  <si>
    <t>Federal  interest subsidy on debt</t>
  </si>
  <si>
    <t>Total nonoperating revenues (expenses)</t>
  </si>
  <si>
    <t>Income before other rev, exp, gains, or losses</t>
  </si>
  <si>
    <t>State capital aid</t>
  </si>
  <si>
    <t>Increase (Decrease) in Net Position</t>
  </si>
  <si>
    <t>Review</t>
  </si>
  <si>
    <t>Net position—beginning of year</t>
  </si>
  <si>
    <t>Net Position for</t>
  </si>
  <si>
    <t>reasonableness</t>
  </si>
  <si>
    <t>Net position—end of year</t>
  </si>
  <si>
    <t xml:space="preserve">Net position between Stmt of Net Position and O/S </t>
  </si>
  <si>
    <t>Offline Computed Variances  - 910Hosp
For 48X UNC Health Care Combined Pkg; NA for others</t>
  </si>
  <si>
    <r>
      <rPr>
        <u/>
        <sz val="9"/>
        <rFont val="Arial"/>
        <family val="2"/>
      </rPr>
      <t>Note</t>
    </r>
    <r>
      <rPr>
        <sz val="9"/>
        <rFont val="Arial"/>
        <family val="2"/>
      </rPr>
      <t>: Please do not key to this worksheet. It is populated from the 905Hosp and PriorYr905 worksheets, so the cells are locked.</t>
    </r>
  </si>
  <si>
    <t>From 905Hosp Tab</t>
  </si>
  <si>
    <t xml:space="preserve">Accumulated decr in fair value of hedging derivative </t>
  </si>
  <si>
    <t>SBITA liability-current (ws 310)…..........................</t>
  </si>
  <si>
    <t>Leases liability</t>
  </si>
  <si>
    <t xml:space="preserve">Accumulated incr in fair value of hedging derivative </t>
  </si>
  <si>
    <t>Offline Fiduciary Analytical Review for Deferred Comp  - Computed Variances - 911-6B</t>
  </si>
  <si>
    <t>Note: for 6B - Deferred Comp only-NA all other agencies</t>
  </si>
  <si>
    <t>3324</t>
  </si>
  <si>
    <t>From 906-6B tab</t>
  </si>
  <si>
    <t>From PriorYr906 tab</t>
  </si>
  <si>
    <t xml:space="preserve">   Mortgage pass throughs</t>
  </si>
  <si>
    <t xml:space="preserve">   Collateralized mortgage obligations</t>
  </si>
  <si>
    <t xml:space="preserve">  Collective investment funds*</t>
  </si>
  <si>
    <t xml:space="preserve">  Non-State Treasurer pooled  investments</t>
  </si>
  <si>
    <t>Capital assets-depreciable, net</t>
  </si>
  <si>
    <t>Held in trust for:</t>
  </si>
  <si>
    <t>Employees pension and other benefits</t>
  </si>
  <si>
    <t xml:space="preserve"> Employer</t>
  </si>
  <si>
    <t xml:space="preserve"> Members</t>
  </si>
  <si>
    <t xml:space="preserve"> Trustee deposits</t>
  </si>
  <si>
    <t xml:space="preserve"> Other contributions</t>
  </si>
  <si>
    <t xml:space="preserve">   Total contributions</t>
  </si>
  <si>
    <t xml:space="preserve"> Investment earnings(loss)</t>
  </si>
  <si>
    <t xml:space="preserve"> Less investment expenses</t>
  </si>
  <si>
    <t xml:space="preserve">    Net investment income(loss)</t>
  </si>
  <si>
    <t xml:space="preserve"> Fees, licenses and fines</t>
  </si>
  <si>
    <t xml:space="preserve"> Interest earnings on loans</t>
  </si>
  <si>
    <t xml:space="preserve"> Miscellaneous</t>
  </si>
  <si>
    <t xml:space="preserve">   Total other additions</t>
  </si>
  <si>
    <t xml:space="preserve">   Change in net assets</t>
  </si>
  <si>
    <t>Net position—July 1</t>
  </si>
  <si>
    <t>Net position—June 30</t>
  </si>
  <si>
    <t>Verification of Net Position between statements</t>
  </si>
  <si>
    <t xml:space="preserve">* Note caption name changed from Mutual funds for 2011 Annual Report to Collective investment funds for 2012 Annual Report per request from DST </t>
  </si>
  <si>
    <t>on 7-24-12.</t>
  </si>
  <si>
    <t>Offline Fiduciary Analytical Review for  NC 401(k)  - Computed Variances - 911-6C</t>
  </si>
  <si>
    <t>Note: for 6C - NC 401(k) only-NA all other agencies</t>
  </si>
  <si>
    <t>3318</t>
  </si>
  <si>
    <t>From 906-6C tab</t>
  </si>
  <si>
    <t xml:space="preserve">   Change in net position</t>
  </si>
  <si>
    <t>Explanations</t>
  </si>
  <si>
    <t>GASB Fund No: All</t>
  </si>
  <si>
    <t>Wksht</t>
  </si>
  <si>
    <t>All</t>
  </si>
  <si>
    <t>This sheet is optional but we encourage your participation.</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</si>
  <si>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</si>
  <si>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</si>
  <si>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</si>
  <si>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Agency 
Number</t>
  </si>
  <si>
    <t>2022 Agency  Name</t>
  </si>
  <si>
    <t>Type of Agency**</t>
  </si>
  <si>
    <t>01</t>
  </si>
  <si>
    <t>North Carolina General Assembly</t>
  </si>
  <si>
    <t>PG</t>
  </si>
  <si>
    <t>02</t>
  </si>
  <si>
    <t>03</t>
  </si>
  <si>
    <t>Office of the Governor</t>
  </si>
  <si>
    <t>04</t>
  </si>
  <si>
    <t>Office of Lieutenant Governor</t>
  </si>
  <si>
    <t>05</t>
  </si>
  <si>
    <t>Office of the Secretary of State</t>
  </si>
  <si>
    <t>06</t>
  </si>
  <si>
    <t>Office of the State Auditor</t>
  </si>
  <si>
    <t>07</t>
  </si>
  <si>
    <t xml:space="preserve">Department of the State Treasurer </t>
  </si>
  <si>
    <t>Dept. State Treasurer - State Health Plan</t>
  </si>
  <si>
    <t>CU-Major</t>
  </si>
  <si>
    <t>08</t>
  </si>
  <si>
    <t xml:space="preserve">Department of Public Instruction </t>
  </si>
  <si>
    <t>09</t>
  </si>
  <si>
    <t xml:space="preserve">Department of Justice </t>
  </si>
  <si>
    <t>10</t>
  </si>
  <si>
    <t>Department of Agriculture</t>
  </si>
  <si>
    <t>11</t>
  </si>
  <si>
    <t>Department of Labor</t>
  </si>
  <si>
    <t>12</t>
  </si>
  <si>
    <t xml:space="preserve">Department of Insurance </t>
  </si>
  <si>
    <t>13</t>
  </si>
  <si>
    <t xml:space="preserve">Department of Administration </t>
  </si>
  <si>
    <t>14</t>
  </si>
  <si>
    <t xml:space="preserve">Office of the State Controller </t>
  </si>
  <si>
    <t>15</t>
  </si>
  <si>
    <t>16</t>
  </si>
  <si>
    <t>17</t>
  </si>
  <si>
    <t>19</t>
  </si>
  <si>
    <t>Dept. of Public Safety</t>
  </si>
  <si>
    <t>2X</t>
  </si>
  <si>
    <t>Dept. of Health and Human Services</t>
  </si>
  <si>
    <t>3X</t>
  </si>
  <si>
    <t>DHHS - Mental Health</t>
  </si>
  <si>
    <t>40</t>
  </si>
  <si>
    <t>Department of Military &amp; Veterans Affairs</t>
  </si>
  <si>
    <t>41</t>
  </si>
  <si>
    <t>Department of Information Technology</t>
  </si>
  <si>
    <t>43</t>
  </si>
  <si>
    <t>Department of Commerce</t>
  </si>
  <si>
    <t>45</t>
  </si>
  <si>
    <t>46</t>
  </si>
  <si>
    <t>UNC Hlth Care Rep Unit (Combined Pkg)</t>
  </si>
  <si>
    <t>CU-UNC</t>
  </si>
  <si>
    <t>UNC Hospitals - Enterprise Fund</t>
  </si>
  <si>
    <t>UNC Hospitals - LITF</t>
  </si>
  <si>
    <t>Rex Healthcare</t>
  </si>
  <si>
    <t>Chatham Hospital</t>
  </si>
  <si>
    <t>UNC Physicians Network</t>
  </si>
  <si>
    <t>UNC Rockingham Health Care</t>
  </si>
  <si>
    <t>Caldwell Memorial Hospital</t>
  </si>
  <si>
    <t>50</t>
  </si>
  <si>
    <t>52 Department of Adult Correction</t>
  </si>
  <si>
    <t>52</t>
  </si>
  <si>
    <t>Department of Adult Correction</t>
  </si>
  <si>
    <t>60</t>
  </si>
  <si>
    <t>State Board of Elections</t>
  </si>
  <si>
    <t>61</t>
  </si>
  <si>
    <t>NC Education Lottery</t>
  </si>
  <si>
    <t>67</t>
  </si>
  <si>
    <t>Office of Administrative Hearings</t>
  </si>
  <si>
    <t>69</t>
  </si>
  <si>
    <t>USS North Carolina Battleship Comm.</t>
  </si>
  <si>
    <t>Deferred Comp &amp; NC 401(k)-Combined Pkg</t>
  </si>
  <si>
    <t>87</t>
  </si>
  <si>
    <t>NC School of Science &amp; Mathematics</t>
  </si>
  <si>
    <t>90</t>
  </si>
  <si>
    <t>General Fund - OSC</t>
  </si>
  <si>
    <t>99</t>
  </si>
  <si>
    <t>General Fund - DOR</t>
  </si>
  <si>
    <t>RX</t>
  </si>
  <si>
    <t>OSC-Central Accounts</t>
  </si>
  <si>
    <t>U10</t>
  </si>
  <si>
    <t>UNC-System Office</t>
  </si>
  <si>
    <t>U20</t>
  </si>
  <si>
    <t>UNC at Chapel Hill</t>
  </si>
  <si>
    <t>U30</t>
  </si>
  <si>
    <t>North Carolina State University</t>
  </si>
  <si>
    <t>U40</t>
  </si>
  <si>
    <t>UNC at Greensboro</t>
  </si>
  <si>
    <t>U50</t>
  </si>
  <si>
    <t>UNC at Charlotte</t>
  </si>
  <si>
    <t>U55</t>
  </si>
  <si>
    <t>UNC at Asheville</t>
  </si>
  <si>
    <t>U60</t>
  </si>
  <si>
    <t>UNC at Wilmington</t>
  </si>
  <si>
    <t>U65</t>
  </si>
  <si>
    <t>East Carolina University</t>
  </si>
  <si>
    <t>U70</t>
  </si>
  <si>
    <t>North Carolina A&amp;T University</t>
  </si>
  <si>
    <t>U75</t>
  </si>
  <si>
    <t>Western Carolina University</t>
  </si>
  <si>
    <t>U80</t>
  </si>
  <si>
    <t>Appalachian State University</t>
  </si>
  <si>
    <t>U82</t>
  </si>
  <si>
    <t>UNC at Pembroke</t>
  </si>
  <si>
    <t>U84</t>
  </si>
  <si>
    <t>Winston-Salem State University</t>
  </si>
  <si>
    <t>U86</t>
  </si>
  <si>
    <t>Elizabeth City State University</t>
  </si>
  <si>
    <t>U88</t>
  </si>
  <si>
    <t>Fayetteville State University</t>
  </si>
  <si>
    <t>U90</t>
  </si>
  <si>
    <t>North Carolina Central University</t>
  </si>
  <si>
    <t>U92</t>
  </si>
  <si>
    <t>UNC School of the Arts</t>
  </si>
  <si>
    <t>ZL</t>
  </si>
  <si>
    <t>Gateway Research Park, Inc.</t>
  </si>
  <si>
    <t>DATA FOR ANNUAL REPORT 5XX WORKSHEETS</t>
  </si>
  <si>
    <t>USED FOR  W/S 505, 510, 515, 520</t>
  </si>
  <si>
    <t>ONLY INCLUDES AGENCIES</t>
  </si>
  <si>
    <t>USED FOR W/S 525 AND 530</t>
  </si>
  <si>
    <t>ONLY COMPONENT UNITS</t>
  </si>
  <si>
    <t>0A</t>
  </si>
  <si>
    <t>North Carolina Housing Finance Ag.</t>
  </si>
  <si>
    <t>CU-Nonmajor</t>
  </si>
  <si>
    <t>Z2</t>
  </si>
  <si>
    <t>NC Biotechnology Center</t>
  </si>
  <si>
    <t>Z3</t>
  </si>
  <si>
    <t>NC Global TransPark Authority</t>
  </si>
  <si>
    <t>Z3F</t>
  </si>
  <si>
    <t>NC Global TransPark Authority Foundation</t>
  </si>
  <si>
    <t>Z7</t>
  </si>
  <si>
    <t>NC Partnership for Children</t>
  </si>
  <si>
    <t>ZA</t>
  </si>
  <si>
    <t>NC State Ports Authority</t>
  </si>
  <si>
    <t>ZB</t>
  </si>
  <si>
    <t>State Education Assistance Authority</t>
  </si>
  <si>
    <t>ZG</t>
  </si>
  <si>
    <t>Centennial Authority</t>
  </si>
  <si>
    <t>ZH</t>
  </si>
  <si>
    <t>NC Railroad Company</t>
  </si>
  <si>
    <t>ZI</t>
  </si>
  <si>
    <t>The Golden LEAF, Inc.</t>
  </si>
  <si>
    <t>Gateway University Research Park, Inc.</t>
  </si>
  <si>
    <t>ZM</t>
  </si>
  <si>
    <t>Economic Development Partnership of NC</t>
  </si>
  <si>
    <t>C0</t>
  </si>
  <si>
    <t>Alamance Community College</t>
  </si>
  <si>
    <t>CU-CC</t>
  </si>
  <si>
    <t>C2</t>
  </si>
  <si>
    <t>Asheville-Buncombe Technical Community College</t>
  </si>
  <si>
    <t>C3</t>
  </si>
  <si>
    <t>Beaufort County Community College</t>
  </si>
  <si>
    <t>C4</t>
  </si>
  <si>
    <t>Bladen Community College</t>
  </si>
  <si>
    <t>C5</t>
  </si>
  <si>
    <t>Blue Ridge Community College</t>
  </si>
  <si>
    <t>C6</t>
  </si>
  <si>
    <t>Brunswick Community College</t>
  </si>
  <si>
    <t>C7</t>
  </si>
  <si>
    <t>Caldwell Community College and Technical Institute</t>
  </si>
  <si>
    <t>C8</t>
  </si>
  <si>
    <t>Cape Fear Community College</t>
  </si>
  <si>
    <t>C9</t>
  </si>
  <si>
    <t>Carteret Community College</t>
  </si>
  <si>
    <t>CA</t>
  </si>
  <si>
    <t>Catawba Valley Community College</t>
  </si>
  <si>
    <t>CB</t>
  </si>
  <si>
    <t>Central Carolina Community College</t>
  </si>
  <si>
    <t>CC</t>
  </si>
  <si>
    <t>Central Piedmont Community College</t>
  </si>
  <si>
    <t>CD</t>
  </si>
  <si>
    <t>Cleveland Community College</t>
  </si>
  <si>
    <t>CE</t>
  </si>
  <si>
    <t>Coastal Carolina Community College</t>
  </si>
  <si>
    <t>CF</t>
  </si>
  <si>
    <t>College of the Albemarle</t>
  </si>
  <si>
    <t>CG</t>
  </si>
  <si>
    <t>Craven Community College</t>
  </si>
  <si>
    <t>CH</t>
  </si>
  <si>
    <t>Davidson County Community College</t>
  </si>
  <si>
    <t>CJ</t>
  </si>
  <si>
    <t>Durham Technical Community College</t>
  </si>
  <si>
    <t>CK</t>
  </si>
  <si>
    <t>Edgecombe Community College</t>
  </si>
  <si>
    <t>CL</t>
  </si>
  <si>
    <t>Fayetteville Technical Community College</t>
  </si>
  <si>
    <t>CM</t>
  </si>
  <si>
    <t>Forsyth Technical Community College</t>
  </si>
  <si>
    <t>CN</t>
  </si>
  <si>
    <t>Gaston College</t>
  </si>
  <si>
    <t>CP</t>
  </si>
  <si>
    <t>Guilford Technical Community College</t>
  </si>
  <si>
    <t>CQ</t>
  </si>
  <si>
    <t>Halifax Community College</t>
  </si>
  <si>
    <t>CR</t>
  </si>
  <si>
    <t>Haywood Community College</t>
  </si>
  <si>
    <t>CS</t>
  </si>
  <si>
    <t>Isothermal Community College</t>
  </si>
  <si>
    <t>CT</t>
  </si>
  <si>
    <t>James Sprunt Community College</t>
  </si>
  <si>
    <t>CU</t>
  </si>
  <si>
    <t>Johnston Community College</t>
  </si>
  <si>
    <t>CV</t>
  </si>
  <si>
    <t>Lenoir Community College</t>
  </si>
  <si>
    <t>CW</t>
  </si>
  <si>
    <t>Martin Community College</t>
  </si>
  <si>
    <t>CX</t>
  </si>
  <si>
    <t>Mayland Community College</t>
  </si>
  <si>
    <t>CY</t>
  </si>
  <si>
    <t>McDowell Technical Community College</t>
  </si>
  <si>
    <t>CZ</t>
  </si>
  <si>
    <t>Mitchell Community College</t>
  </si>
  <si>
    <t>D0</t>
  </si>
  <si>
    <t>Montgomery Community College</t>
  </si>
  <si>
    <t>D1</t>
  </si>
  <si>
    <t>Nash Community College</t>
  </si>
  <si>
    <t>D2</t>
  </si>
  <si>
    <t>Pamlico Community College</t>
  </si>
  <si>
    <t>D3</t>
  </si>
  <si>
    <t>Piedmont Community College</t>
  </si>
  <si>
    <t>D4</t>
  </si>
  <si>
    <t>Pitt Community College</t>
  </si>
  <si>
    <t>D5</t>
  </si>
  <si>
    <t>Randolph Community College</t>
  </si>
  <si>
    <t>D6</t>
  </si>
  <si>
    <t>Richmond Community College</t>
  </si>
  <si>
    <t>D7</t>
  </si>
  <si>
    <t>Roanoke-Chowan Community College</t>
  </si>
  <si>
    <t>D8</t>
  </si>
  <si>
    <t>Robeson Community College</t>
  </si>
  <si>
    <t>D9</t>
  </si>
  <si>
    <t>Rockingham Community College</t>
  </si>
  <si>
    <t>DA</t>
  </si>
  <si>
    <t>Rowan-Cabarrus Community College</t>
  </si>
  <si>
    <t>DB</t>
  </si>
  <si>
    <t>Sampson Community College</t>
  </si>
  <si>
    <t>DC</t>
  </si>
  <si>
    <t>Sandhills Community College</t>
  </si>
  <si>
    <t>C1</t>
  </si>
  <si>
    <t>South Piedmont Community College</t>
  </si>
  <si>
    <t>DD</t>
  </si>
  <si>
    <t>Southeastern Community College</t>
  </si>
  <si>
    <t>DE</t>
  </si>
  <si>
    <t>Southwestern Community College</t>
  </si>
  <si>
    <t>DF</t>
  </si>
  <si>
    <t>Stanly Community College</t>
  </si>
  <si>
    <t>DG</t>
  </si>
  <si>
    <t>Surry Community College</t>
  </si>
  <si>
    <t>DH</t>
  </si>
  <si>
    <t>Tri-County Community College</t>
  </si>
  <si>
    <t>DJ</t>
  </si>
  <si>
    <t>Vance-Granville Community College</t>
  </si>
  <si>
    <t>DK</t>
  </si>
  <si>
    <t>Wake Technical Community College</t>
  </si>
  <si>
    <t>DL</t>
  </si>
  <si>
    <t>Wayne Community College</t>
  </si>
  <si>
    <t>DM</t>
  </si>
  <si>
    <t>Western Piedmont Community College</t>
  </si>
  <si>
    <t>DN</t>
  </si>
  <si>
    <t>Wilkes Community College</t>
  </si>
  <si>
    <t>DP</t>
  </si>
  <si>
    <t>Wilson Community College</t>
  </si>
  <si>
    <t>Functional Table to be used for Worksheets 401, 405, 410, 415 and 420</t>
  </si>
  <si>
    <t>updated 3/06/2023</t>
  </si>
  <si>
    <t>Beginning FRU #</t>
  </si>
  <si>
    <t>Ending FRU #</t>
  </si>
  <si>
    <t>Beginning GASB #</t>
  </si>
  <si>
    <t>Ending GASB #</t>
  </si>
  <si>
    <t>010</t>
  </si>
  <si>
    <t>1100</t>
  </si>
  <si>
    <r>
      <t>1599</t>
    </r>
    <r>
      <rPr>
        <b/>
        <sz val="10"/>
        <rFont val="MS Sans Serif"/>
        <family val="2"/>
      </rPr>
      <t>*</t>
    </r>
  </si>
  <si>
    <t>Public Safety, Corrections &amp; Reg</t>
  </si>
  <si>
    <t>020</t>
  </si>
  <si>
    <t>022</t>
  </si>
  <si>
    <r>
      <t>Separate analysis required</t>
    </r>
    <r>
      <rPr>
        <b/>
        <sz val="10"/>
        <rFont val="MS Sans Serif"/>
        <family val="2"/>
      </rPr>
      <t>**</t>
    </r>
  </si>
  <si>
    <t>030</t>
  </si>
  <si>
    <t>035</t>
  </si>
  <si>
    <t>Health &amp; Human Services</t>
  </si>
  <si>
    <t>1398</t>
  </si>
  <si>
    <t>Capital Outlay</t>
  </si>
  <si>
    <t>1599</t>
  </si>
  <si>
    <t>040</t>
  </si>
  <si>
    <t>050</t>
  </si>
  <si>
    <t>051</t>
  </si>
  <si>
    <t>060</t>
  </si>
  <si>
    <t>070</t>
  </si>
  <si>
    <t>076</t>
  </si>
  <si>
    <t>Environment &amp; Natural Resource</t>
  </si>
  <si>
    <t>Higher Education - Student aid</t>
  </si>
  <si>
    <t>077</t>
  </si>
  <si>
    <t>078</t>
  </si>
  <si>
    <t>080</t>
  </si>
  <si>
    <t>083</t>
  </si>
  <si>
    <t>090</t>
  </si>
  <si>
    <t>100</t>
  </si>
  <si>
    <t>101</t>
  </si>
  <si>
    <t>110</t>
  </si>
  <si>
    <t>111</t>
  </si>
  <si>
    <t>120</t>
  </si>
  <si>
    <t>124</t>
  </si>
  <si>
    <t>130</t>
  </si>
  <si>
    <t>134</t>
  </si>
  <si>
    <t>140</t>
  </si>
  <si>
    <t>150</t>
  </si>
  <si>
    <t>151</t>
  </si>
  <si>
    <t>160</t>
  </si>
  <si>
    <t>162</t>
  </si>
  <si>
    <t>170</t>
  </si>
  <si>
    <t>190</t>
  </si>
  <si>
    <t>198</t>
  </si>
  <si>
    <t>200</t>
  </si>
  <si>
    <t>3ZZ</t>
  </si>
  <si>
    <t>410</t>
  </si>
  <si>
    <t>1325</t>
  </si>
  <si>
    <t>1326</t>
  </si>
  <si>
    <t>1330</t>
  </si>
  <si>
    <t>1357</t>
  </si>
  <si>
    <t>1361</t>
  </si>
  <si>
    <t>1362</t>
  </si>
  <si>
    <t>430</t>
  </si>
  <si>
    <t>436</t>
  </si>
  <si>
    <t>450</t>
  </si>
  <si>
    <t>451</t>
  </si>
  <si>
    <t>460</t>
  </si>
  <si>
    <t>461</t>
  </si>
  <si>
    <t>500</t>
  </si>
  <si>
    <r>
      <t>1599</t>
    </r>
    <r>
      <rPr>
        <b/>
        <sz val="10"/>
        <rFont val="MS Sans Serif"/>
      </rPr>
      <t>*</t>
    </r>
  </si>
  <si>
    <t>600</t>
  </si>
  <si>
    <t>601</t>
  </si>
  <si>
    <t>670</t>
  </si>
  <si>
    <t>900</t>
  </si>
  <si>
    <t>990</t>
  </si>
  <si>
    <t>1199</t>
  </si>
  <si>
    <t>R10</t>
  </si>
  <si>
    <t>RG0</t>
  </si>
  <si>
    <t>* GASB 14XX is Capital Outlay function</t>
  </si>
  <si>
    <t>** Analysis of accounts needed to determine functionality</t>
  </si>
  <si>
    <t xml:space="preserve">NC Office of the State Controller </t>
  </si>
  <si>
    <t>2022 Year End Financial Reporting Package</t>
  </si>
  <si>
    <t>Agency No.</t>
  </si>
  <si>
    <t>Net Position and GASB Table for 905 &amp; 906 Templates
Agency Name</t>
  </si>
  <si>
    <t>For Beginning Net position:
Ending Net Position per 2022 ACFR</t>
  </si>
  <si>
    <t>GASB Number for Financial Reporting</t>
  </si>
  <si>
    <t>Source for 2022 ending net position</t>
  </si>
  <si>
    <t>UNC Health Care Reporting Unit (Combined Package)</t>
  </si>
  <si>
    <t>Univ WTB</t>
  </si>
  <si>
    <t>Triangle Physicians Network</t>
  </si>
  <si>
    <t>High Point Regional</t>
  </si>
  <si>
    <t xml:space="preserve">Caldwell Memorial </t>
  </si>
  <si>
    <t>DSS</t>
  </si>
  <si>
    <t xml:space="preserve"> not using ws 905/must hand key (11P)</t>
  </si>
  <si>
    <t>Deferred Comp</t>
  </si>
  <si>
    <t>use ws 906, not 905</t>
  </si>
  <si>
    <t>Check total for all agencies using 905</t>
  </si>
  <si>
    <t>263X&amp;4XXX</t>
  </si>
  <si>
    <t>UNC System total (48 - ZL)</t>
  </si>
  <si>
    <t xml:space="preserve">Materially agreed to total per WTB for UNC System (UNC System Total WTB after adjustments, Note 18 tab -$13,077,043,880.2 ).  </t>
  </si>
  <si>
    <t>The difference is $1,078.93. PK 3/10/2023</t>
  </si>
  <si>
    <t xml:space="preserve">Note: The ending net position per 2022 ACFR must be used as beginning net position for the 2023 ACFR. Any difference must be keyed on the Restatements line and explained on worksheet 430. </t>
  </si>
  <si>
    <t>Updated Def. Comp and 401(k) amounts - JRK 3/14/22</t>
  </si>
  <si>
    <t>Updated UNC System amounts - PK 3/10/23</t>
  </si>
  <si>
    <r>
      <t>See instructions at</t>
    </r>
    <r>
      <rPr>
        <sz val="10"/>
        <color theme="0"/>
        <rFont val="Arial"/>
        <family val="2"/>
      </rPr>
      <t xml:space="preserve"> K:\SASD\21CAFR\Statements\Component\Univ\Prior Year Balances\Instructions for Updating PY Balances.docx</t>
    </r>
  </si>
  <si>
    <t>Prior Year 905 -  Offline Proprietary Proforma - SNP &amp; SRECNP
 Statement of Rev, Exp and Changes in Net Position</t>
  </si>
  <si>
    <t>Per Prior year Annual Report. Purpose: To populate Prior Yr columns  &amp; Beg bal for ws 201, 210 &amp; 310</t>
  </si>
  <si>
    <t>Agency Number</t>
  </si>
  <si>
    <t>Agency Name</t>
  </si>
  <si>
    <t>UNC-Hosp</t>
  </si>
  <si>
    <t>Chatham</t>
  </si>
  <si>
    <t>UNC Physicians</t>
  </si>
  <si>
    <t>UNC Rockingham</t>
  </si>
  <si>
    <t>UNC-General</t>
  </si>
  <si>
    <t>UNC-</t>
  </si>
  <si>
    <t>NC State</t>
  </si>
  <si>
    <t xml:space="preserve">East </t>
  </si>
  <si>
    <t>NC A&amp;T</t>
  </si>
  <si>
    <t>Western</t>
  </si>
  <si>
    <t>Appalachian</t>
  </si>
  <si>
    <t>Winston-Salem</t>
  </si>
  <si>
    <t>Elizabeth City</t>
  </si>
  <si>
    <t>Fayetteville</t>
  </si>
  <si>
    <t>NC Central</t>
  </si>
  <si>
    <t>UNC School</t>
  </si>
  <si>
    <t>Gateway University</t>
  </si>
  <si>
    <t>USS NC</t>
  </si>
  <si>
    <t>SNP</t>
  </si>
  <si>
    <t>Reporting  Unit</t>
  </si>
  <si>
    <t xml:space="preserve">Hospitals </t>
  </si>
  <si>
    <t>Enterprise</t>
  </si>
  <si>
    <t>Liab Ins Trust Fund</t>
  </si>
  <si>
    <t>Network</t>
  </si>
  <si>
    <t>Regional</t>
  </si>
  <si>
    <t>Admininistration</t>
  </si>
  <si>
    <t>Chapel Hill</t>
  </si>
  <si>
    <t>University</t>
  </si>
  <si>
    <t>Greensboro</t>
  </si>
  <si>
    <t>Charlotte</t>
  </si>
  <si>
    <t>Asheville</t>
  </si>
  <si>
    <t>Wilmington</t>
  </si>
  <si>
    <t>Carolina Univ</t>
  </si>
  <si>
    <t>State Univ</t>
  </si>
  <si>
    <t>Pembroke</t>
  </si>
  <si>
    <t>of the Arts</t>
  </si>
  <si>
    <t>Research Park</t>
  </si>
  <si>
    <t>Battleship Comm</t>
  </si>
  <si>
    <t xml:space="preserve">Hedging derivatives </t>
  </si>
  <si>
    <t>Right to Use Lease Asset-Land</t>
  </si>
  <si>
    <t>Right to Use Lease Asset-Buildings</t>
  </si>
  <si>
    <t>Right to Use Lease Asset-Machinery and Equipment</t>
  </si>
  <si>
    <t>Right to Use Lease Asset-General infrastructure</t>
  </si>
  <si>
    <t>SBITA Network …......................................................</t>
  </si>
  <si>
    <t xml:space="preserve">SBITA software </t>
  </si>
  <si>
    <t>Total deferred outflows of resources</t>
  </si>
  <si>
    <t>Revolving line of credit</t>
  </si>
  <si>
    <t>SBITA liability - current …....................................................</t>
  </si>
  <si>
    <t>Asset retirement obligation-current</t>
  </si>
  <si>
    <t>Compensated absences - current</t>
  </si>
  <si>
    <t>Net pension liabiilty - current</t>
  </si>
  <si>
    <t>Net OPEB liabiilty - current</t>
  </si>
  <si>
    <t>SBTIA liability</t>
  </si>
  <si>
    <t>u10</t>
  </si>
  <si>
    <t>u20</t>
  </si>
  <si>
    <t>UNC System total</t>
  </si>
  <si>
    <t>Check: Assets + Def OutFlo - Liab - Def Inflo = Net Position</t>
  </si>
  <si>
    <t>State aid - Coronavirus Relief Fund</t>
  </si>
  <si>
    <t>Noncapital contributions</t>
  </si>
  <si>
    <t>Gain (loss) on in-substance defeasance of debt</t>
  </si>
  <si>
    <t>Net position between Stmt of Net Position  and Operating Stmnt</t>
  </si>
  <si>
    <t>Prior Year worksheet 210 Accumulated depreciation</t>
  </si>
  <si>
    <t>Ending balances per 2022 ACFR</t>
  </si>
  <si>
    <t>Accumulated Depreciation:</t>
  </si>
  <si>
    <t>Subscription Asset- Network</t>
  </si>
  <si>
    <t>Subscription Asset- Software</t>
  </si>
  <si>
    <t>NC Toll Road System</t>
  </si>
  <si>
    <t>Total Accumulated depreciation, capital assets</t>
  </si>
  <si>
    <t>Check- agree to Accum depreciation total in SNP above</t>
  </si>
  <si>
    <t>Prior Year worksheet 310 Long-term liabilities</t>
  </si>
  <si>
    <t>Ending balances per 2021 ACFR</t>
  </si>
  <si>
    <t>Balances 6/30/22 per ws 310, Column E:</t>
  </si>
  <si>
    <t>Limited Obligation Bonds</t>
  </si>
  <si>
    <t>Less deferred amt for issuance discounts</t>
  </si>
  <si>
    <t>Add issuance premium</t>
  </si>
  <si>
    <r>
      <t>Other (</t>
    </r>
    <r>
      <rPr>
        <sz val="10"/>
        <rFont val="Arial Narrow"/>
        <family val="2"/>
      </rPr>
      <t>describe in "Explanations" tab</t>
    </r>
    <r>
      <rPr>
        <sz val="10"/>
        <rFont val="Arial"/>
        <family val="2"/>
      </rPr>
      <t>)</t>
    </r>
  </si>
  <si>
    <t>Total LT Liabilities Current &amp; Noncurrent</t>
  </si>
  <si>
    <t>Bonds and COPS payable check to SNP</t>
  </si>
  <si>
    <t>Other LT Liabilities (Cur &amp; NonCur) tie to SNP</t>
  </si>
  <si>
    <t>Revolving Line of Credit</t>
  </si>
  <si>
    <t>Commercial Paper</t>
  </si>
  <si>
    <t>Anticipation Notes</t>
  </si>
  <si>
    <t xml:space="preserve">    Total ST Debt</t>
  </si>
  <si>
    <t>Leases payable</t>
  </si>
  <si>
    <t>Notes from Direct Borrowings</t>
  </si>
  <si>
    <t>Direct Placements</t>
  </si>
  <si>
    <t>Asset Retirement Obligation</t>
  </si>
  <si>
    <t>Compensated Absences</t>
  </si>
  <si>
    <t>Net Pension Liability</t>
  </si>
  <si>
    <t>Net OPEB Liability</t>
  </si>
  <si>
    <t>Note by SRJ on 3/31/2022:  Prior Year balances have been updated.  Net position has been reconciled to the 2021 ACFR. See journal entries for more information. All entries incorporated into beginning balances were corrective in nature.</t>
  </si>
  <si>
    <t>Prior year 906- Offline Fiduciary Proforma for 401(k) and Deferred Compensation Plans
Stmt of Plan Net Position &amp; Stmt of Changes in Plan Net Position
To populate prior year balances on 906 and 911 worksheeets</t>
  </si>
  <si>
    <t>updated for 2014 on 1/15/15 dkd</t>
  </si>
  <si>
    <t xml:space="preserve">  Employees' pension and other benefits</t>
  </si>
  <si>
    <t>Net position — July 1</t>
  </si>
  <si>
    <t>Net position — June 30</t>
  </si>
  <si>
    <t>Stmnt of Changes in Fid Net Position verification</t>
  </si>
  <si>
    <t>GASB Fund Number</t>
  </si>
  <si>
    <t>Conc</t>
  </si>
  <si>
    <t>Co</t>
  </si>
  <si>
    <t>NCAS or Offline</t>
  </si>
  <si>
    <t>Package contact name</t>
  </si>
  <si>
    <t>Contact telephone</t>
  </si>
  <si>
    <t>For Comp Unit Package</t>
  </si>
  <si>
    <t>Changes for 2023/Comments</t>
  </si>
  <si>
    <t>NCFS Agency</t>
  </si>
  <si>
    <t>UnivEnt</t>
  </si>
  <si>
    <t>Malinda Peters</t>
  </si>
  <si>
    <t>(919) 733-7500</t>
  </si>
  <si>
    <t>malinda.peters@ncleg.gov</t>
  </si>
  <si>
    <t>0100</t>
  </si>
  <si>
    <t>Meagan Jacobs</t>
  </si>
  <si>
    <t>(919) 890-1024</t>
  </si>
  <si>
    <t>meagan.h.jacobs@nccourts.org</t>
  </si>
  <si>
    <t>0200</t>
  </si>
  <si>
    <t>Providence Hakizimana</t>
  </si>
  <si>
    <t>(984) 236-0626</t>
  </si>
  <si>
    <t>providence.hakizimana@osbm.nc.gov</t>
  </si>
  <si>
    <t>0300</t>
  </si>
  <si>
    <t>Elizabeth Moreno</t>
  </si>
  <si>
    <t>(984) 236-0082</t>
  </si>
  <si>
    <t>elizabeth.moreno@doa.nc.gov</t>
  </si>
  <si>
    <t>0400</t>
  </si>
  <si>
    <t xml:space="preserve">Priscilla Roberts </t>
  </si>
  <si>
    <t>(919) 814-5321</t>
  </si>
  <si>
    <t>pkroberts@sosnc.gov</t>
  </si>
  <si>
    <t>0500</t>
  </si>
  <si>
    <t>Rachel McDonald</t>
  </si>
  <si>
    <t>(919) 807-7633</t>
  </si>
  <si>
    <t>rachel_mcdonald@ncauditor.net</t>
  </si>
  <si>
    <t>0600</t>
  </si>
  <si>
    <t>Joan Fontes</t>
  </si>
  <si>
    <t>(919) 814-3898</t>
  </si>
  <si>
    <t>joan.fontes@nctreasurer.com</t>
  </si>
  <si>
    <t>0700</t>
  </si>
  <si>
    <t>State Health Plan</t>
  </si>
  <si>
    <t>Sue Kearney</t>
  </si>
  <si>
    <t>(919) 807-3741</t>
  </si>
  <si>
    <t>sue.kearney@dpi.nc.gov</t>
  </si>
  <si>
    <t>0800</t>
  </si>
  <si>
    <t>Matthew Longobardi</t>
  </si>
  <si>
    <t>(919) 716-6077</t>
  </si>
  <si>
    <t>Mlongobardi@ncdoj.gov</t>
  </si>
  <si>
    <t>0900</t>
  </si>
  <si>
    <t>Melinda Green</t>
  </si>
  <si>
    <t>(919) 707-3037</t>
  </si>
  <si>
    <t>Melinda.Green@ncagr.gov</t>
  </si>
  <si>
    <t>1000</t>
  </si>
  <si>
    <t>Lisa Culbreth</t>
  </si>
  <si>
    <t>(919) 707-7743</t>
  </si>
  <si>
    <t>lisa.culbreth@labor.nc.gov</t>
  </si>
  <si>
    <t>1200</t>
  </si>
  <si>
    <t>1300</t>
  </si>
  <si>
    <t>(919) 707-0768</t>
  </si>
  <si>
    <t>1400</t>
  </si>
  <si>
    <t>Joe Wilson</t>
  </si>
  <si>
    <t>(919) 707-4290</t>
  </si>
  <si>
    <t>jgwilson@ncdot.gov</t>
  </si>
  <si>
    <t>1500</t>
  </si>
  <si>
    <t>Shirley Trollinger</t>
  </si>
  <si>
    <t>(919) 707-8566</t>
  </si>
  <si>
    <t>Shirley.Trollinger@ncdenr.gov</t>
  </si>
  <si>
    <t>1600</t>
  </si>
  <si>
    <t>(919) 707-0081</t>
  </si>
  <si>
    <t>1700</t>
  </si>
  <si>
    <t>25170G</t>
  </si>
  <si>
    <t>Allis Talley-Burton</t>
  </si>
  <si>
    <t>(919) 324-1045</t>
  </si>
  <si>
    <t>allis.talley-burton@ncdps.gov</t>
  </si>
  <si>
    <t>1900</t>
  </si>
  <si>
    <t>Laketha Miller</t>
  </si>
  <si>
    <t>(919) 855-3700</t>
  </si>
  <si>
    <t>2000</t>
  </si>
  <si>
    <t>Amy Causby</t>
  </si>
  <si>
    <t>(828) 433-2384</t>
  </si>
  <si>
    <t>3000</t>
  </si>
  <si>
    <t>4000</t>
  </si>
  <si>
    <t>4100</t>
  </si>
  <si>
    <t>Cheryl Davis</t>
  </si>
  <si>
    <t>(919) 814-4633</t>
  </si>
  <si>
    <t>cheryl.davis@commerce.nc.gov</t>
  </si>
  <si>
    <t>4300</t>
  </si>
  <si>
    <t>Anita Bunch</t>
  </si>
  <si>
    <t>(919) 754-2518</t>
  </si>
  <si>
    <t>anita.bunch@ncdor.gov</t>
  </si>
  <si>
    <t>4500</t>
  </si>
  <si>
    <t>Lori Oldham</t>
  </si>
  <si>
    <t>(919) 814-6719</t>
  </si>
  <si>
    <t>Lori.Oldham@ncdcr.gov</t>
  </si>
  <si>
    <t>4600</t>
  </si>
  <si>
    <t>Offline</t>
  </si>
  <si>
    <t>Ryan Hertel</t>
  </si>
  <si>
    <t>(770) 696-0251</t>
  </si>
  <si>
    <t>Ryan.Hertel@unchealth.unc.edu</t>
  </si>
  <si>
    <t>Jeff Stevens</t>
  </si>
  <si>
    <t>(984) 974-1003</t>
  </si>
  <si>
    <t>Jeffrey.Stevens@unchealth.unc.edu</t>
  </si>
  <si>
    <t>2631 &amp; 2634</t>
  </si>
  <si>
    <t>Michael Griffin</t>
  </si>
  <si>
    <t>(984) 974-1260</t>
  </si>
  <si>
    <t>Michael.Griffin@unchealth.unc.edu</t>
  </si>
  <si>
    <t>David Sims</t>
  </si>
  <si>
    <t>(804) 815-8293</t>
  </si>
  <si>
    <t>David.Sims@unchealth.unc.edu</t>
  </si>
  <si>
    <t>Lisa Cox</t>
  </si>
  <si>
    <t>(984) 215-3810</t>
  </si>
  <si>
    <t>Lisa.Cox2@unchealth.unc.edu</t>
  </si>
  <si>
    <t>Carolyn Perkins</t>
  </si>
  <si>
    <t>(919) 784-3479</t>
  </si>
  <si>
    <t>Carolyn.Perkins@unchealth.unc.edu</t>
  </si>
  <si>
    <t>Bill Hosterman</t>
  </si>
  <si>
    <t>(919) 360-4668</t>
  </si>
  <si>
    <t>William.Hostermanjr@unchealth.unc.edu</t>
  </si>
  <si>
    <t>Jason Cottle</t>
  </si>
  <si>
    <t>(919) 807-7073</t>
  </si>
  <si>
    <t>5000</t>
  </si>
  <si>
    <t>Prabha Vijayaraghavan</t>
  </si>
  <si>
    <t>(919) 324-1425</t>
  </si>
  <si>
    <t>prabhavathi.Vijayaraghavan@dac.nc.gov</t>
  </si>
  <si>
    <t>5200</t>
  </si>
  <si>
    <t>6000</t>
  </si>
  <si>
    <t>Daniel Honeycutt</t>
  </si>
  <si>
    <t>(919) 301-3531</t>
  </si>
  <si>
    <t>daniel.honeycutt_lotterync.net</t>
  </si>
  <si>
    <t>6100</t>
  </si>
  <si>
    <t>Tonia Brown</t>
  </si>
  <si>
    <t>(984) 236-1904</t>
  </si>
  <si>
    <t>tonia.brown@oah.nc.gov</t>
  </si>
  <si>
    <t>6700</t>
  </si>
  <si>
    <t>Elizabeth Haynes</t>
  </si>
  <si>
    <t>(910) 399-9104</t>
  </si>
  <si>
    <t>elizabeth.haynes@ncdr.gov</t>
  </si>
  <si>
    <t>6900</t>
  </si>
  <si>
    <t>Leah Englebright</t>
  </si>
  <si>
    <t>(919) 416-2870</t>
  </si>
  <si>
    <t>englebright@ncssm.edu</t>
  </si>
  <si>
    <t>Although part of UNC System, NCSSM is a primary NCAS agency that will continue using DSS.</t>
  </si>
  <si>
    <t>8700</t>
  </si>
  <si>
    <t>Ashley Price</t>
  </si>
  <si>
    <t>(919) 707-0523</t>
  </si>
  <si>
    <t>ashley.price@osc.nc.gov</t>
  </si>
  <si>
    <t>9000</t>
  </si>
  <si>
    <t>Jackie McKoy</t>
  </si>
  <si>
    <t>(919) 754-2524</t>
  </si>
  <si>
    <t>jacqueline.mckoy@ncdor.gov</t>
  </si>
  <si>
    <t>9900</t>
  </si>
  <si>
    <t>Natasha Farrington</t>
  </si>
  <si>
    <t>(919) 707-0657</t>
  </si>
  <si>
    <t>natasha.farrington@osc.nc.gov</t>
  </si>
  <si>
    <t>R100</t>
  </si>
  <si>
    <r>
      <t xml:space="preserve">Offline </t>
    </r>
    <r>
      <rPr>
        <b/>
        <sz val="14"/>
        <rFont val="Calibri"/>
        <family val="2"/>
      </rPr>
      <t>²</t>
    </r>
  </si>
  <si>
    <t>dkdryer@northcarolina.edu</t>
  </si>
  <si>
    <r>
      <rPr>
        <b/>
        <sz val="8"/>
        <rFont val="Calibri"/>
        <family val="2"/>
      </rPr>
      <t>²</t>
    </r>
    <r>
      <rPr>
        <sz val="8"/>
        <rFont val="Times New Roman"/>
        <family val="1"/>
      </rPr>
      <t xml:space="preserve"> Offline reporting for all universities starting FY 2012. Still use NCAS for monthly reporting.</t>
    </r>
  </si>
  <si>
    <t>U100</t>
  </si>
  <si>
    <t>Beth McAndrew</t>
  </si>
  <si>
    <t>(919) 843-2694</t>
  </si>
  <si>
    <t>bmcandre@email.unc.edu</t>
  </si>
  <si>
    <t>U200</t>
  </si>
  <si>
    <t>Jennifer Brady</t>
  </si>
  <si>
    <t>(919) 515-3823</t>
  </si>
  <si>
    <t>jbrady@ncsu.edu</t>
  </si>
  <si>
    <t>U300</t>
  </si>
  <si>
    <t>Amanda Nash</t>
  </si>
  <si>
    <t>(336) 334-5180</t>
  </si>
  <si>
    <t>awnash@uncg.edu</t>
  </si>
  <si>
    <t>U400</t>
  </si>
  <si>
    <t>Melissa Roberts</t>
  </si>
  <si>
    <t>(704) 687-5755</t>
  </si>
  <si>
    <t>Mrobe138@uncc.edu</t>
  </si>
  <si>
    <t>U500</t>
  </si>
  <si>
    <t>Mary E. Hall</t>
  </si>
  <si>
    <t>(828) 231-5109</t>
  </si>
  <si>
    <t>mhall7@unca.edu</t>
  </si>
  <si>
    <t>U550</t>
  </si>
  <si>
    <t>Heather Iannucci</t>
  </si>
  <si>
    <t>(910) 962-3144</t>
  </si>
  <si>
    <t>iannuccih@uncw.edu</t>
  </si>
  <si>
    <t>U600</t>
  </si>
  <si>
    <t>Steve Strickland</t>
  </si>
  <si>
    <t>(252) 737-4916</t>
  </si>
  <si>
    <t>stricklands@ecu.edu</t>
  </si>
  <si>
    <t>U650</t>
  </si>
  <si>
    <t>Kathy Burckley</t>
  </si>
  <si>
    <t>(336) 285-3028</t>
  </si>
  <si>
    <t>burckley@ncat.edu</t>
  </si>
  <si>
    <t>U700</t>
  </si>
  <si>
    <t>Joanne N. Jones</t>
  </si>
  <si>
    <t>(828) 227-3114</t>
  </si>
  <si>
    <t>jnjones@email.wcu.edu</t>
  </si>
  <si>
    <t>U750</t>
  </si>
  <si>
    <t>David Jamison</t>
  </si>
  <si>
    <t>(828) 262-6426</t>
  </si>
  <si>
    <t>jamisondt@appstate.edu</t>
  </si>
  <si>
    <t>U800</t>
  </si>
  <si>
    <t>Michelle Donegain</t>
  </si>
  <si>
    <t>910-521-6583</t>
  </si>
  <si>
    <t>michelle.donegain@uncp.edu</t>
  </si>
  <si>
    <t>U820</t>
  </si>
  <si>
    <t>(336) 750-2733</t>
  </si>
  <si>
    <t>U840</t>
  </si>
  <si>
    <t>Gina Knight</t>
  </si>
  <si>
    <t>(252) 335-4822</t>
  </si>
  <si>
    <t>grknight@ecsu.edu</t>
  </si>
  <si>
    <t>U860</t>
  </si>
  <si>
    <t>Jennifer Addison</t>
  </si>
  <si>
    <t>(910) 672-1163</t>
  </si>
  <si>
    <t>jaddison1@uncfsu.edu</t>
  </si>
  <si>
    <t>U880</t>
  </si>
  <si>
    <t>Antonio McDaniel</t>
  </si>
  <si>
    <t>(919) 530-5422</t>
  </si>
  <si>
    <t>Antonio.McDaniel@nccu.edu</t>
  </si>
  <si>
    <t>U900</t>
  </si>
  <si>
    <t>U920</t>
  </si>
  <si>
    <t>Taylor Davies</t>
  </si>
  <si>
    <t>(919)875-3761</t>
  </si>
  <si>
    <t>Reclassified to nonmajor based on GASB 61; NCAS interface monthly, Offline for Annual Report</t>
  </si>
  <si>
    <t>0A00</t>
  </si>
  <si>
    <t>(919) 549-8850</t>
  </si>
  <si>
    <t>Z200</t>
  </si>
  <si>
    <t>Trina Warren</t>
  </si>
  <si>
    <t>(252)775-6186</t>
  </si>
  <si>
    <t>tdwarren1@ncdot.gov</t>
  </si>
  <si>
    <t>Z300</t>
  </si>
  <si>
    <t>The Global TransPark Foundation is a component unit of Global TransPark; it is remaining offline.</t>
  </si>
  <si>
    <t>Lisa Rash</t>
  </si>
  <si>
    <t>919-821-9530</t>
  </si>
  <si>
    <t>Z700</t>
  </si>
  <si>
    <t>Terry Dail</t>
  </si>
  <si>
    <t>(910) 343-6414</t>
  </si>
  <si>
    <t>Terry.Dail@ncports.com</t>
  </si>
  <si>
    <t>ZA00</t>
  </si>
  <si>
    <t>Larna Griffin</t>
  </si>
  <si>
    <t>919-248-4698</t>
  </si>
  <si>
    <t>lgriffin@ncseaa.edu</t>
  </si>
  <si>
    <t>Reclassified to nonmajor based on GASB 61</t>
  </si>
  <si>
    <t>ZB00</t>
  </si>
  <si>
    <t>John House</t>
  </si>
  <si>
    <t>919-829-8132</t>
  </si>
  <si>
    <t>jhouse@centauth.com</t>
  </si>
  <si>
    <t>Resumed as component unit for FY 2013(last time in Annual Report was 1999)</t>
  </si>
  <si>
    <t>ZG00</t>
  </si>
  <si>
    <t>Michelle Jeng</t>
  </si>
  <si>
    <t>919-954-7601</t>
  </si>
  <si>
    <t>MJeng@ncrr.com</t>
  </si>
  <si>
    <t>ZH00</t>
  </si>
  <si>
    <t>Erica Smith</t>
  </si>
  <si>
    <t>(252) 442-7474</t>
  </si>
  <si>
    <t>esmith@goldenleaf.org</t>
  </si>
  <si>
    <t>ZI00</t>
  </si>
  <si>
    <t>Joy Klenke</t>
  </si>
  <si>
    <t>336-417-5511</t>
  </si>
  <si>
    <t>jklenke@gbmcpas.com</t>
  </si>
  <si>
    <t>Gateway Research Park is a component unit of the UNC System.</t>
  </si>
  <si>
    <t>ZL00</t>
  </si>
  <si>
    <t>Larry Price</t>
  </si>
  <si>
    <t>919-447-7807</t>
  </si>
  <si>
    <t>larry.price@edpnc.com</t>
  </si>
  <si>
    <t>New in 2015</t>
  </si>
  <si>
    <t>ZM00</t>
  </si>
  <si>
    <t>Christopher Crepps</t>
  </si>
  <si>
    <t>336-506-4410</t>
  </si>
  <si>
    <t>cdcrepps973@alamancecc.edu</t>
  </si>
  <si>
    <t>Kristabell Certain</t>
  </si>
  <si>
    <t>828-398-7358</t>
  </si>
  <si>
    <t>kristabellcertain@abtech.edu</t>
  </si>
  <si>
    <t>Gay Roberson</t>
  </si>
  <si>
    <t>252-940-6248</t>
  </si>
  <si>
    <t>gay.edwards@BeaufortCCC.edu</t>
  </si>
  <si>
    <t>Lacie Jacobs</t>
  </si>
  <si>
    <t>910-879-5500</t>
  </si>
  <si>
    <t>ljacobs@bladencc.edu</t>
  </si>
  <si>
    <t>Carolyn Alley</t>
  </si>
  <si>
    <t>828-697-1730</t>
  </si>
  <si>
    <t>carolyna@blueridge.edu</t>
  </si>
  <si>
    <t>Santresa Culpepper</t>
  </si>
  <si>
    <t>910-755-7314</t>
  </si>
  <si>
    <t>culpeppers@brunswickcc.edu</t>
  </si>
  <si>
    <t>David Holman</t>
  </si>
  <si>
    <t>828-726-2200</t>
  </si>
  <si>
    <t>dholman@cccti.edu</t>
  </si>
  <si>
    <t>Lindsay Cooley</t>
  </si>
  <si>
    <t>910-362-7074</t>
  </si>
  <si>
    <t>lcolley@cfcc.edu</t>
  </si>
  <si>
    <t>Donna Cumbie</t>
  </si>
  <si>
    <t>252-222-6161</t>
  </si>
  <si>
    <t>cumbied@carteret.edu</t>
  </si>
  <si>
    <t>Shirley Swanson</t>
  </si>
  <si>
    <t>828-327-7000 x4508</t>
  </si>
  <si>
    <t>sswanson109@cvcc.edu</t>
  </si>
  <si>
    <t>Brian Bridgers</t>
  </si>
  <si>
    <t>919-718-7498</t>
  </si>
  <si>
    <t>bbrid219@cccc.edu</t>
  </si>
  <si>
    <t>Lauren Gates</t>
  </si>
  <si>
    <t>704-330-6709</t>
  </si>
  <si>
    <t>lauren.gates@cpcc.edu</t>
  </si>
  <si>
    <t>Pam Boling</t>
  </si>
  <si>
    <t>704-669-4109</t>
  </si>
  <si>
    <t>bolingp@clevelandcc.edu</t>
  </si>
  <si>
    <t>Michelle Stiles</t>
  </si>
  <si>
    <t>910-938-6218</t>
  </si>
  <si>
    <t>stilesm@coastalcarolina.edu</t>
  </si>
  <si>
    <t>Susan Gentry</t>
  </si>
  <si>
    <t>252-335-0821 x2214</t>
  </si>
  <si>
    <t>susan_gentry@albemarle.edu</t>
  </si>
  <si>
    <t>Christine Sachs</t>
  </si>
  <si>
    <t>252-637-5740</t>
  </si>
  <si>
    <t>sachsc@cravencc.edu</t>
  </si>
  <si>
    <t>Davidson-Davie Community College</t>
  </si>
  <si>
    <t>Jennifer Starsick</t>
  </si>
  <si>
    <t>336-224-4661</t>
  </si>
  <si>
    <t>jennifer_starsick@davidsondavie.edu</t>
  </si>
  <si>
    <t>Andrew Kleitsch</t>
  </si>
  <si>
    <t>919-536-7201 x1001</t>
  </si>
  <si>
    <t>kleitsch@durhamtech.edu</t>
  </si>
  <si>
    <t>Pamela Twitty</t>
  </si>
  <si>
    <t>252-618-6506</t>
  </si>
  <si>
    <t>twittyp@edgecombe.edu</t>
  </si>
  <si>
    <t>Robin Deaver</t>
  </si>
  <si>
    <t>910-678-8250</t>
  </si>
  <si>
    <t>deaverr@faytechcc.edu</t>
  </si>
  <si>
    <t>Kathryn Alexander</t>
  </si>
  <si>
    <t>336-734-7367</t>
  </si>
  <si>
    <t>kalexander@forsythtech.edu</t>
  </si>
  <si>
    <t>Shelly Alman</t>
  </si>
  <si>
    <t>(704) 922-6405</t>
  </si>
  <si>
    <t>alman.shelly@gaston.edu</t>
  </si>
  <si>
    <t>Kathi Riffe</t>
  </si>
  <si>
    <t>336-334-4822 x50457</t>
  </si>
  <si>
    <t>klriffe@gtcc.edu</t>
  </si>
  <si>
    <t>Sanethia Smith</t>
  </si>
  <si>
    <t>252-538-4304</t>
  </si>
  <si>
    <t>ssmith640@halifaxcc.edu</t>
  </si>
  <si>
    <t>Christie Medford</t>
  </si>
  <si>
    <t>828-565-4168</t>
  </si>
  <si>
    <t>cmedford@haywood.edu</t>
  </si>
  <si>
    <t>Amy Penson</t>
  </si>
  <si>
    <t>828-395-1296</t>
  </si>
  <si>
    <t>apenson@isothermal.edu</t>
  </si>
  <si>
    <t>LaTasha Moore</t>
  </si>
  <si>
    <t>910-275-6127</t>
  </si>
  <si>
    <t>LMoore@jamessprunt.edu</t>
  </si>
  <si>
    <t>David Webb</t>
  </si>
  <si>
    <t>919-209-2070</t>
  </si>
  <si>
    <t>dgwebb@johnstoncc.edu</t>
  </si>
  <si>
    <t>JD Gibbs</t>
  </si>
  <si>
    <t>252-527-6223 x358</t>
  </si>
  <si>
    <t>jdgibbs27@lenoircc.edu</t>
  </si>
  <si>
    <t>Tammy Bailey</t>
  </si>
  <si>
    <t>252-789-0225</t>
  </si>
  <si>
    <t>tammy.bailey@martincc.edu</t>
  </si>
  <si>
    <t>Cynthia Renfro</t>
  </si>
  <si>
    <t>828-766-1228</t>
  </si>
  <si>
    <t>crenfro@mayland.edu</t>
  </si>
  <si>
    <t>Richard Mauney</t>
  </si>
  <si>
    <t>828-652-0600</t>
  </si>
  <si>
    <t>dickmauney@mcdowelltech.edu</t>
  </si>
  <si>
    <t>Jonathan Harris</t>
  </si>
  <si>
    <t>704-978-1307</t>
  </si>
  <si>
    <t>jharris@mitchellcc.edu</t>
  </si>
  <si>
    <t>Tonya Luck</t>
  </si>
  <si>
    <t>910-898-9631</t>
  </si>
  <si>
    <t>luckt@montgomery.edu</t>
  </si>
  <si>
    <t>Carol Dornseif</t>
  </si>
  <si>
    <t>252-451-8365</t>
  </si>
  <si>
    <t>cjdornseif810@nashcc.edu</t>
  </si>
  <si>
    <t>Sherry Raby</t>
  </si>
  <si>
    <t>252-249-1851 x3003</t>
  </si>
  <si>
    <t>sraby@pamlicocc.edu</t>
  </si>
  <si>
    <t>Beverly Murphy</t>
  </si>
  <si>
    <t>336-322-2117</t>
  </si>
  <si>
    <t>Beverly.murphy@piedmontcc.edu</t>
  </si>
  <si>
    <t>Angela Peadan</t>
  </si>
  <si>
    <t>252-493-7257</t>
  </si>
  <si>
    <t>apeaden@email.pittcc.edu</t>
  </si>
  <si>
    <t>Cathy Biby</t>
  </si>
  <si>
    <t>336-625-5607</t>
  </si>
  <si>
    <t>cebiby@randolph.edu</t>
  </si>
  <si>
    <t>Debbie Cashwell</t>
  </si>
  <si>
    <t>910-410-1803</t>
  </si>
  <si>
    <t>dccashwell@richmondcc.edu</t>
  </si>
  <si>
    <t>Carrie Douglas</t>
  </si>
  <si>
    <t>252-862-1229</t>
  </si>
  <si>
    <t>carriedouglas8479@roanokechowan.edu</t>
  </si>
  <si>
    <t>Lettie Navarrete</t>
  </si>
  <si>
    <t>910-272-3552</t>
  </si>
  <si>
    <t>lnavarrete@robeson.edu</t>
  </si>
  <si>
    <t>Gloria Moore</t>
  </si>
  <si>
    <t>336-342-4261 x2186</t>
  </si>
  <si>
    <t>mooreg6174@rockinghamcc.edu</t>
  </si>
  <si>
    <t>Norma Brice</t>
  </si>
  <si>
    <t>704-216-7235</t>
  </si>
  <si>
    <t>Norma.brice@rccc.edu</t>
  </si>
  <si>
    <t>Kelly Jackson</t>
  </si>
  <si>
    <t>910-900-4060 x2012</t>
  </si>
  <si>
    <t>kjackson@sampsoncc.edu</t>
  </si>
  <si>
    <t>Katie du Pont</t>
  </si>
  <si>
    <t>910-246-4950</t>
  </si>
  <si>
    <t>dupontm@sandhills.edu</t>
  </si>
  <si>
    <t>Jennifer Ricketts</t>
  </si>
  <si>
    <t>704-272-5356</t>
  </si>
  <si>
    <t>jricketts2@spcc.edu</t>
  </si>
  <si>
    <t>Donna Turbeville</t>
  </si>
  <si>
    <t>910-788-6203</t>
  </si>
  <si>
    <t>donna.turbeville@sccnc.edu</t>
  </si>
  <si>
    <t>Carol Martin</t>
  </si>
  <si>
    <t>828-339-4473</t>
  </si>
  <si>
    <t>c_martin@southwesterncc.edu</t>
  </si>
  <si>
    <t>Kimberly Bradshaw</t>
  </si>
  <si>
    <t>704-991-0206</t>
  </si>
  <si>
    <t>kbradshaw9661@stanly.edu</t>
  </si>
  <si>
    <t>Tony Martin</t>
  </si>
  <si>
    <t>336-386-3222</t>
  </si>
  <si>
    <t>martint@surry.edu</t>
  </si>
  <si>
    <t>Bill Vespasian</t>
  </si>
  <si>
    <t>828-835-4211</t>
  </si>
  <si>
    <t>bvespasian@tricountycc.edu</t>
  </si>
  <si>
    <t>Lori Hirth</t>
  </si>
  <si>
    <t>252-738-3472</t>
  </si>
  <si>
    <t>hirthl@vgcc.edu</t>
  </si>
  <si>
    <t>Marla Tart</t>
  </si>
  <si>
    <t>919-866-5901</t>
  </si>
  <si>
    <t>mltart@waketech.edu</t>
  </si>
  <si>
    <t>Annette Woodard</t>
  </si>
  <si>
    <t>919-739-7098</t>
  </si>
  <si>
    <t>aswoodard@waynecc.edu</t>
  </si>
  <si>
    <t>Monica Arney</t>
  </si>
  <si>
    <t>828-448-3129</t>
  </si>
  <si>
    <t>marney@wpcc.edu</t>
  </si>
  <si>
    <t>Crystal Huffman</t>
  </si>
  <si>
    <t>336-838-6109</t>
  </si>
  <si>
    <t>cahuffman078@wilkescc.edu</t>
  </si>
  <si>
    <t>Jessica Jones</t>
  </si>
  <si>
    <t>252-246-1221</t>
  </si>
  <si>
    <t>jsjones@wilsoncc.edu</t>
  </si>
  <si>
    <t>none</t>
  </si>
  <si>
    <t>**    Type of Agency:</t>
  </si>
  <si>
    <t>Component Unit</t>
  </si>
  <si>
    <t>UNC System, major component unit</t>
  </si>
  <si>
    <t>Community College, major component unit</t>
  </si>
  <si>
    <t>Nonmajor</t>
  </si>
  <si>
    <t xml:space="preserve">Nonmajor component unit - see note below </t>
  </si>
  <si>
    <t>Accounting data included in the North Carolina Accounting System, and reporting from NCAS for Annual Report</t>
  </si>
  <si>
    <t>Full accounting data not in NCAS, so paper reporting for Annual Report; agency uses another accounting system</t>
  </si>
  <si>
    <t xml:space="preserve">Note:  All entities complete the NCASexcl package, except the Community Colleges </t>
  </si>
  <si>
    <r>
      <t xml:space="preserve">and the </t>
    </r>
    <r>
      <rPr>
        <u/>
        <sz val="12"/>
        <rFont val="Times New Roman"/>
        <family val="1"/>
      </rPr>
      <t>nonmajor</t>
    </r>
    <r>
      <rPr>
        <sz val="12"/>
        <rFont val="Times New Roman"/>
        <family val="1"/>
      </rPr>
      <t xml:space="preserve"> component units which have separate packages.</t>
    </r>
  </si>
  <si>
    <t>Contact Name</t>
  </si>
  <si>
    <t>Phone Number</t>
  </si>
  <si>
    <t>Email Address</t>
  </si>
  <si>
    <t>Kim Battle</t>
  </si>
  <si>
    <t>919-707-0521</t>
  </si>
  <si>
    <t>Kim.Battle@osc.nc.gov</t>
  </si>
  <si>
    <t>Ellen Burns</t>
  </si>
  <si>
    <t>919-707-0520</t>
  </si>
  <si>
    <t>Ellen.Burns@osc.nc.gov</t>
  </si>
  <si>
    <t>Joannie Burtoft</t>
  </si>
  <si>
    <t>919-707-0527</t>
  </si>
  <si>
    <t>Joannie.Burtoft@osc.nc.gov</t>
  </si>
  <si>
    <t>Patcha Kidking</t>
  </si>
  <si>
    <t>919-707-0525</t>
  </si>
  <si>
    <t>Patcha.Kidking@osc.nc.gov</t>
  </si>
  <si>
    <t>John Krellner</t>
  </si>
  <si>
    <t>919-707-0474</t>
  </si>
  <si>
    <t>John.Krellner@osc.nc.gov</t>
  </si>
  <si>
    <t>Ellen Rockefeller</t>
  </si>
  <si>
    <t>919-707-0528</t>
  </si>
  <si>
    <t>ellen.rockefeller@osc.nc.gov</t>
  </si>
  <si>
    <t>Virginia Sisson</t>
  </si>
  <si>
    <t>919-707-0530</t>
  </si>
  <si>
    <t>Virginia.Sisson@osc.nc.gov</t>
  </si>
  <si>
    <t>Joan Saucier</t>
  </si>
  <si>
    <t>919-707-0590</t>
  </si>
  <si>
    <t>Joan.Saucier@osc.nc.gov</t>
  </si>
  <si>
    <t>Yelena Zaytseva</t>
  </si>
  <si>
    <t>919-707-0575</t>
  </si>
  <si>
    <t>Yelena.Zaytseva@osc.nc.gov</t>
  </si>
  <si>
    <t>Dates</t>
  </si>
  <si>
    <t>Fiscal Year End</t>
  </si>
  <si>
    <t>Fiscal Year Begin</t>
  </si>
  <si>
    <t>Last Fiscal Year End</t>
  </si>
  <si>
    <t>Next Fiscal Year Begin</t>
  </si>
  <si>
    <t>Next Fiscal Year End</t>
  </si>
  <si>
    <t>Purpose/Directions  - For OSC use only:</t>
  </si>
  <si>
    <t>To update all dates in workbook, enter the above dates.  This Data</t>
  </si>
  <si>
    <t>tab is the starting point and source for all dates in the workbook.</t>
  </si>
  <si>
    <t>Error Code</t>
  </si>
  <si>
    <t>Error Key</t>
  </si>
  <si>
    <t>Indicator</t>
  </si>
  <si>
    <t>Page</t>
  </si>
  <si>
    <t>Message</t>
  </si>
  <si>
    <t>Invalid filename</t>
  </si>
  <si>
    <t>GASB number is blank.</t>
  </si>
  <si>
    <t>Decrease in CIP column does not net to zero.</t>
  </si>
  <si>
    <t>If capital lease payments are listed, then Section II must be completed.</t>
  </si>
  <si>
    <t>Compensated absences must have additions and deletions.</t>
  </si>
  <si>
    <t>Interest rate range is invalid.</t>
  </si>
  <si>
    <t>More than one type of payable has been selected.</t>
  </si>
  <si>
    <t>Original issue amount is blank.</t>
  </si>
  <si>
    <t>"From" interest rate is blank.</t>
  </si>
  <si>
    <t>"To" interest rate is blank.</t>
  </si>
  <si>
    <t>Final maturity date is blank.</t>
  </si>
  <si>
    <t>All questions have not been answered.</t>
  </si>
  <si>
    <t>Total Expendable and Nonexpendable amount does not match the total of the Restricted Net Position column.</t>
  </si>
  <si>
    <t>Worksheet is out of balance.</t>
  </si>
  <si>
    <t>One or more lines are incomplete.  See lines marked *.</t>
  </si>
  <si>
    <t>Invalid NCAS account number.  See lines marked *.</t>
  </si>
  <si>
    <t>Budget code is blank.</t>
  </si>
  <si>
    <t>Worksheet is incomplete.</t>
  </si>
  <si>
    <t>GASB name is blank.</t>
  </si>
  <si>
    <t>Column A does not equal Column F.  See lines marked *.</t>
  </si>
  <si>
    <t>Column A does not equal the sum of columns B, C, and D.  See lines marked *.</t>
  </si>
  <si>
    <t>Total investments does not equal Total per CAFR 11G/11P/11F.</t>
  </si>
  <si>
    <t>Narrative</t>
  </si>
  <si>
    <t>WS 431BTA dropdowns</t>
  </si>
  <si>
    <t>WS 420 dropdowns</t>
  </si>
  <si>
    <t>For 710, 720, 725 - top Other A &amp; B</t>
  </si>
  <si>
    <t>For 755 - Investments (excluding NAV) lines 45-47</t>
  </si>
  <si>
    <t>740 Investment Type</t>
  </si>
  <si>
    <t>740 Currency</t>
  </si>
  <si>
    <t>manually deleted ref error.</t>
  </si>
  <si>
    <t xml:space="preserve">Matrix Pricing (M1)  </t>
  </si>
  <si>
    <t>GARVEE</t>
  </si>
  <si>
    <t xml:space="preserve">Market Multiples (M2)  </t>
  </si>
  <si>
    <t>GASB Type</t>
  </si>
  <si>
    <t>COPS</t>
  </si>
  <si>
    <t xml:space="preserve">Present value using discounted cash flows (I1)  </t>
  </si>
  <si>
    <t>Fixed income collective investment funds</t>
  </si>
  <si>
    <t>Cash Surrender Value of Life Insurance_FV</t>
  </si>
  <si>
    <t>Australian Dollar</t>
  </si>
  <si>
    <t>Short Term Debt</t>
  </si>
  <si>
    <t xml:space="preserve">Options Pricing (I2)  </t>
  </si>
  <si>
    <t>Enterprise (25XX)</t>
  </si>
  <si>
    <t>Fixed Income ETFs</t>
  </si>
  <si>
    <t>Collection and Mineral Rights_FV</t>
  </si>
  <si>
    <t>Brazilian Real</t>
  </si>
  <si>
    <t xml:space="preserve">Multiperiod Excess Earnings (I3)  </t>
  </si>
  <si>
    <t>Pooled Cash</t>
  </si>
  <si>
    <t>Internal Service (27XX)</t>
  </si>
  <si>
    <t>Preferred Stock</t>
  </si>
  <si>
    <t>Canadian Dollar</t>
  </si>
  <si>
    <t xml:space="preserve">Relief-from-royalty method (I4)  </t>
  </si>
  <si>
    <t>Restricted Pooled Cash</t>
  </si>
  <si>
    <t>Component Units (26XX)</t>
  </si>
  <si>
    <t>Chinese Yuan Renminbi</t>
  </si>
  <si>
    <t>Environment and natural resources</t>
  </si>
  <si>
    <t xml:space="preserve">Depreciated replacement cost (C1)  </t>
  </si>
  <si>
    <t>NCSSM (4XXX)</t>
  </si>
  <si>
    <t>For 710 and 720 - bottom - for other C, D, E &amp; F</t>
  </si>
  <si>
    <t>Real estate investment trust_FV</t>
  </si>
  <si>
    <t>Danish Krone</t>
  </si>
  <si>
    <t>Public safety, corrections, and regulation</t>
  </si>
  <si>
    <t>Other-_____________</t>
  </si>
  <si>
    <t xml:space="preserve">Other </t>
  </si>
  <si>
    <t>Egyptian Pound</t>
  </si>
  <si>
    <t>Debt Service</t>
  </si>
  <si>
    <t>Securities Lending Collateral</t>
  </si>
  <si>
    <t>For 755 - Investments measured net asset value (NAV) lines 55-60</t>
  </si>
  <si>
    <t>Euro</t>
  </si>
  <si>
    <t>Accounts Receivable</t>
  </si>
  <si>
    <t>Hong Kong Dollar</t>
  </si>
  <si>
    <t>Highway construction/preservation</t>
  </si>
  <si>
    <t>Cash Surrender Value of Life Insurance_NAV</t>
  </si>
  <si>
    <t>Indian Rupee</t>
  </si>
  <si>
    <t>Highway maintenance</t>
  </si>
  <si>
    <t>Interest Receivable</t>
  </si>
  <si>
    <t>Indonesian Rupiah</t>
  </si>
  <si>
    <t>Premiums receivable</t>
  </si>
  <si>
    <t>Collection and Mineral Rights_NAV</t>
  </si>
  <si>
    <t>Israeli Shekel</t>
  </si>
  <si>
    <t>Capital projects/repairs and renovations</t>
  </si>
  <si>
    <t>Emerging Markets Equity</t>
  </si>
  <si>
    <t>Debt mutual funds_NAV</t>
  </si>
  <si>
    <t>Japanese Yen</t>
  </si>
  <si>
    <t>Equity collective inv trusts</t>
  </si>
  <si>
    <t>Malaysian Ringgit</t>
  </si>
  <si>
    <t>Committed:</t>
  </si>
  <si>
    <t>Hedge_commodity_debt collective inv trust</t>
  </si>
  <si>
    <t>Mexican Peso</t>
  </si>
  <si>
    <t>Debt service</t>
  </si>
  <si>
    <t>Master Limited Partnerships</t>
  </si>
  <si>
    <t>New Taiwan Dollar</t>
  </si>
  <si>
    <t>Short-term Inv Collective Trust</t>
  </si>
  <si>
    <t>New Zealand Dollar</t>
  </si>
  <si>
    <t>Unit Investment Trusts</t>
  </si>
  <si>
    <t>Norwegian Krone</t>
  </si>
  <si>
    <t>Public school capital projects/repairs &amp; renovations</t>
  </si>
  <si>
    <t>Other purposes</t>
  </si>
  <si>
    <t>Pooled debt funds_NAV</t>
  </si>
  <si>
    <t>Philippine Peso</t>
  </si>
  <si>
    <t>PPP asset receivable</t>
  </si>
  <si>
    <t>Polish Zloty</t>
  </si>
  <si>
    <t>Pound Sterling</t>
  </si>
  <si>
    <t>Non-current Assets</t>
  </si>
  <si>
    <t>WS 620 Revenue Captions</t>
  </si>
  <si>
    <t>Qatari Riyal</t>
  </si>
  <si>
    <t>Select Revenue Statement Caption (Click here)</t>
  </si>
  <si>
    <t>Singapore Dollar</t>
  </si>
  <si>
    <t>South African Rand</t>
  </si>
  <si>
    <t>UR_Corporate income tax</t>
  </si>
  <si>
    <t>South Korean Won</t>
  </si>
  <si>
    <t>UR_Estate tax</t>
  </si>
  <si>
    <t>Swedish Krona</t>
  </si>
  <si>
    <t>UR_Gift tax</t>
  </si>
  <si>
    <t>Swiss Franc</t>
  </si>
  <si>
    <t>UR_Manufacturing tax</t>
  </si>
  <si>
    <t>Thai Baht</t>
  </si>
  <si>
    <t>Disaster relief (OSC only)</t>
  </si>
  <si>
    <t>UR_Other taxes</t>
  </si>
  <si>
    <t>Turkish Lira</t>
  </si>
  <si>
    <t>Capital projects/Repairs and renovations</t>
  </si>
  <si>
    <t>UR_Privilege license tax</t>
  </si>
  <si>
    <t>UAE Dirham</t>
  </si>
  <si>
    <t>UR_Scrap tire disposal tax</t>
  </si>
  <si>
    <t>UR_Solid waste disposal tax</t>
  </si>
  <si>
    <t>UR_Unauthorized substance tax</t>
  </si>
  <si>
    <t>Current Liabilities</t>
  </si>
  <si>
    <t>UR_White goods disposal tax</t>
  </si>
  <si>
    <t>UR_Federal funds</t>
  </si>
  <si>
    <t>Accounts Payable</t>
  </si>
  <si>
    <t>UR_Interest earnings</t>
  </si>
  <si>
    <t>UR_Local funds</t>
  </si>
  <si>
    <t>UR_Fees licenses and fines</t>
  </si>
  <si>
    <t>Claims Payable</t>
  </si>
  <si>
    <t>UR_Miscellaneous revenue</t>
  </si>
  <si>
    <t>UR_Sales and services</t>
  </si>
  <si>
    <t>Notes Payable</t>
  </si>
  <si>
    <t>UR_Franchise tax</t>
  </si>
  <si>
    <t>UR_Motor fuels tax</t>
  </si>
  <si>
    <t>UR_Highway use tax</t>
  </si>
  <si>
    <t>UR_Insurance tax</t>
  </si>
  <si>
    <t>Subsequent year's budget (OSC only)</t>
  </si>
  <si>
    <t>Lease Payable</t>
  </si>
  <si>
    <t>UR_Reimbursements</t>
  </si>
  <si>
    <t>Subscription (SBITA) payable</t>
  </si>
  <si>
    <t>UR_Sales and use tax</t>
  </si>
  <si>
    <t>Bond &amp; similar debt payable</t>
  </si>
  <si>
    <t>UR_Tobacco products tax</t>
  </si>
  <si>
    <t>Accrued interest payable</t>
  </si>
  <si>
    <t>UR_Tobacco settlement</t>
  </si>
  <si>
    <t>Annuity &amp; life income payable</t>
  </si>
  <si>
    <t>Accrued vacation leave</t>
  </si>
  <si>
    <t>Non-current liabilities</t>
  </si>
  <si>
    <t>Advances from other funds</t>
  </si>
  <si>
    <t>Workers Compensation</t>
  </si>
  <si>
    <t>Subscription (SBITA) Payable</t>
  </si>
  <si>
    <t>Deferred outflows for pension</t>
  </si>
  <si>
    <t>Other deferred outflows of resources</t>
  </si>
  <si>
    <t>Deferred inflows for P3 arrangements</t>
  </si>
  <si>
    <t>Other deferred inflows of resources</t>
  </si>
  <si>
    <t>Peta-Gaye Shaw</t>
  </si>
  <si>
    <t>(919) 807-6036</t>
  </si>
  <si>
    <t>peta.shaw@ncdoi.gov</t>
  </si>
  <si>
    <t>2023 Agency  Name</t>
  </si>
  <si>
    <t>Ashley.Price@osc.nc.gov</t>
  </si>
  <si>
    <t>Beth Lane</t>
  </si>
  <si>
    <t>919-609-3421</t>
  </si>
  <si>
    <t>Beth.lane@nc.gov</t>
  </si>
  <si>
    <t>James Bullock</t>
  </si>
  <si>
    <t>james_bullock@ncbiotech.org</t>
  </si>
  <si>
    <t>Daniel Dryer</t>
  </si>
  <si>
    <t>(919) 228-8486</t>
  </si>
  <si>
    <t>Katie Condit-Jang</t>
  </si>
  <si>
    <t>conditjangkm@wssu.edu</t>
  </si>
  <si>
    <t>jason.cottle@wildlife.org</t>
  </si>
  <si>
    <t>Ann Anderson</t>
  </si>
  <si>
    <t>andersona@communitycolleges.edu</t>
  </si>
  <si>
    <t>Jarrett Bailey</t>
  </si>
  <si>
    <t>(336) 631-1247</t>
  </si>
  <si>
    <t>baileyj@uncsa.edu</t>
  </si>
  <si>
    <t>Update formula to pull beginning balance</t>
  </si>
  <si>
    <r>
      <t>File revision date:</t>
    </r>
    <r>
      <rPr>
        <b/>
        <sz val="9"/>
        <color rgb="FFFF0000"/>
        <rFont val="Calibri"/>
        <family val="2"/>
      </rPr>
      <t xml:space="preserve"> 5/5/2023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</si>
</sst>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_);\(#,##0\);&quot;-       &quot;"/>
    <numFmt numFmtId="165" formatCode="#,###\ ;\(#,###\)"/>
    <numFmt numFmtId="166" formatCode="#,###\ ;\(#,###\);@*."/>
    <numFmt numFmtId="167" formatCode="&quot;$&quot;* #,###\ ;&quot;$&quot;* \(#,###\);&quot;$&quot;* \-\ \ \ \ \ \ "/>
    <numFmt numFmtId="168" formatCode="* #,###\ ;* \(#,###\);* \-\ \ \ \ \ \ "/>
    <numFmt numFmtId="169" formatCode="#,###\ ;\(#,###\);\ \ @*."/>
    <numFmt numFmtId="170" formatCode="#,##0.00_);\(#,##0.00\);"/>
    <numFmt numFmtId="171" formatCode=";;"/>
    <numFmt numFmtId="172" formatCode="mmmm\ d\,\ yyyy"/>
    <numFmt numFmtId="173" formatCode="#,###\ ;\(#,###\);@"/>
    <numFmt numFmtId="174" formatCode="#,##0.00_);\(#,##0.00\);&quot;&quot;"/>
    <numFmt numFmtId="175" formatCode="[&lt;=9999999]###\-####;\(###\)\ ###\-####"/>
    <numFmt numFmtId="176" formatCode="#,##0.00_);\(#,##0.00\);;"/>
    <numFmt numFmtId="177" formatCode="&quot;$&quot;#,##0.00_);\(&quot;$&quot;#,##0.00\);;"/>
    <numFmt numFmtId="178" formatCode=";;;\ @*."/>
    <numFmt numFmtId="179" formatCode="#,##0_);\(#,##0\);;"/>
    <numFmt numFmtId="180" formatCode="#,##0.00_);\(#,##0.00\);\—\ \ \ \ \ \ "/>
    <numFmt numFmtId="181" formatCode="#,##0.00_);\(#,##0.00\);* \ \-\ \ \ \ \ "/>
    <numFmt numFmtId="182" formatCode="m/d/yyyy;@"/>
    <numFmt numFmtId="183" formatCode="#,###\ ;\(#,###\);\ \ \ \ @*."/>
    <numFmt numFmtId="184" formatCode="0.00%\ ;\(0.00\)%"/>
    <numFmt numFmtId="185" formatCode="&quot;$&quot;* #,##0.00_);&quot;$&quot;* \(#,##0.00\);&quot;$&quot;* \—\ \ \ \ \ \ "/>
    <numFmt numFmtId="186" formatCode="###0_);\(###0\);;"/>
    <numFmt numFmtId="187" formatCode="&quot;$&quot;#,##0\ ;\(&quot;$&quot;#,##0\);@*."/>
    <numFmt numFmtId="188" formatCode="* #,###\ ;* \(#,###\);* \—\ \ "/>
    <numFmt numFmtId="189" formatCode="[$-409]mmmm\ d\,\ yyyy;@"/>
    <numFmt numFmtId="190" formatCode="m/d/yy;@"/>
    <numFmt numFmtId="191" formatCode="0_);\(0\)"/>
    <numFmt numFmtId="192" formatCode="* #,###\ ;* \(#,###\);@*."/>
    <numFmt numFmtId="193" formatCode="0.00_);\(0.00\)"/>
    <numFmt numFmtId="194" formatCode="_([$$-409]* #,##0.00_);_([$$-409]* \(#,##0.00\);_([$$-409]* &quot;-&quot;??_);_(@_)"/>
    <numFmt numFmtId="195" formatCode="mm/dd/yy;@"/>
    <numFmt numFmtId="196" formatCode="&quot;$&quot;#,##0"/>
    <numFmt numFmtId="197" formatCode="#,##0.00_);\(#,##0.00\);&quot;-       &quot;"/>
    <numFmt numFmtId="198" formatCode="_(* #,##0_);_(* \(#,##0\);_(* &quot;-&quot;??_);_(@_)"/>
  </numFmts>
  <fonts count="301"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u/>
      <sz val="10"/>
      <name val="Arial"/>
      <family val="2"/>
    </font>
    <font>
      <sz val="12"/>
      <name val="Arial"/>
      <family val="2"/>
    </font>
    <font>
      <sz val="10"/>
      <name val="Arial"/>
      <family val="2"/>
    </font>
    <font>
      <sz val="10"/>
      <name val="MS Sans Serif"/>
      <family val="2"/>
    </font>
    <font>
      <b/>
      <sz val="12"/>
      <name val="Times New Roman"/>
      <family val="1"/>
    </font>
    <font>
      <sz val="12"/>
      <name val="Times New Roman"/>
      <family val="1"/>
    </font>
    <font>
      <b/>
      <sz val="9"/>
      <name val="Arial"/>
      <family val="2"/>
    </font>
    <font>
      <sz val="9"/>
      <name val="Arial"/>
      <family val="2"/>
    </font>
    <font>
      <b/>
      <sz val="10"/>
      <name val="Arial"/>
      <family val="2"/>
    </font>
    <font>
      <b/>
      <sz val="8"/>
      <name val="Arial"/>
      <family val="2"/>
    </font>
    <font>
      <sz val="8"/>
      <name val="Arial"/>
      <family val="2"/>
    </font>
    <font>
      <b/>
      <i/>
      <sz val="9"/>
      <name val="Arial"/>
      <family val="2"/>
    </font>
    <font>
      <sz val="9"/>
      <name val="Arial"/>
      <family val="2"/>
    </font>
    <font>
      <b/>
      <sz val="12"/>
      <name val="Book Antiqua"/>
      <family val="1"/>
    </font>
    <font>
      <sz val="14"/>
      <name val="Book Antiqua"/>
      <family val="1"/>
    </font>
    <font>
      <sz val="8"/>
      <name val="Arial"/>
      <family val="2"/>
    </font>
    <font>
      <b/>
      <u/>
      <sz val="9"/>
      <name val="Arial"/>
      <family val="2"/>
    </font>
    <font>
      <i/>
      <sz val="9"/>
      <name val="Arial"/>
      <family val="2"/>
    </font>
    <font>
      <sz val="12"/>
      <name val="Book Antiqua"/>
      <family val="1"/>
    </font>
    <font>
      <sz val="10"/>
      <name val="Book Antiqua"/>
      <family val="1"/>
    </font>
    <font>
      <sz val="9"/>
      <name val="Book Antiqua"/>
      <family val="1"/>
    </font>
    <font>
      <sz val="9.75"/>
      <name val="Arial"/>
      <family val="2"/>
    </font>
    <font>
      <i/>
      <sz val="10"/>
      <name val="Arial"/>
      <family val="2"/>
    </font>
    <font>
      <sz val="9.75"/>
      <name val="Helv"/>
    </font>
    <font>
      <b/>
      <sz val="9.75"/>
      <name val="Arial"/>
      <family val="2"/>
    </font>
    <font>
      <sz val="9"/>
      <name val="Arial Narrow"/>
      <family val="2"/>
    </font>
    <font>
      <b/>
      <sz val="9"/>
      <name val="Arial Narrow"/>
      <family val="2"/>
    </font>
    <font>
      <i/>
      <sz val="8"/>
      <name val="Arial"/>
      <family val="2"/>
    </font>
    <font>
      <b/>
      <sz val="10"/>
      <name val="Arial Narrow"/>
      <family val="2"/>
    </font>
    <font>
      <sz val="10"/>
      <name val="Helv"/>
    </font>
    <font>
      <b/>
      <i/>
      <sz val="10"/>
      <name val="Arial"/>
      <family val="2"/>
    </font>
    <font>
      <i/>
      <sz val="10"/>
      <name val="Arial"/>
      <family val="2"/>
    </font>
    <font>
      <b/>
      <sz val="16"/>
      <name val="Arial"/>
      <family val="2"/>
    </font>
    <font>
      <b/>
      <sz val="10"/>
      <color indexed="9"/>
      <name val="Arial"/>
      <family val="2"/>
    </font>
    <font>
      <sz val="10"/>
      <name val="Arial Narrow"/>
      <family val="2"/>
    </font>
    <font>
      <sz val="12"/>
      <name val="Helv"/>
    </font>
    <font>
      <sz val="8"/>
      <name val="Helv"/>
    </font>
    <font>
      <b/>
      <sz val="10"/>
      <name val="Helv"/>
    </font>
    <font>
      <u/>
      <sz val="10"/>
      <color indexed="12"/>
      <name val="Arial"/>
      <family val="2"/>
    </font>
    <font>
      <sz val="9.5"/>
      <name val="Arial"/>
      <family val="2"/>
    </font>
    <font>
      <sz val="12"/>
      <name val="Times New Roman"/>
      <family val="1"/>
    </font>
    <font>
      <b/>
      <sz val="12"/>
      <name val="Times New Roman"/>
      <family val="1"/>
    </font>
    <font>
      <b/>
      <u/>
      <sz val="12"/>
      <name val="Times New Roman"/>
      <family val="1"/>
    </font>
    <font>
      <b/>
      <sz val="10"/>
      <name val="Book Antiqua"/>
      <family val="1"/>
    </font>
    <font>
      <b/>
      <u val="singleAccounting"/>
      <sz val="10"/>
      <name val="Arial Narrow"/>
      <family val="2"/>
    </font>
    <font>
      <u/>
      <sz val="9"/>
      <name val="Arial"/>
      <family val="2"/>
    </font>
    <font>
      <i/>
      <u/>
      <sz val="10"/>
      <name val="Arial"/>
      <family val="2"/>
    </font>
    <font>
      <sz val="12"/>
      <name val="MS Sans Serif"/>
      <family val="2"/>
    </font>
    <font>
      <b/>
      <sz val="10"/>
      <name val="MS Sans Serif"/>
      <family val="2"/>
    </font>
    <font>
      <b/>
      <sz val="12"/>
      <name val="MS Sans Serif"/>
      <family val="2"/>
    </font>
    <font>
      <sz val="10"/>
      <color indexed="10"/>
      <name val="Arial"/>
      <family val="2"/>
    </font>
    <font>
      <b/>
      <i/>
      <u/>
      <sz val="10"/>
      <name val="Arial"/>
      <family val="2"/>
    </font>
    <font>
      <sz val="10"/>
      <name val="Arial"/>
      <family val="2"/>
    </font>
    <font>
      <b/>
      <sz val="10"/>
      <color indexed="18"/>
      <name val="Arial Narrow"/>
      <family val="2"/>
    </font>
    <font>
      <sz val="12"/>
      <name val="Arial"/>
      <family val="2"/>
    </font>
    <font>
      <b/>
      <sz val="10"/>
      <name val="Times New Roman"/>
      <family val="1"/>
    </font>
    <font>
      <sz val="10"/>
      <name val="Arial"/>
      <family val="2"/>
    </font>
    <font>
      <u/>
      <sz val="10"/>
      <name val="Arial"/>
      <family val="2"/>
    </font>
    <font>
      <sz val="8"/>
      <name val="Arial Narrow"/>
      <family val="2"/>
    </font>
    <font>
      <b/>
      <i/>
      <sz val="8"/>
      <name val="Arial"/>
      <family val="2"/>
    </font>
    <font>
      <b/>
      <sz val="11"/>
      <name val="Arial"/>
      <family val="2"/>
    </font>
    <font>
      <b/>
      <sz val="7"/>
      <name val="Arial"/>
      <family val="2"/>
    </font>
    <font>
      <sz val="10"/>
      <name val="Times New Roman"/>
      <family val="1"/>
    </font>
    <font>
      <sz val="8.5"/>
      <name val="Helv"/>
    </font>
    <font>
      <b/>
      <u/>
      <sz val="12"/>
      <name val="Arial"/>
      <family val="2"/>
    </font>
    <font>
      <b/>
      <sz val="12"/>
      <color indexed="12"/>
      <name val="Arial"/>
      <family val="2"/>
    </font>
    <font>
      <b/>
      <sz val="8"/>
      <name val="Arial Narrow"/>
      <family val="2"/>
    </font>
    <font>
      <i/>
      <sz val="8"/>
      <name val="Arial Narrow"/>
      <family val="2"/>
    </font>
    <font>
      <b/>
      <u/>
      <sz val="8"/>
      <name val="Arial"/>
      <family val="2"/>
    </font>
    <font>
      <b/>
      <u/>
      <sz val="8"/>
      <name val="Arial Narrow"/>
      <family val="2"/>
    </font>
    <font>
      <b/>
      <i/>
      <sz val="9"/>
      <name val="Arial Narrow"/>
      <family val="2"/>
    </font>
    <font>
      <vertAlign val="superscript"/>
      <sz val="8"/>
      <name val="Arial"/>
      <family val="2"/>
    </font>
    <font>
      <b/>
      <sz val="6"/>
      <name val="Arial"/>
      <family val="2"/>
    </font>
    <font>
      <sz val="7"/>
      <name val="Arial"/>
      <family val="2"/>
    </font>
    <font>
      <vertAlign val="superscript"/>
      <sz val="10"/>
      <name val="Arial"/>
      <family val="2"/>
    </font>
    <font>
      <vertAlign val="superscript"/>
      <sz val="9"/>
      <name val="Arial"/>
      <family val="2"/>
    </font>
    <font>
      <b/>
      <vertAlign val="superscript"/>
      <sz val="9"/>
      <name val="Arial"/>
      <family val="2"/>
    </font>
    <font>
      <sz val="10"/>
      <color indexed="12"/>
      <name val="Arial"/>
      <family val="2"/>
    </font>
    <font>
      <b/>
      <sz val="10"/>
      <color indexed="32"/>
      <name val="Arial Narrow"/>
      <family val="2"/>
    </font>
    <font>
      <b/>
      <sz val="10"/>
      <color indexed="9"/>
      <name val="Arial Narrow"/>
      <family val="2"/>
    </font>
    <font>
      <sz val="8"/>
      <color indexed="18"/>
      <name val="Arial Narrow"/>
      <family val="2"/>
    </font>
    <font>
      <sz val="8"/>
      <color indexed="10"/>
      <name val="Arial"/>
      <family val="2"/>
    </font>
    <font>
      <sz val="20"/>
      <color indexed="10"/>
      <name val="Arial"/>
      <family val="2"/>
    </font>
    <font>
      <b/>
      <sz val="8.5"/>
      <name val="Arial"/>
      <family val="2"/>
    </font>
    <font>
      <sz val="18"/>
      <color indexed="10"/>
      <name val="Arial"/>
      <family val="2"/>
    </font>
    <font>
      <i/>
      <sz val="12"/>
      <name val="Arial"/>
      <family val="2"/>
    </font>
    <font>
      <sz val="8"/>
      <name val="Times New Roman"/>
      <family val="1"/>
    </font>
    <font>
      <sz val="10"/>
      <color indexed="22"/>
      <name val="Arial"/>
      <family val="2"/>
    </font>
    <font>
      <sz val="9"/>
      <color indexed="10"/>
      <name val="Arial"/>
      <family val="2"/>
    </font>
    <font>
      <sz val="8"/>
      <name val="Arial"/>
      <family val="2"/>
    </font>
    <font>
      <sz val="10"/>
      <color indexed="14"/>
      <name val="Arial"/>
      <family val="2"/>
    </font>
    <font>
      <b/>
      <sz val="10"/>
      <color indexed="12"/>
      <name val="Arial"/>
      <family val="2"/>
    </font>
    <font>
      <sz val="12"/>
      <color indexed="10"/>
      <name val="Arial"/>
      <family val="2"/>
    </font>
    <font>
      <sz val="11"/>
      <name val="Times New Roman"/>
      <family val="1"/>
    </font>
    <font>
      <sz val="10"/>
      <color indexed="8"/>
      <name val="Arial"/>
      <family val="2"/>
    </font>
    <font>
      <b/>
      <sz val="9.5"/>
      <name val="Arial"/>
      <family val="2"/>
    </font>
    <font>
      <sz val="9"/>
      <color indexed="14"/>
      <name val="Arial"/>
      <family val="2"/>
    </font>
    <font>
      <u/>
      <sz val="10"/>
      <color indexed="12"/>
      <name val="Arial"/>
      <family val="2"/>
    </font>
    <font>
      <sz val="10"/>
      <name val="MS Sans Serif"/>
      <family val="2"/>
    </font>
    <font>
      <b/>
      <sz val="18"/>
      <name val="MS Sans Serif"/>
      <family val="2"/>
    </font>
    <font>
      <sz val="12"/>
      <name val="MS Sans Serif"/>
      <family val="2"/>
    </font>
    <font>
      <b/>
      <sz val="9"/>
      <name val="MS Sans Serif"/>
      <family val="2"/>
    </font>
    <font>
      <sz val="8"/>
      <name val="Arial"/>
      <family val="2"/>
    </font>
    <font>
      <b/>
      <i/>
      <sz val="9.5"/>
      <name val="Arial"/>
      <family val="2"/>
    </font>
    <font>
      <b/>
      <i/>
      <u/>
      <sz val="9.5"/>
      <name val="Arial"/>
      <family val="2"/>
    </font>
    <font>
      <u/>
      <sz val="12"/>
      <name val="Arial"/>
      <family val="2"/>
    </font>
    <font>
      <b/>
      <sz val="9"/>
      <color indexed="9"/>
      <name val="Arial"/>
      <family val="2"/>
    </font>
    <font>
      <sz val="10"/>
      <name val="Arial"/>
      <family val="2"/>
    </font>
    <font>
      <sz val="12"/>
      <name val="Arial Narrow"/>
      <family val="2"/>
    </font>
    <font>
      <b/>
      <i/>
      <sz val="10"/>
      <name val="Arial Narrow"/>
      <family val="2"/>
    </font>
    <font>
      <b/>
      <sz val="14"/>
      <name val="Calibri"/>
      <family val="2"/>
    </font>
    <font>
      <sz val="9"/>
      <name val="Times New Roman"/>
      <family val="1"/>
    </font>
    <font>
      <u/>
      <sz val="8"/>
      <name val="Arial"/>
      <family val="2"/>
    </font>
    <font>
      <u/>
      <sz val="7"/>
      <name val="Arial"/>
      <family val="2"/>
    </font>
    <font>
      <b/>
      <sz val="14"/>
      <name val="Arial"/>
      <family val="2"/>
    </font>
    <font>
      <vertAlign val="superscript"/>
      <sz val="11"/>
      <name val="Arial"/>
      <family val="2"/>
    </font>
    <font>
      <u/>
      <sz val="10.5"/>
      <name val="Times New Roman"/>
      <family val="1"/>
    </font>
    <font>
      <sz val="10.5"/>
      <name val="Times New Roman"/>
      <family val="1"/>
    </font>
    <font>
      <b/>
      <sz val="10.5"/>
      <name val="Times New Roman"/>
      <family val="1"/>
    </font>
    <font>
      <sz val="10.5"/>
      <name val="Arial"/>
      <family val="2"/>
    </font>
    <font>
      <u/>
      <sz val="9.75"/>
      <name val="Arial"/>
      <family val="2"/>
    </font>
    <font>
      <b/>
      <u/>
      <sz val="9.75"/>
      <name val="Arial"/>
      <family val="2"/>
    </font>
    <font>
      <b/>
      <sz val="10"/>
      <color indexed="10"/>
      <name val="Arial"/>
      <family val="2"/>
    </font>
    <font>
      <sz val="8"/>
      <color indexed="81"/>
      <name val="Tahoma"/>
      <family val="2"/>
    </font>
    <font>
      <b/>
      <sz val="8"/>
      <color indexed="81"/>
      <name val="Tahoma"/>
      <family val="2"/>
    </font>
    <font>
      <sz val="9.75"/>
      <name val="Arial Narrow"/>
      <family val="2"/>
    </font>
    <font>
      <u/>
      <sz val="12"/>
      <name val="Times New Roman"/>
      <family val="1"/>
    </font>
    <font>
      <sz val="9"/>
      <color indexed="81"/>
      <name val="Tahoma"/>
      <family val="2"/>
    </font>
    <font>
      <i/>
      <sz val="10"/>
      <name val="Arial Narrow"/>
      <family val="2"/>
    </font>
    <font>
      <b/>
      <u/>
      <sz val="10.5"/>
      <name val="Times New Roman"/>
      <family val="1"/>
    </font>
    <font>
      <b/>
      <u/>
      <sz val="10"/>
      <name val="Arial Narrow"/>
      <family val="2"/>
    </font>
    <font>
      <sz val="7"/>
      <color indexed="81"/>
      <name val="Tahoma"/>
      <family val="2"/>
    </font>
    <font>
      <sz val="11"/>
      <name val="Calibri"/>
      <family val="2"/>
    </font>
    <font>
      <sz val="12"/>
      <name val="Calibri"/>
      <family val="2"/>
    </font>
    <font>
      <b/>
      <sz val="8"/>
      <name val="Calibri"/>
      <family val="2"/>
    </font>
    <font>
      <vertAlign val="superscript"/>
      <sz val="10"/>
      <color indexed="8"/>
      <name val="Arial"/>
      <family val="2"/>
    </font>
    <font>
      <sz val="10"/>
      <name val="Calibri"/>
      <family val="2"/>
    </font>
    <font>
      <b/>
      <sz val="8"/>
      <color indexed="18"/>
      <name val="Arial Narrow"/>
      <family val="2"/>
    </font>
    <font>
      <sz val="8.5"/>
      <name val="Arial"/>
      <family val="2"/>
    </font>
    <font>
      <sz val="8"/>
      <name val="Arial"/>
      <family val="2"/>
    </font>
    <font>
      <b/>
      <u/>
      <sz val="9"/>
      <name val="Arial Narrow"/>
      <family val="2"/>
    </font>
    <font>
      <sz val="11"/>
      <color indexed="8"/>
      <name val="Calibri"/>
      <family val="2"/>
    </font>
    <font>
      <b/>
      <u/>
      <sz val="11"/>
      <color indexed="8"/>
      <name val="Calibri"/>
      <family val="2"/>
    </font>
    <font>
      <b/>
      <sz val="9"/>
      <color indexed="81"/>
      <name val="Tahoma"/>
      <family val="2"/>
    </font>
    <font>
      <b/>
      <u/>
      <sz val="10"/>
      <color indexed="12"/>
      <name val="Arial"/>
      <family val="2"/>
    </font>
    <font>
      <b/>
      <sz val="10"/>
      <color indexed="8"/>
      <name val="Arial"/>
      <family val="2"/>
    </font>
    <font>
      <b/>
      <i/>
      <sz val="10"/>
      <color indexed="10"/>
      <name val="Arial"/>
      <family val="2"/>
    </font>
    <font>
      <b/>
      <u/>
      <sz val="8.5"/>
      <name val="Arial"/>
      <family val="2"/>
    </font>
    <font>
      <sz val="11"/>
      <color indexed="8"/>
      <name val="Calibri"/>
      <family val="2"/>
    </font>
    <font>
      <b/>
      <sz val="11"/>
      <color indexed="8"/>
      <name val="Calibri"/>
      <family val="2"/>
    </font>
    <font>
      <sz val="8"/>
      <color indexed="14"/>
      <name val="Arial"/>
      <family val="2"/>
    </font>
    <font>
      <sz val="10"/>
      <color indexed="8"/>
      <name val="Arial"/>
      <family val="2"/>
    </font>
    <font>
      <sz val="9"/>
      <color indexed="8"/>
      <name val="Arial Narrow"/>
      <family val="2"/>
    </font>
    <font>
      <b/>
      <u/>
      <sz val="10"/>
      <color indexed="8"/>
      <name val="Arial"/>
      <family val="2"/>
    </font>
    <font>
      <sz val="10"/>
      <color indexed="8"/>
      <name val="Calibri"/>
      <family val="2"/>
    </font>
    <font>
      <sz val="8"/>
      <color indexed="36"/>
      <name val="Arial"/>
      <family val="2"/>
    </font>
    <font>
      <i/>
      <sz val="8"/>
      <color indexed="36"/>
      <name val="Arial"/>
      <family val="2"/>
    </font>
    <font>
      <sz val="9"/>
      <color indexed="8"/>
      <name val="Arial"/>
      <family val="2"/>
    </font>
    <font>
      <sz val="10"/>
      <color indexed="8"/>
      <name val="Arial Narrow"/>
      <family val="2"/>
    </font>
    <font>
      <b/>
      <u/>
      <sz val="10"/>
      <color indexed="14"/>
      <name val="Arial"/>
      <family val="2"/>
    </font>
    <font>
      <sz val="10"/>
      <color indexed="30"/>
      <name val="Arial"/>
      <family val="2"/>
    </font>
    <font>
      <b/>
      <i/>
      <sz val="8"/>
      <color indexed="36"/>
      <name val="Arial"/>
      <family val="2"/>
    </font>
    <font>
      <sz val="11"/>
      <color indexed="16"/>
      <name val="Calibri"/>
      <family val="2"/>
    </font>
    <font>
      <sz val="11"/>
      <name val="Calibri"/>
      <family val="2"/>
    </font>
    <font>
      <b/>
      <sz val="11"/>
      <color indexed="10"/>
      <name val="Calibri"/>
      <family val="2"/>
    </font>
    <font>
      <b/>
      <u/>
      <sz val="11"/>
      <name val="Calibri"/>
      <family val="2"/>
    </font>
    <font>
      <sz val="11"/>
      <color indexed="10"/>
      <name val="Calibri"/>
      <family val="2"/>
    </font>
    <font>
      <sz val="11"/>
      <color indexed="12"/>
      <name val="Calibri"/>
      <family val="2"/>
    </font>
    <font>
      <u/>
      <sz val="11"/>
      <name val="Calibri"/>
      <family val="2"/>
    </font>
    <font>
      <b/>
      <sz val="11"/>
      <name val="Calibri"/>
      <family val="2"/>
    </font>
    <font>
      <sz val="8"/>
      <color indexed="9"/>
      <name val="Arial"/>
      <family val="2"/>
    </font>
    <font>
      <sz val="9"/>
      <color indexed="9"/>
      <name val="Arial"/>
      <family val="2"/>
    </font>
    <font>
      <b/>
      <sz val="8"/>
      <color indexed="10"/>
      <name val="Arial"/>
      <family val="2"/>
    </font>
    <font>
      <b/>
      <sz val="11"/>
      <color indexed="16"/>
      <name val="Calibri"/>
      <family val="2"/>
    </font>
    <font>
      <sz val="8"/>
      <name val="Calibri"/>
      <family val="2"/>
    </font>
    <font>
      <sz val="10.5"/>
      <name val="Calibri"/>
      <family val="2"/>
    </font>
    <font>
      <b/>
      <sz val="12"/>
      <name val="Calibri"/>
      <family val="2"/>
    </font>
    <font>
      <sz val="10.5"/>
      <color indexed="10"/>
      <name val="Calibri"/>
      <family val="2"/>
    </font>
    <font>
      <b/>
      <sz val="10.5"/>
      <name val="Calibri"/>
      <family val="2"/>
    </font>
    <font>
      <sz val="10.5"/>
      <color indexed="12"/>
      <name val="Calibri"/>
      <family val="2"/>
    </font>
    <font>
      <i/>
      <sz val="14"/>
      <color indexed="8"/>
      <name val="Arial Narrow"/>
      <family val="2"/>
    </font>
    <font>
      <sz val="9"/>
      <color indexed="12"/>
      <name val="Arial"/>
      <family val="2"/>
    </font>
    <font>
      <i/>
      <sz val="10"/>
      <color indexed="8"/>
      <name val="Arial Narrow"/>
      <family val="2"/>
    </font>
    <font>
      <u/>
      <sz val="10"/>
      <name val="Calibri"/>
      <family val="2"/>
    </font>
    <font>
      <sz val="12"/>
      <color indexed="14"/>
      <name val="Times New Roman"/>
      <family val="1"/>
    </font>
    <font>
      <sz val="8"/>
      <color indexed="28"/>
      <name val="Arial"/>
      <family val="2"/>
    </font>
    <font>
      <b/>
      <sz val="10"/>
      <color indexed="30"/>
      <name val="Arial"/>
      <family val="2"/>
    </font>
    <font>
      <b/>
      <sz val="11"/>
      <color indexed="8"/>
      <name val="Arial Narrow"/>
      <family val="2"/>
    </font>
    <font>
      <b/>
      <sz val="14"/>
      <color indexed="8"/>
      <name val="Arial"/>
      <family val="2"/>
    </font>
    <font>
      <b/>
      <sz val="12"/>
      <color indexed="10"/>
      <name val="Arial"/>
      <family val="2"/>
    </font>
    <font>
      <i/>
      <sz val="10"/>
      <color indexed="8"/>
      <name val="Calibri"/>
      <family val="2"/>
    </font>
    <font>
      <sz val="10"/>
      <color indexed="16"/>
      <name val="Arial"/>
      <family val="2"/>
    </font>
    <font>
      <sz val="8"/>
      <color indexed="16"/>
      <name val="Arial Narrow"/>
      <family val="2"/>
    </font>
    <font>
      <b/>
      <sz val="9"/>
      <color indexed="16"/>
      <name val="Arial Narrow"/>
      <family val="2"/>
    </font>
    <font>
      <b/>
      <sz val="12"/>
      <color indexed="16"/>
      <name val="Arial"/>
      <family val="2"/>
    </font>
    <font>
      <b/>
      <u/>
      <sz val="8"/>
      <color indexed="16"/>
      <name val="Arial Narrow"/>
      <family val="2"/>
    </font>
    <font>
      <b/>
      <sz val="9"/>
      <color indexed="16"/>
      <name val="Arial"/>
      <family val="2"/>
    </font>
    <font>
      <b/>
      <sz val="10"/>
      <color indexed="16"/>
      <name val="Arial"/>
      <family val="2"/>
    </font>
    <font>
      <b/>
      <sz val="9"/>
      <name val="Calibri"/>
      <family val="2"/>
    </font>
    <font>
      <sz val="10"/>
      <color indexed="12"/>
      <name val="Calibri"/>
      <family val="2"/>
    </font>
    <font>
      <sz val="8"/>
      <color indexed="8"/>
      <name val="Arial Narrow"/>
      <family val="2"/>
    </font>
    <font>
      <sz val="10.75"/>
      <color indexed="8"/>
      <name val="Arial Narrow"/>
      <family val="2"/>
    </font>
    <font>
      <i/>
      <sz val="9"/>
      <color indexed="8"/>
      <name val="Arial Narrow"/>
      <family val="2"/>
    </font>
    <font>
      <b/>
      <sz val="14"/>
      <name val="Times New Roman"/>
      <family val="1"/>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FF0000"/>
      <name val="Arial"/>
      <family val="2"/>
    </font>
    <font>
      <sz val="10"/>
      <color rgb="FF0070C0"/>
      <name val="Arial"/>
      <family val="2"/>
    </font>
    <font>
      <sz val="12"/>
      <color rgb="FF000000"/>
      <name val="Times New Roman"/>
      <family val="1"/>
    </font>
    <font>
      <sz val="10"/>
      <color theme="1"/>
      <name val="Calibri"/>
      <family val="2"/>
      <scheme val="minor"/>
    </font>
    <font>
      <sz val="11"/>
      <color indexed="12"/>
      <name val="Calibri"/>
      <family val="2"/>
      <scheme val="minor"/>
    </font>
    <font>
      <b/>
      <sz val="12"/>
      <color rgb="FF0066FF"/>
      <name val="Arial"/>
      <family val="2"/>
    </font>
    <font>
      <b/>
      <sz val="12"/>
      <color theme="1"/>
      <name val="Arial"/>
      <family val="2"/>
    </font>
    <font>
      <b/>
      <sz val="10"/>
      <color theme="0"/>
      <name val="Arial"/>
      <family val="2"/>
    </font>
    <font>
      <sz val="10"/>
      <color indexed="10"/>
      <name val="MS Sans Serif"/>
      <family val="2"/>
    </font>
    <font>
      <b/>
      <u/>
      <sz val="12"/>
      <name val="Calibri"/>
      <family val="2"/>
    </font>
    <font>
      <sz val="12"/>
      <color rgb="FFFF0000"/>
      <name val="Times New Roman"/>
      <family val="1"/>
    </font>
    <font>
      <b/>
      <sz val="10"/>
      <color rgb="FFFF0000"/>
      <name val="Arial"/>
      <family val="2"/>
    </font>
    <font>
      <i/>
      <sz val="10"/>
      <name val="MS Sans Serif"/>
    </font>
    <font>
      <sz val="10.5"/>
      <color rgb="FF3366FF"/>
      <name val="Calibri"/>
      <family val="2"/>
    </font>
    <font>
      <sz val="10"/>
      <color theme="1"/>
      <name val="Arial"/>
      <family val="2"/>
    </font>
    <font>
      <sz val="12"/>
      <color theme="1"/>
      <name val="Arial"/>
      <family val="2"/>
    </font>
    <font>
      <b/>
      <sz val="10"/>
      <color theme="1"/>
      <name val="Arial"/>
      <family val="2"/>
    </font>
    <font>
      <b/>
      <i/>
      <u/>
      <sz val="12"/>
      <name val="Arial"/>
      <family val="2"/>
    </font>
    <font>
      <b/>
      <sz val="10"/>
      <name val="MS Sans Serif"/>
    </font>
    <font>
      <b/>
      <sz val="10"/>
      <color rgb="FF0000FF"/>
      <name val="Arial"/>
      <family val="2"/>
    </font>
    <font>
      <u/>
      <sz val="10"/>
      <color theme="1"/>
      <name val="Arial"/>
      <family val="2"/>
    </font>
    <font>
      <u/>
      <sz val="10"/>
      <color theme="1"/>
      <name val="Calibri"/>
      <family val="2"/>
      <scheme val="minor"/>
    </font>
    <font>
      <b/>
      <sz val="12"/>
      <color rgb="FFFF0000"/>
      <name val="Arial"/>
      <family val="2"/>
    </font>
    <font>
      <sz val="11"/>
      <color rgb="FF0000FF"/>
      <name val="Calibri"/>
      <family val="2"/>
    </font>
    <font>
      <sz val="8"/>
      <name val="Times New Roman"/>
      <family val="2"/>
    </font>
    <font>
      <sz val="10.5"/>
      <color rgb="FFFF0000"/>
      <name val="Times New Roman"/>
      <family val="1"/>
    </font>
    <font>
      <b/>
      <sz val="9"/>
      <color rgb="FFFF0000"/>
      <name val="Calibri"/>
      <family val="2"/>
    </font>
    <font>
      <sz val="10"/>
      <color theme="0"/>
      <name val="Arial"/>
      <family val="2"/>
    </font>
    <font>
      <sz val="10"/>
      <color rgb="FF3366FF"/>
      <name val="Arial"/>
      <family val="2"/>
    </font>
    <font>
      <b/>
      <sz val="10"/>
      <color rgb="FF3366FF"/>
      <name val="Arial Narrow"/>
      <family val="2"/>
    </font>
    <font>
      <sz val="14"/>
      <color rgb="FF3366FF"/>
      <name val="Book Antiqua"/>
      <family val="1"/>
    </font>
    <font>
      <sz val="8"/>
      <color rgb="FF3366FF"/>
      <name val="Arial"/>
      <family val="2"/>
    </font>
    <font>
      <sz val="12"/>
      <color rgb="FF3366FF"/>
      <name val="Book Antiqua"/>
      <family val="1"/>
    </font>
    <font>
      <sz val="10"/>
      <color rgb="FF3366FF"/>
      <name val="Arial Narrow"/>
      <family val="2"/>
    </font>
    <font>
      <sz val="12"/>
      <color rgb="FF0066FF"/>
      <name val="Book Antiqua"/>
      <family val="1"/>
    </font>
    <font>
      <sz val="8"/>
      <color rgb="FF0066FF"/>
      <name val="Arial"/>
      <family val="2"/>
    </font>
    <font>
      <sz val="10"/>
      <color rgb="FF0066FF"/>
      <name val="Arial"/>
      <family val="2"/>
    </font>
    <font>
      <sz val="9.75"/>
      <color rgb="FF3366FF"/>
      <name val="Arial"/>
      <family val="2"/>
    </font>
    <font>
      <b/>
      <sz val="10"/>
      <color rgb="FF3366FF"/>
      <name val="Arial"/>
      <family val="2"/>
    </font>
    <font>
      <sz val="10"/>
      <color rgb="FF0000FF"/>
      <name val="Arial"/>
      <family val="2"/>
    </font>
    <font>
      <sz val="12"/>
      <color rgb="FF3366FF"/>
      <name val="Arial"/>
      <family val="2"/>
    </font>
    <font>
      <sz val="12"/>
      <color rgb="FF0000FF"/>
      <name val="Book Antiqua"/>
      <family val="1"/>
    </font>
    <font>
      <sz val="11"/>
      <color rgb="FF0000FF"/>
      <name val="Calibri"/>
      <family val="2"/>
      <scheme val="minor"/>
    </font>
    <font>
      <sz val="11"/>
      <color rgb="FF0066FF"/>
      <name val="Calibri"/>
      <family val="2"/>
      <scheme val="minor"/>
    </font>
    <font>
      <sz val="8"/>
      <color rgb="FF3366FF"/>
      <name val="Arial Narrow"/>
      <family val="2"/>
    </font>
    <font>
      <sz val="9"/>
      <color rgb="FF0000FF"/>
      <name val="Arial"/>
      <family val="2"/>
    </font>
    <font>
      <sz val="9"/>
      <color rgb="FF0066FF"/>
      <name val="Arial"/>
      <family val="2"/>
    </font>
    <font>
      <b/>
      <sz val="12"/>
      <color rgb="FF0066FF"/>
      <name val="Book Antiqua"/>
      <family val="1"/>
    </font>
    <font>
      <u/>
      <sz val="8"/>
      <color rgb="FF0066FF"/>
      <name val="Arial"/>
      <family val="2"/>
    </font>
    <font>
      <sz val="12"/>
      <color rgb="FF0000FF"/>
      <name val="Arial"/>
      <family val="2"/>
    </font>
    <font>
      <sz val="10"/>
      <name val="Tahoma"/>
      <family val="2"/>
    </font>
    <font>
      <b/>
      <sz val="10"/>
      <name val="Tahoma"/>
      <family val="2"/>
    </font>
    <font>
      <b/>
      <sz val="9"/>
      <color rgb="FFFF0000"/>
      <name val="Arial"/>
      <family val="2"/>
    </font>
    <font>
      <b/>
      <u/>
      <sz val="10"/>
      <color theme="1"/>
      <name val="Arial"/>
      <family val="2"/>
    </font>
    <font>
      <b/>
      <i/>
      <sz val="10"/>
      <color rgb="FFFF0000"/>
      <name val="Arial"/>
      <family val="2"/>
    </font>
    <font>
      <i/>
      <sz val="10"/>
      <color rgb="FF3366FF"/>
      <name val="Arial"/>
      <family val="2"/>
    </font>
    <font>
      <b/>
      <sz val="10"/>
      <color theme="1"/>
      <name val="Calibri"/>
      <family val="2"/>
      <scheme val="minor"/>
    </font>
    <font>
      <sz val="11"/>
      <color rgb="FF444444"/>
      <name val="Arial"/>
      <family val="2"/>
    </font>
    <font>
      <b/>
      <i/>
      <sz val="9"/>
      <color rgb="FFFF0000"/>
      <name val="Tahoma"/>
      <family val="2"/>
    </font>
    <font>
      <b/>
      <sz val="8"/>
      <color rgb="FFFF0000"/>
      <name val="Arial"/>
      <family val="2"/>
    </font>
    <font>
      <sz val="11"/>
      <color rgb="FF000000"/>
      <name val="Cambria"/>
      <family val="1"/>
    </font>
    <font>
      <u/>
      <sz val="11"/>
      <color rgb="FF0563C1"/>
      <name val="Calibri"/>
      <family val="2"/>
    </font>
    <font>
      <sz val="11"/>
      <color rgb="FF000000"/>
      <name val="Calibri"/>
      <family val="2"/>
    </font>
    <font>
      <b/>
      <sz val="11"/>
      <color rgb="FF000000"/>
      <name val="Arial"/>
      <family val="2"/>
    </font>
    <font>
      <b/>
      <sz val="10"/>
      <color rgb="FF0000FF"/>
      <name val="MS Sans Serif"/>
      <family val="2"/>
    </font>
    <font>
      <sz val="8"/>
      <color rgb="FFFF0000"/>
      <name val="Arial"/>
      <family val="2"/>
    </font>
    <font>
      <sz val="9"/>
      <name val="Segoe UI"/>
      <family val="2"/>
    </font>
    <font>
      <sz val="11"/>
      <color rgb="FFFF0000"/>
      <name val="Calibri"/>
      <family val="2"/>
    </font>
    <font>
      <sz val="10"/>
      <color rgb="FF00B050"/>
      <name val="Arial"/>
      <family val="2"/>
    </font>
    <font>
      <sz val="22"/>
      <color indexed="10"/>
      <name val="Arial"/>
      <family val="2"/>
    </font>
    <font>
      <sz val="10"/>
      <color theme="4" tint="-0.249977111117893"/>
      <name val="Arial"/>
      <family val="2"/>
    </font>
    <font>
      <sz val="10"/>
      <color theme="9" tint="-0.249977111117893"/>
      <name val="Arial"/>
      <family val="2"/>
    </font>
  </fonts>
  <fills count="67">
    <fill>
      <patternFill patternType="none"/>
    </fill>
    <fill>
      <patternFill patternType="gray125"/>
    </fill>
    <fill>
      <patternFill patternType="solid">
        <fgColor indexed="10"/>
        <bgColor indexed="64"/>
      </patternFill>
    </fill>
    <fill>
      <patternFill patternType="lightTrellis"/>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56"/>
        <bgColor indexed="64"/>
      </patternFill>
    </fill>
    <fill>
      <patternFill patternType="solid">
        <fgColor indexed="14"/>
        <bgColor indexed="64"/>
      </patternFill>
    </fill>
    <fill>
      <patternFill patternType="solid">
        <fgColor indexed="50"/>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2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rgb="FFCCCCFF"/>
        <bgColor indexed="64"/>
      </patternFill>
    </fill>
    <fill>
      <patternFill patternType="solid">
        <fgColor rgb="FF92D05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D6D6D6"/>
        <bgColor indexed="64"/>
      </patternFill>
    </fill>
    <fill>
      <patternFill patternType="solid">
        <fgColor theme="6" tint="0.39997558519241921"/>
        <bgColor indexed="64"/>
      </patternFill>
    </fill>
  </fills>
  <borders count="62">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ck">
        <color indexed="64"/>
      </bottom>
      <diagonal/>
    </border>
    <border>
      <left/>
      <right/>
      <top style="thin">
        <color indexed="64"/>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184">
    <xf numFmtId="0" fontId="0" fillId="0" borderId="0"/>
    <xf numFmtId="0" fontId="211" fillId="21" borderId="0" applyNumberFormat="0" applyBorder="0" applyAlignment="0" applyProtection="0"/>
    <xf numFmtId="0" fontId="211" fillId="22" borderId="0" applyNumberFormat="0" applyBorder="0" applyAlignment="0" applyProtection="0"/>
    <xf numFmtId="0" fontId="211" fillId="23" borderId="0" applyNumberFormat="0" applyBorder="0" applyAlignment="0" applyProtection="0"/>
    <xf numFmtId="0" fontId="211" fillId="24" borderId="0" applyNumberFormat="0" applyBorder="0" applyAlignment="0" applyProtection="0"/>
    <xf numFmtId="0" fontId="211" fillId="25" borderId="0" applyNumberFormat="0" applyBorder="0" applyAlignment="0" applyProtection="0"/>
    <xf numFmtId="0" fontId="211" fillId="26" borderId="0" applyNumberFormat="0" applyBorder="0" applyAlignment="0" applyProtection="0"/>
    <xf numFmtId="0" fontId="211" fillId="27" borderId="0" applyNumberFormat="0" applyBorder="0" applyAlignment="0" applyProtection="0"/>
    <xf numFmtId="0" fontId="211" fillId="28" borderId="0" applyNumberFormat="0" applyBorder="0" applyAlignment="0" applyProtection="0"/>
    <xf numFmtId="0" fontId="211" fillId="29" borderId="0" applyNumberFormat="0" applyBorder="0" applyAlignment="0" applyProtection="0"/>
    <xf numFmtId="0" fontId="211" fillId="30" borderId="0" applyNumberFormat="0" applyBorder="0" applyAlignment="0" applyProtection="0"/>
    <xf numFmtId="0" fontId="211" fillId="31" borderId="0" applyNumberFormat="0" applyBorder="0" applyAlignment="0" applyProtection="0"/>
    <xf numFmtId="0" fontId="211" fillId="32" borderId="0" applyNumberFormat="0" applyBorder="0" applyAlignment="0" applyProtection="0"/>
    <xf numFmtId="0" fontId="212" fillId="33" borderId="0" applyNumberFormat="0" applyBorder="0" applyAlignment="0" applyProtection="0"/>
    <xf numFmtId="0" fontId="212" fillId="34" borderId="0" applyNumberFormat="0" applyBorder="0" applyAlignment="0" applyProtection="0"/>
    <xf numFmtId="0" fontId="212" fillId="35" borderId="0" applyNumberFormat="0" applyBorder="0" applyAlignment="0" applyProtection="0"/>
    <xf numFmtId="0" fontId="212" fillId="36" borderId="0" applyNumberFormat="0" applyBorder="0" applyAlignment="0" applyProtection="0"/>
    <xf numFmtId="0" fontId="212" fillId="37" borderId="0" applyNumberFormat="0" applyBorder="0" applyAlignment="0" applyProtection="0"/>
    <xf numFmtId="0" fontId="212" fillId="38" borderId="0" applyNumberFormat="0" applyBorder="0" applyAlignment="0" applyProtection="0"/>
    <xf numFmtId="0" fontId="212" fillId="39" borderId="0" applyNumberFormat="0" applyBorder="0" applyAlignment="0" applyProtection="0"/>
    <xf numFmtId="0" fontId="212" fillId="40" borderId="0" applyNumberFormat="0" applyBorder="0" applyAlignment="0" applyProtection="0"/>
    <xf numFmtId="0" fontId="212" fillId="41" borderId="0" applyNumberFormat="0" applyBorder="0" applyAlignment="0" applyProtection="0"/>
    <xf numFmtId="0" fontId="212" fillId="42" borderId="0" applyNumberFormat="0" applyBorder="0" applyAlignment="0" applyProtection="0"/>
    <xf numFmtId="0" fontId="212" fillId="43" borderId="0" applyNumberFormat="0" applyBorder="0" applyAlignment="0" applyProtection="0"/>
    <xf numFmtId="0" fontId="212" fillId="44" borderId="0" applyNumberFormat="0" applyBorder="0" applyAlignment="0" applyProtection="0"/>
    <xf numFmtId="0" fontId="213" fillId="45" borderId="0" applyNumberFormat="0" applyBorder="0" applyAlignment="0" applyProtection="0"/>
    <xf numFmtId="0" fontId="214" fillId="46" borderId="50" applyNumberFormat="0" applyAlignment="0" applyProtection="0"/>
    <xf numFmtId="187" fontId="13" fillId="0" borderId="0"/>
    <xf numFmtId="0" fontId="215" fillId="47" borderId="5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9" fillId="0" borderId="0" applyFont="0" applyFill="0" applyBorder="0" applyAlignment="0" applyProtection="0"/>
    <xf numFmtId="40"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35" fillId="0" borderId="0" applyFont="0" applyFill="0" applyBorder="0" applyAlignment="0" applyProtection="0"/>
    <xf numFmtId="0" fontId="37" fillId="0" borderId="1">
      <alignment horizontal="right"/>
      <protection locked="0"/>
    </xf>
    <xf numFmtId="0" fontId="28" fillId="0" borderId="1">
      <alignment horizontal="right"/>
      <protection locked="0"/>
    </xf>
    <xf numFmtId="0" fontId="28" fillId="0" borderId="1">
      <alignment horizontal="right"/>
      <protection locked="0"/>
    </xf>
    <xf numFmtId="0" fontId="216" fillId="0" borderId="0" applyNumberFormat="0" applyFill="0" applyBorder="0" applyAlignment="0" applyProtection="0"/>
    <xf numFmtId="0" fontId="217" fillId="48" borderId="0" applyNumberFormat="0" applyBorder="0" applyAlignment="0" applyProtection="0"/>
    <xf numFmtId="0" fontId="218" fillId="0" borderId="52" applyNumberFormat="0" applyFill="0" applyAlignment="0" applyProtection="0"/>
    <xf numFmtId="0" fontId="219" fillId="0" borderId="53" applyNumberFormat="0" applyFill="0" applyAlignment="0" applyProtection="0"/>
    <xf numFmtId="0" fontId="220" fillId="0" borderId="54" applyNumberFormat="0" applyFill="0" applyAlignment="0" applyProtection="0"/>
    <xf numFmtId="0" fontId="220" fillId="0" borderId="0" applyNumberFormat="0" applyFill="0" applyBorder="0" applyAlignment="0" applyProtection="0"/>
    <xf numFmtId="0" fontId="11" fillId="0" borderId="2">
      <protection locked="0"/>
    </xf>
    <xf numFmtId="0" fontId="24" fillId="0" borderId="2" applyBorder="0">
      <protection locked="0"/>
    </xf>
    <xf numFmtId="0" fontId="10" fillId="0" borderId="0">
      <protection locked="0"/>
    </xf>
    <xf numFmtId="0" fontId="19" fillId="0" borderId="0">
      <protection locked="0"/>
    </xf>
    <xf numFmtId="15" fontId="13" fillId="0" borderId="1" applyNumberFormat="0">
      <protection locked="0"/>
    </xf>
    <xf numFmtId="0" fontId="44" fillId="0" borderId="0" applyNumberFormat="0" applyFon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1" fillId="0" borderId="0" applyNumberFormat="0" applyFill="0" applyBorder="0" applyAlignment="0" applyProtection="0">
      <alignment vertical="top"/>
      <protection locked="0"/>
    </xf>
    <xf numFmtId="0" fontId="222" fillId="49" borderId="50" applyNumberFormat="0" applyAlignment="0" applyProtection="0"/>
    <xf numFmtId="0" fontId="223" fillId="0" borderId="55" applyNumberFormat="0" applyFill="0" applyAlignment="0" applyProtection="0"/>
    <xf numFmtId="0" fontId="224" fillId="50" borderId="0" applyNumberFormat="0" applyBorder="0" applyAlignment="0" applyProtection="0"/>
    <xf numFmtId="165" fontId="108" fillId="0" borderId="0">
      <protection locked="0"/>
    </xf>
    <xf numFmtId="165" fontId="16" fillId="0" borderId="0">
      <protection locked="0"/>
    </xf>
    <xf numFmtId="0" fontId="9" fillId="0" borderId="0"/>
    <xf numFmtId="165" fontId="16" fillId="0" borderId="0">
      <protection locked="0"/>
    </xf>
    <xf numFmtId="0" fontId="211" fillId="0" borderId="0"/>
    <xf numFmtId="0" fontId="211" fillId="0" borderId="0"/>
    <xf numFmtId="0" fontId="9" fillId="0" borderId="0"/>
    <xf numFmtId="0" fontId="3" fillId="0" borderId="0"/>
    <xf numFmtId="0" fontId="3" fillId="0" borderId="0"/>
    <xf numFmtId="0" fontId="8" fillId="0" borderId="0"/>
    <xf numFmtId="0" fontId="3" fillId="0" borderId="0"/>
    <xf numFmtId="0" fontId="3" fillId="0" borderId="0"/>
    <xf numFmtId="168" fontId="16" fillId="0" borderId="0">
      <protection locked="0"/>
    </xf>
    <xf numFmtId="168" fontId="145" fillId="0" borderId="0">
      <protection locked="0"/>
    </xf>
    <xf numFmtId="168" fontId="16" fillId="0" borderId="0">
      <protection locked="0"/>
    </xf>
    <xf numFmtId="0" fontId="3" fillId="0" borderId="0"/>
    <xf numFmtId="0" fontId="29" fillId="0" borderId="0"/>
    <xf numFmtId="168" fontId="16" fillId="0" borderId="0">
      <protection locked="0"/>
    </xf>
    <xf numFmtId="168" fontId="16" fillId="0" borderId="0">
      <protection locked="0"/>
    </xf>
    <xf numFmtId="0" fontId="11" fillId="0" borderId="0"/>
    <xf numFmtId="168" fontId="16" fillId="0" borderId="0">
      <protection locked="0"/>
    </xf>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13" fillId="0" borderId="0"/>
    <xf numFmtId="0" fontId="3" fillId="0" borderId="0"/>
    <xf numFmtId="0" fontId="3" fillId="0" borderId="0"/>
    <xf numFmtId="0" fontId="13" fillId="0" borderId="0"/>
    <xf numFmtId="0" fontId="13" fillId="0" borderId="0"/>
    <xf numFmtId="0" fontId="45" fillId="0" borderId="0"/>
    <xf numFmtId="0" fontId="9" fillId="0" borderId="0"/>
    <xf numFmtId="0" fontId="13" fillId="0" borderId="0"/>
    <xf numFmtId="0" fontId="9" fillId="0" borderId="0"/>
    <xf numFmtId="0" fontId="9" fillId="0" borderId="0"/>
    <xf numFmtId="0" fontId="9" fillId="0" borderId="0"/>
    <xf numFmtId="0" fontId="104" fillId="0" borderId="0"/>
    <xf numFmtId="0" fontId="9" fillId="0" borderId="0"/>
    <xf numFmtId="0" fontId="9" fillId="0" borderId="0"/>
    <xf numFmtId="0" fontId="9" fillId="0" borderId="0"/>
    <xf numFmtId="0" fontId="13" fillId="0" borderId="0"/>
    <xf numFmtId="0" fontId="13" fillId="0" borderId="0"/>
    <xf numFmtId="0" fontId="9" fillId="0" borderId="0"/>
    <xf numFmtId="0" fontId="104" fillId="0" borderId="0"/>
    <xf numFmtId="0" fontId="3" fillId="0" borderId="0"/>
    <xf numFmtId="0" fontId="16" fillId="0" borderId="0">
      <protection locked="0"/>
    </xf>
    <xf numFmtId="0" fontId="3" fillId="0" borderId="0"/>
    <xf numFmtId="0" fontId="154" fillId="51" borderId="56" applyNumberFormat="0" applyFont="0" applyAlignment="0" applyProtection="0"/>
    <xf numFmtId="167" fontId="16" fillId="0" borderId="0">
      <protection locked="0"/>
    </xf>
    <xf numFmtId="168" fontId="16" fillId="0" borderId="0">
      <protection locked="0"/>
    </xf>
    <xf numFmtId="0" fontId="16" fillId="0" borderId="0">
      <protection locked="0"/>
    </xf>
    <xf numFmtId="167" fontId="16" fillId="0" borderId="3">
      <protection locked="0"/>
    </xf>
    <xf numFmtId="168" fontId="16" fillId="0" borderId="4">
      <protection locked="0"/>
    </xf>
    <xf numFmtId="181" fontId="16" fillId="0" borderId="0"/>
    <xf numFmtId="181" fontId="16" fillId="0" borderId="3"/>
    <xf numFmtId="181" fontId="16" fillId="0" borderId="4"/>
    <xf numFmtId="0" fontId="225" fillId="46" borderId="57"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26" fillId="0" borderId="0" applyNumberFormat="0" applyFill="0" applyBorder="0" applyAlignment="0" applyProtection="0"/>
    <xf numFmtId="0" fontId="227" fillId="0" borderId="58" applyNumberFormat="0" applyFill="0" applyAlignment="0" applyProtection="0"/>
    <xf numFmtId="0" fontId="228" fillId="0" borderId="0" applyNumberFormat="0" applyFill="0" applyBorder="0" applyAlignment="0" applyProtection="0"/>
    <xf numFmtId="168" fontId="16" fillId="0" borderId="0">
      <protection locked="0"/>
    </xf>
    <xf numFmtId="0" fontId="9" fillId="0" borderId="0"/>
    <xf numFmtId="0" fontId="9" fillId="0" borderId="0"/>
    <xf numFmtId="0" fontId="9" fillId="0" borderId="0"/>
    <xf numFmtId="0" fontId="9" fillId="0" borderId="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3" fontId="147" fillId="0" borderId="0" applyFont="0" applyFill="0" applyBorder="0" applyAlignment="0" applyProtection="0"/>
    <xf numFmtId="0" fontId="2" fillId="0" borderId="0"/>
    <xf numFmtId="0" fontId="2" fillId="0" borderId="0"/>
    <xf numFmtId="0" fontId="147" fillId="51" borderId="56"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cellStyleXfs>
  <cellXfs count="3035">
    <xf numFmtId="0" fontId="0" fillId="0" borderId="0" xfId="0"/>
    <xf numFmtId="0" fontId="5" fillId="0" borderId="0" xfId="0" applyFont="1"/>
    <xf numFmtId="0" fontId="6" fillId="0" borderId="0" xfId="0" applyFont="1"/>
    <xf numFmtId="164" fontId="4" fillId="0" borderId="2" xfId="0" applyNumberFormat="1" applyFont="1" applyBorder="1" applyAlignment="1">
      <alignment horizontal="center"/>
    </xf>
    <xf numFmtId="0" fontId="27" fillId="0" borderId="0" xfId="101" applyFont="1"/>
    <xf numFmtId="0" fontId="27" fillId="0" borderId="0" xfId="101" applyFont="1" applyAlignment="1">
      <alignment horizontal="right"/>
    </xf>
    <xf numFmtId="40" fontId="27" fillId="0" borderId="0" xfId="39" applyFont="1"/>
    <xf numFmtId="0" fontId="27" fillId="0" borderId="0" xfId="98" applyFont="1"/>
    <xf numFmtId="40" fontId="27" fillId="0" borderId="0" xfId="38" applyFont="1"/>
    <xf numFmtId="0" fontId="38" fillId="0" borderId="0" xfId="0" applyFont="1"/>
    <xf numFmtId="0" fontId="8" fillId="0" borderId="0" xfId="0" applyFont="1"/>
    <xf numFmtId="0" fontId="28" fillId="0" borderId="0" xfId="0" applyFont="1"/>
    <xf numFmtId="0" fontId="24" fillId="0" borderId="0" xfId="88" applyFont="1"/>
    <xf numFmtId="0" fontId="26" fillId="0" borderId="0" xfId="88" applyFont="1"/>
    <xf numFmtId="0" fontId="24" fillId="0" borderId="0" xfId="88" applyFont="1" applyAlignment="1">
      <alignment horizontal="centerContinuous"/>
    </xf>
    <xf numFmtId="0" fontId="16" fillId="0" borderId="0" xfId="88" applyFont="1"/>
    <xf numFmtId="0" fontId="41" fillId="0" borderId="0" xfId="81" applyFont="1"/>
    <xf numFmtId="0" fontId="42" fillId="0" borderId="0" xfId="81" applyFont="1"/>
    <xf numFmtId="0" fontId="35" fillId="0" borderId="0" xfId="81" applyFont="1"/>
    <xf numFmtId="0" fontId="35" fillId="0" borderId="0" xfId="81" applyFont="1" applyAlignment="1">
      <alignment horizontal="right"/>
    </xf>
    <xf numFmtId="0" fontId="18" fillId="0" borderId="0" xfId="0" applyFont="1"/>
    <xf numFmtId="164" fontId="5" fillId="0" borderId="0" xfId="0" applyNumberFormat="1" applyFont="1" applyAlignment="1">
      <alignment horizontal="center" shrinkToFit="1"/>
    </xf>
    <xf numFmtId="164" fontId="4" fillId="0" borderId="0" xfId="100" applyNumberFormat="1" applyFont="1" applyAlignment="1">
      <alignment horizontal="centerContinuous"/>
    </xf>
    <xf numFmtId="164" fontId="4" fillId="0" borderId="0" xfId="97" applyNumberFormat="1" applyFont="1" applyAlignment="1">
      <alignment horizontal="centerContinuous"/>
    </xf>
    <xf numFmtId="0" fontId="3" fillId="0" borderId="0" xfId="100"/>
    <xf numFmtId="164" fontId="7" fillId="0" borderId="0" xfId="100" applyNumberFormat="1" applyFont="1"/>
    <xf numFmtId="164" fontId="4" fillId="0" borderId="2" xfId="100" applyNumberFormat="1" applyFont="1" applyBorder="1" applyAlignment="1">
      <alignment horizontal="center"/>
    </xf>
    <xf numFmtId="0" fontId="3" fillId="0" borderId="0" xfId="95" applyFont="1"/>
    <xf numFmtId="0" fontId="16" fillId="0" borderId="0" xfId="89" applyFont="1"/>
    <xf numFmtId="0" fontId="24" fillId="0" borderId="0" xfId="89" applyFont="1"/>
    <xf numFmtId="0" fontId="26" fillId="0" borderId="0" xfId="89" applyFont="1"/>
    <xf numFmtId="0" fontId="27" fillId="0" borderId="0" xfId="86" applyFont="1"/>
    <xf numFmtId="0" fontId="21" fillId="0" borderId="0" xfId="0" applyFont="1"/>
    <xf numFmtId="0" fontId="53" fillId="0" borderId="0" xfId="107" applyFont="1"/>
    <xf numFmtId="0" fontId="3" fillId="0" borderId="0" xfId="107" applyFont="1" applyAlignment="1">
      <alignment horizontal="left"/>
    </xf>
    <xf numFmtId="0" fontId="3" fillId="0" borderId="0" xfId="107" applyFont="1" applyAlignment="1">
      <alignment horizontal="right"/>
    </xf>
    <xf numFmtId="0" fontId="3" fillId="0" borderId="2" xfId="107" applyFont="1" applyBorder="1"/>
    <xf numFmtId="0" fontId="3" fillId="0" borderId="2" xfId="107" applyFont="1" applyBorder="1" applyAlignment="1">
      <alignment horizontal="right"/>
    </xf>
    <xf numFmtId="0" fontId="55" fillId="0" borderId="0" xfId="107" applyFont="1" applyAlignment="1">
      <alignment horizontal="center"/>
    </xf>
    <xf numFmtId="0" fontId="55" fillId="0" borderId="0" xfId="107" applyFont="1"/>
    <xf numFmtId="0" fontId="53" fillId="0" borderId="0" xfId="110" applyFont="1"/>
    <xf numFmtId="0" fontId="55" fillId="0" borderId="0" xfId="110" applyFont="1" applyAlignment="1">
      <alignment horizontal="center"/>
    </xf>
    <xf numFmtId="0" fontId="55" fillId="0" borderId="0" xfId="110" applyFont="1"/>
    <xf numFmtId="0" fontId="53" fillId="0" borderId="0" xfId="112" applyFont="1"/>
    <xf numFmtId="0" fontId="9" fillId="0" borderId="0" xfId="112"/>
    <xf numFmtId="0" fontId="55" fillId="0" borderId="0" xfId="112" applyFont="1"/>
    <xf numFmtId="0" fontId="3" fillId="0" borderId="0" xfId="113" applyFont="1"/>
    <xf numFmtId="0" fontId="13" fillId="0" borderId="0" xfId="113"/>
    <xf numFmtId="0" fontId="9" fillId="0" borderId="0" xfId="115"/>
    <xf numFmtId="0" fontId="4" fillId="0" borderId="0" xfId="122" applyNumberFormat="1" applyFont="1" applyAlignment="1" applyProtection="1">
      <alignment horizontal="center" wrapText="1"/>
    </xf>
    <xf numFmtId="0" fontId="53" fillId="0" borderId="0" xfId="115" applyFont="1"/>
    <xf numFmtId="0" fontId="38" fillId="0" borderId="0" xfId="115" applyFont="1"/>
    <xf numFmtId="164" fontId="4" fillId="0" borderId="0" xfId="115" applyNumberFormat="1" applyFont="1" applyAlignment="1">
      <alignment horizontal="center"/>
    </xf>
    <xf numFmtId="0" fontId="9" fillId="0" borderId="0" xfId="115" applyAlignment="1">
      <alignment horizontal="center" shrinkToFit="1"/>
    </xf>
    <xf numFmtId="164" fontId="7" fillId="0" borderId="0" xfId="115" applyNumberFormat="1" applyFont="1"/>
    <xf numFmtId="164" fontId="4" fillId="0" borderId="2" xfId="115" applyNumberFormat="1" applyFont="1" applyBorder="1" applyAlignment="1">
      <alignment horizontal="center"/>
    </xf>
    <xf numFmtId="168" fontId="20" fillId="0" borderId="0" xfId="82" applyFont="1" applyProtection="1"/>
    <xf numFmtId="168" fontId="49" fillId="0" borderId="0" xfId="82" applyFont="1" applyProtection="1"/>
    <xf numFmtId="168" fontId="20" fillId="0" borderId="0" xfId="82" applyFont="1" applyAlignment="1" applyProtection="1">
      <alignment horizontal="centerContinuous"/>
    </xf>
    <xf numFmtId="168" fontId="49" fillId="0" borderId="0" xfId="82" applyFont="1" applyAlignment="1" applyProtection="1">
      <alignment horizontal="centerContinuous"/>
    </xf>
    <xf numFmtId="168" fontId="16" fillId="0" borderId="0" xfId="82" applyProtection="1"/>
    <xf numFmtId="168" fontId="8" fillId="0" borderId="0" xfId="82" applyFont="1" applyProtection="1"/>
    <xf numFmtId="168" fontId="34" fillId="0" borderId="0" xfId="82" applyFont="1" applyAlignment="1" applyProtection="1">
      <alignment horizontal="center"/>
    </xf>
    <xf numFmtId="168" fontId="34" fillId="0" borderId="5" xfId="82" applyFont="1" applyBorder="1" applyAlignment="1" applyProtection="1">
      <alignment horizontal="center"/>
    </xf>
    <xf numFmtId="168" fontId="34" fillId="0" borderId="0" xfId="82" applyFont="1" applyAlignment="1" applyProtection="1">
      <alignment horizontal="center" wrapText="1"/>
    </xf>
    <xf numFmtId="168" fontId="34" fillId="0" borderId="6" xfId="82" applyFont="1" applyBorder="1" applyAlignment="1" applyProtection="1">
      <alignment horizontal="center"/>
    </xf>
    <xf numFmtId="168" fontId="34" fillId="0" borderId="1" xfId="82" applyFont="1" applyBorder="1" applyAlignment="1" applyProtection="1">
      <alignment horizontal="center"/>
    </xf>
    <xf numFmtId="172" fontId="34" fillId="0" borderId="7" xfId="82" applyNumberFormat="1" applyFont="1" applyBorder="1" applyAlignment="1" applyProtection="1">
      <alignment horizontal="center"/>
    </xf>
    <xf numFmtId="168" fontId="34" fillId="0" borderId="7" xfId="82" applyFont="1" applyBorder="1" applyAlignment="1" applyProtection="1">
      <alignment horizontal="center"/>
    </xf>
    <xf numFmtId="180" fontId="59" fillId="0" borderId="0" xfId="127" applyNumberFormat="1" applyFont="1" applyBorder="1" applyAlignment="1">
      <alignment horizontal="center"/>
    </xf>
    <xf numFmtId="168" fontId="5" fillId="0" borderId="0" xfId="82" applyFont="1" applyProtection="1"/>
    <xf numFmtId="0" fontId="24" fillId="0" borderId="0" xfId="86" applyFont="1"/>
    <xf numFmtId="0" fontId="24" fillId="0" borderId="0" xfId="86" applyFont="1" applyAlignment="1">
      <alignment horizontal="centerContinuous"/>
    </xf>
    <xf numFmtId="0" fontId="5" fillId="0" borderId="0" xfId="86" applyFont="1" applyAlignment="1">
      <alignment horizontal="center"/>
    </xf>
    <xf numFmtId="0" fontId="5" fillId="0" borderId="0" xfId="0" applyFont="1" applyAlignment="1">
      <alignment horizontal="left"/>
    </xf>
    <xf numFmtId="0" fontId="8" fillId="0" borderId="0" xfId="88" applyFont="1"/>
    <xf numFmtId="172" fontId="5" fillId="0" borderId="1" xfId="0" applyNumberFormat="1" applyFont="1" applyBorder="1" applyAlignment="1">
      <alignment horizontal="center"/>
    </xf>
    <xf numFmtId="0" fontId="6" fillId="0" borderId="0" xfId="0" applyFont="1" applyAlignment="1">
      <alignment horizontal="left"/>
    </xf>
    <xf numFmtId="0" fontId="58" fillId="0" borderId="0" xfId="0" applyFont="1"/>
    <xf numFmtId="0" fontId="61" fillId="0" borderId="0" xfId="90" applyFont="1" applyAlignment="1">
      <alignment horizontal="centerContinuous"/>
    </xf>
    <xf numFmtId="0" fontId="60" fillId="0" borderId="0" xfId="0" applyFont="1"/>
    <xf numFmtId="0" fontId="3" fillId="0" borderId="0" xfId="90" applyFont="1"/>
    <xf numFmtId="0" fontId="62" fillId="0" borderId="0" xfId="0" applyFont="1"/>
    <xf numFmtId="164" fontId="5" fillId="0" borderId="1" xfId="0" applyNumberFormat="1" applyFont="1" applyBorder="1" applyAlignment="1">
      <alignment horizontal="center"/>
    </xf>
    <xf numFmtId="0" fontId="35" fillId="0" borderId="2" xfId="81" applyFont="1" applyBorder="1"/>
    <xf numFmtId="164" fontId="5" fillId="0" borderId="0" xfId="0" applyNumberFormat="1" applyFont="1" applyAlignment="1">
      <alignment horizontal="center"/>
    </xf>
    <xf numFmtId="0" fontId="58" fillId="0" borderId="0" xfId="95" applyFont="1"/>
    <xf numFmtId="0" fontId="5" fillId="0" borderId="0" xfId="95" applyFont="1" applyAlignment="1">
      <alignment horizontal="centerContinuous"/>
    </xf>
    <xf numFmtId="0" fontId="7" fillId="0" borderId="0" xfId="0" applyFont="1"/>
    <xf numFmtId="0" fontId="8" fillId="0" borderId="0" xfId="89" applyFont="1"/>
    <xf numFmtId="0" fontId="5" fillId="0" borderId="0" xfId="89" applyFont="1" applyAlignment="1">
      <alignment horizontal="center"/>
    </xf>
    <xf numFmtId="164" fontId="5" fillId="0" borderId="0" xfId="100" applyNumberFormat="1" applyFont="1"/>
    <xf numFmtId="164" fontId="5" fillId="0" borderId="0" xfId="100" applyNumberFormat="1" applyFont="1" applyAlignment="1">
      <alignment horizontal="centerContinuous"/>
    </xf>
    <xf numFmtId="0" fontId="7" fillId="0" borderId="0" xfId="98" applyFont="1"/>
    <xf numFmtId="0" fontId="3" fillId="0" borderId="0" xfId="98" applyFont="1"/>
    <xf numFmtId="0" fontId="37" fillId="0" borderId="0" xfId="98" applyFont="1"/>
    <xf numFmtId="0" fontId="27" fillId="0" borderId="2" xfId="101" applyFont="1" applyBorder="1"/>
    <xf numFmtId="0" fontId="16" fillId="0" borderId="0" xfId="101" applyFont="1"/>
    <xf numFmtId="0" fontId="19" fillId="0" borderId="0" xfId="107" applyFont="1" applyAlignment="1">
      <alignment horizontal="centerContinuous"/>
    </xf>
    <xf numFmtId="0" fontId="24" fillId="0" borderId="0" xfId="107" applyFont="1" applyAlignment="1">
      <alignment horizontal="centerContinuous"/>
    </xf>
    <xf numFmtId="0" fontId="7" fillId="0" borderId="0" xfId="107" applyFont="1"/>
    <xf numFmtId="0" fontId="3" fillId="0" borderId="0" xfId="107" applyFont="1" applyAlignment="1">
      <alignment horizontal="center" shrinkToFit="1"/>
    </xf>
    <xf numFmtId="0" fontId="5" fillId="0" borderId="0" xfId="108" applyFont="1" applyAlignment="1">
      <alignment horizontal="center"/>
    </xf>
    <xf numFmtId="0" fontId="5" fillId="0" borderId="0" xfId="107" applyFont="1" applyAlignment="1">
      <alignment horizontal="center"/>
    </xf>
    <xf numFmtId="0" fontId="8" fillId="0" borderId="0" xfId="107" applyFont="1"/>
    <xf numFmtId="0" fontId="5" fillId="0" borderId="0" xfId="107" applyFont="1" applyAlignment="1">
      <alignment horizontal="centerContinuous"/>
    </xf>
    <xf numFmtId="0" fontId="5" fillId="0" borderId="0" xfId="107" applyFont="1"/>
    <xf numFmtId="0" fontId="5" fillId="0" borderId="2" xfId="107" applyFont="1" applyBorder="1" applyAlignment="1">
      <alignment horizontal="center"/>
    </xf>
    <xf numFmtId="0" fontId="7" fillId="0" borderId="0" xfId="110" applyFont="1"/>
    <xf numFmtId="0" fontId="8" fillId="0" borderId="0" xfId="110" applyFont="1"/>
    <xf numFmtId="0" fontId="5" fillId="0" borderId="0" xfId="110" applyFont="1" applyAlignment="1">
      <alignment horizontal="center"/>
    </xf>
    <xf numFmtId="0" fontId="5" fillId="0" borderId="0" xfId="110" applyFont="1" applyAlignment="1">
      <alignment horizontal="centerContinuous"/>
    </xf>
    <xf numFmtId="0" fontId="5" fillId="0" borderId="2" xfId="110" applyFont="1" applyBorder="1" applyAlignment="1">
      <alignment horizontal="center"/>
    </xf>
    <xf numFmtId="0" fontId="7" fillId="0" borderId="0" xfId="112" applyFont="1"/>
    <xf numFmtId="0" fontId="8" fillId="0" borderId="0" xfId="112" applyFont="1"/>
    <xf numFmtId="0" fontId="7" fillId="0" borderId="0" xfId="113" applyFont="1"/>
    <xf numFmtId="0" fontId="5" fillId="0" borderId="0" xfId="113" applyFont="1" applyAlignment="1">
      <alignment horizontal="center"/>
    </xf>
    <xf numFmtId="0" fontId="8" fillId="0" borderId="0" xfId="113" applyFont="1"/>
    <xf numFmtId="0" fontId="6" fillId="0" borderId="0" xfId="113" applyFont="1" applyAlignment="1">
      <alignment horizontal="center"/>
    </xf>
    <xf numFmtId="0" fontId="5" fillId="0" borderId="0" xfId="113" applyFont="1"/>
    <xf numFmtId="0" fontId="5" fillId="0" borderId="0" xfId="113" applyFont="1" applyAlignment="1">
      <alignment horizontal="right"/>
    </xf>
    <xf numFmtId="0" fontId="5" fillId="0" borderId="2" xfId="113" applyFont="1" applyBorder="1"/>
    <xf numFmtId="0" fontId="5" fillId="0" borderId="15" xfId="0" applyFont="1" applyBorder="1" applyAlignment="1">
      <alignment horizontal="center"/>
    </xf>
    <xf numFmtId="0" fontId="13" fillId="0" borderId="0" xfId="103" applyFont="1"/>
    <xf numFmtId="0" fontId="3" fillId="0" borderId="0" xfId="114" applyFont="1"/>
    <xf numFmtId="0" fontId="3" fillId="0" borderId="0" xfId="114" applyFont="1" applyAlignment="1">
      <alignment horizontal="center" shrinkToFit="1"/>
    </xf>
    <xf numFmtId="0" fontId="63" fillId="0" borderId="0" xfId="0" applyFont="1"/>
    <xf numFmtId="172" fontId="34" fillId="0" borderId="6" xfId="82" applyNumberFormat="1" applyFont="1" applyBorder="1" applyAlignment="1" applyProtection="1">
      <alignment horizontal="center"/>
    </xf>
    <xf numFmtId="0" fontId="7" fillId="0" borderId="0" xfId="104" applyFont="1"/>
    <xf numFmtId="0" fontId="8" fillId="0" borderId="0" xfId="104" applyFont="1"/>
    <xf numFmtId="0" fontId="5" fillId="0" borderId="0" xfId="104" applyFont="1" applyAlignment="1">
      <alignment horizontal="center"/>
    </xf>
    <xf numFmtId="0" fontId="5" fillId="0" borderId="0" xfId="104" applyFont="1" applyAlignment="1">
      <alignment horizontal="centerContinuous"/>
    </xf>
    <xf numFmtId="0" fontId="5" fillId="0" borderId="16" xfId="104" applyFont="1" applyBorder="1" applyAlignment="1">
      <alignment horizontal="centerContinuous"/>
    </xf>
    <xf numFmtId="0" fontId="5" fillId="0" borderId="2" xfId="104" applyFont="1" applyBorder="1" applyAlignment="1">
      <alignment horizontal="center"/>
    </xf>
    <xf numFmtId="0" fontId="53" fillId="0" borderId="0" xfId="104" applyFont="1"/>
    <xf numFmtId="164" fontId="3" fillId="0" borderId="0" xfId="106" applyNumberFormat="1" applyFont="1"/>
    <xf numFmtId="0" fontId="9" fillId="0" borderId="0" xfId="106"/>
    <xf numFmtId="164" fontId="16" fillId="0" borderId="2" xfId="106" applyNumberFormat="1" applyFont="1" applyBorder="1"/>
    <xf numFmtId="164" fontId="16" fillId="0" borderId="0" xfId="106" applyNumberFormat="1" applyFont="1"/>
    <xf numFmtId="164" fontId="8" fillId="0" borderId="0" xfId="106" applyNumberFormat="1" applyFont="1"/>
    <xf numFmtId="164" fontId="5" fillId="0" borderId="0" xfId="106" applyNumberFormat="1" applyFont="1"/>
    <xf numFmtId="164" fontId="5" fillId="0" borderId="0" xfId="106" applyNumberFormat="1" applyFont="1" applyAlignment="1">
      <alignment horizontal="right"/>
    </xf>
    <xf numFmtId="164" fontId="13" fillId="0" borderId="0" xfId="106" applyNumberFormat="1" applyFont="1"/>
    <xf numFmtId="0" fontId="66" fillId="0" borderId="0" xfId="112" applyFont="1" applyAlignment="1">
      <alignment horizontal="left"/>
    </xf>
    <xf numFmtId="0" fontId="4" fillId="0" borderId="0" xfId="104" applyFont="1" applyAlignment="1">
      <alignment horizontal="left"/>
    </xf>
    <xf numFmtId="0" fontId="67" fillId="0" borderId="2" xfId="108" applyFont="1" applyBorder="1" applyAlignment="1">
      <alignment horizontal="center"/>
    </xf>
    <xf numFmtId="0" fontId="5" fillId="0" borderId="0" xfId="110" applyFont="1"/>
    <xf numFmtId="172" fontId="34" fillId="0" borderId="0" xfId="82" applyNumberFormat="1" applyFont="1" applyAlignment="1" applyProtection="1">
      <alignment horizontal="center"/>
    </xf>
    <xf numFmtId="0" fontId="43" fillId="0" borderId="0" xfId="81" applyFont="1"/>
    <xf numFmtId="0" fontId="35" fillId="0" borderId="0" xfId="81" applyFont="1" applyAlignment="1">
      <alignment horizontal="center"/>
    </xf>
    <xf numFmtId="176" fontId="35" fillId="0" borderId="0" xfId="81" applyNumberFormat="1" applyFont="1"/>
    <xf numFmtId="164" fontId="70" fillId="0" borderId="0" xfId="106" applyNumberFormat="1" applyFont="1"/>
    <xf numFmtId="164" fontId="6" fillId="0" borderId="0" xfId="106" applyNumberFormat="1" applyFont="1"/>
    <xf numFmtId="164" fontId="5" fillId="0" borderId="8" xfId="106" applyNumberFormat="1" applyFont="1" applyBorder="1" applyAlignment="1">
      <alignment horizontal="center"/>
    </xf>
    <xf numFmtId="0" fontId="0" fillId="0" borderId="0" xfId="0" applyAlignment="1">
      <alignment vertical="top"/>
    </xf>
    <xf numFmtId="0" fontId="5" fillId="0" borderId="0" xfId="0" applyFont="1" applyAlignment="1">
      <alignment vertical="top"/>
    </xf>
    <xf numFmtId="0" fontId="13" fillId="0" borderId="0" xfId="0" applyFont="1" applyAlignment="1">
      <alignment vertical="top"/>
    </xf>
    <xf numFmtId="0" fontId="3" fillId="0" borderId="0" xfId="0" applyFont="1" applyAlignment="1">
      <alignment vertical="top"/>
    </xf>
    <xf numFmtId="0" fontId="3" fillId="0" borderId="0" xfId="89" applyFont="1" applyAlignment="1">
      <alignment horizontal="left" indent="1"/>
    </xf>
    <xf numFmtId="0" fontId="3" fillId="0" borderId="0" xfId="0" applyFont="1"/>
    <xf numFmtId="0" fontId="3" fillId="0" borderId="0" xfId="89" applyFont="1"/>
    <xf numFmtId="0" fontId="3" fillId="0" borderId="0" xfId="89" applyFont="1" applyAlignment="1">
      <alignment horizontal="left" indent="3"/>
    </xf>
    <xf numFmtId="0" fontId="58" fillId="0" borderId="0" xfId="89" applyFont="1"/>
    <xf numFmtId="0" fontId="3" fillId="0" borderId="2" xfId="98" applyFont="1" applyBorder="1"/>
    <xf numFmtId="0" fontId="13" fillId="0" borderId="0" xfId="98"/>
    <xf numFmtId="0" fontId="32" fillId="0" borderId="0" xfId="98" applyFont="1" applyAlignment="1">
      <alignment horizontal="center"/>
    </xf>
    <xf numFmtId="0" fontId="0" fillId="0" borderId="0" xfId="0" applyAlignment="1">
      <alignment horizontal="center"/>
    </xf>
    <xf numFmtId="0" fontId="33" fillId="0" borderId="0" xfId="98" applyFont="1"/>
    <xf numFmtId="0" fontId="33" fillId="0" borderId="0" xfId="98" applyFont="1" applyAlignment="1">
      <alignment horizontal="center"/>
    </xf>
    <xf numFmtId="0" fontId="17" fillId="0" borderId="0" xfId="98" applyFont="1"/>
    <xf numFmtId="0" fontId="31" fillId="0" borderId="0" xfId="98" applyFont="1"/>
    <xf numFmtId="0" fontId="17" fillId="0" borderId="0" xfId="98" applyFont="1" applyAlignment="1">
      <alignment horizontal="left"/>
    </xf>
    <xf numFmtId="0" fontId="3" fillId="0" borderId="0" xfId="101" applyFont="1"/>
    <xf numFmtId="0" fontId="72" fillId="0" borderId="0" xfId="101" applyFont="1" applyAlignment="1">
      <alignment horizontal="center"/>
    </xf>
    <xf numFmtId="0" fontId="72" fillId="0" borderId="0" xfId="101" applyFont="1" applyAlignment="1">
      <alignment horizontal="centerContinuous"/>
    </xf>
    <xf numFmtId="0" fontId="72" fillId="0" borderId="1" xfId="101" applyFont="1" applyBorder="1" applyAlignment="1">
      <alignment horizontal="centerContinuous"/>
    </xf>
    <xf numFmtId="0" fontId="73" fillId="0" borderId="0" xfId="101" applyFont="1" applyAlignment="1">
      <alignment horizontal="left"/>
    </xf>
    <xf numFmtId="0" fontId="65" fillId="0" borderId="0" xfId="101" applyFont="1"/>
    <xf numFmtId="40" fontId="74" fillId="0" borderId="0" xfId="39" applyFont="1" applyAlignment="1">
      <alignment horizontal="center"/>
    </xf>
    <xf numFmtId="40" fontId="75" fillId="0" borderId="0" xfId="39" applyFont="1" applyAlignment="1">
      <alignment horizontal="left"/>
    </xf>
    <xf numFmtId="0" fontId="72" fillId="0" borderId="0" xfId="101" applyFont="1"/>
    <xf numFmtId="0" fontId="13" fillId="0" borderId="0" xfId="101"/>
    <xf numFmtId="40" fontId="13" fillId="0" borderId="0" xfId="39" applyFont="1"/>
    <xf numFmtId="0" fontId="76" fillId="0" borderId="0" xfId="98" applyFont="1"/>
    <xf numFmtId="0" fontId="40" fillId="0" borderId="0" xfId="98" applyFont="1"/>
    <xf numFmtId="176" fontId="13" fillId="0" borderId="3" xfId="38" applyNumberFormat="1" applyFont="1" applyBorder="1"/>
    <xf numFmtId="0" fontId="40" fillId="0" borderId="0" xfId="98" applyFont="1" applyAlignment="1">
      <alignment horizontal="left"/>
    </xf>
    <xf numFmtId="0" fontId="13" fillId="0" borderId="0" xfId="0" applyFont="1"/>
    <xf numFmtId="0" fontId="30" fillId="0" borderId="2" xfId="101" applyFont="1" applyBorder="1"/>
    <xf numFmtId="0" fontId="13" fillId="0" borderId="2" xfId="0" applyFont="1" applyBorder="1"/>
    <xf numFmtId="0" fontId="27" fillId="0" borderId="2" xfId="101" applyFont="1" applyBorder="1" applyAlignment="1">
      <alignment horizontal="right"/>
    </xf>
    <xf numFmtId="0" fontId="16" fillId="0" borderId="0" xfId="0" applyFont="1"/>
    <xf numFmtId="0" fontId="16" fillId="0" borderId="0" xfId="0" applyFont="1" applyAlignment="1">
      <alignment horizontal="center"/>
    </xf>
    <xf numFmtId="0" fontId="16" fillId="0" borderId="0" xfId="0" applyFont="1" applyAlignment="1">
      <alignment horizontal="left" indent="1"/>
    </xf>
    <xf numFmtId="0" fontId="72" fillId="0" borderId="0" xfId="0" applyFont="1"/>
    <xf numFmtId="176" fontId="16" fillId="0" borderId="16" xfId="38" applyNumberFormat="1" applyFont="1" applyBorder="1"/>
    <xf numFmtId="49" fontId="77" fillId="0" borderId="0" xfId="0" applyNumberFormat="1" applyFont="1"/>
    <xf numFmtId="0" fontId="72" fillId="0" borderId="0" xfId="0" applyFont="1" applyAlignment="1">
      <alignment horizontal="left"/>
    </xf>
    <xf numFmtId="0" fontId="77" fillId="0" borderId="0" xfId="0" quotePrefix="1" applyFont="1" applyAlignment="1">
      <alignment horizontal="left"/>
    </xf>
    <xf numFmtId="0" fontId="3" fillId="0" borderId="0" xfId="101" applyFont="1" applyAlignment="1">
      <alignment horizontal="right"/>
    </xf>
    <xf numFmtId="0" fontId="30" fillId="0" borderId="0" xfId="101" applyFont="1"/>
    <xf numFmtId="0" fontId="16" fillId="0" borderId="0" xfId="0" quotePrefix="1" applyFont="1" applyAlignment="1">
      <alignment horizontal="left"/>
    </xf>
    <xf numFmtId="0" fontId="78" fillId="0" borderId="0" xfId="0" applyFont="1" applyAlignment="1">
      <alignment horizontal="center"/>
    </xf>
    <xf numFmtId="0" fontId="79" fillId="0" borderId="0" xfId="0" applyFont="1"/>
    <xf numFmtId="0" fontId="79" fillId="0" borderId="0" xfId="0" quotePrefix="1" applyFont="1" applyAlignment="1">
      <alignment horizontal="left"/>
    </xf>
    <xf numFmtId="0" fontId="13" fillId="0" borderId="0" xfId="0" applyFont="1" applyAlignment="1">
      <alignment horizontal="right"/>
    </xf>
    <xf numFmtId="0" fontId="13" fillId="0" borderId="0" xfId="0" applyFont="1" applyAlignment="1">
      <alignment horizontal="center"/>
    </xf>
    <xf numFmtId="0" fontId="0" fillId="0" borderId="0" xfId="0" applyAlignment="1">
      <alignment horizontal="left"/>
    </xf>
    <xf numFmtId="0" fontId="16" fillId="0" borderId="1" xfId="0" applyFont="1" applyBorder="1"/>
    <xf numFmtId="0" fontId="16" fillId="0" borderId="3" xfId="0" applyFont="1" applyBorder="1"/>
    <xf numFmtId="0" fontId="74" fillId="0" borderId="0" xfId="0" applyFont="1"/>
    <xf numFmtId="0" fontId="22" fillId="0" borderId="0" xfId="0" applyFont="1"/>
    <xf numFmtId="0" fontId="3" fillId="0" borderId="0" xfId="98" applyFont="1" applyAlignment="1">
      <alignment horizontal="right"/>
    </xf>
    <xf numFmtId="0" fontId="3" fillId="0" borderId="8" xfId="98" applyFont="1" applyBorder="1" applyAlignment="1">
      <alignment horizontal="center"/>
    </xf>
    <xf numFmtId="0" fontId="3" fillId="0" borderId="0" xfId="98" applyFont="1" applyAlignment="1">
      <alignment horizontal="center"/>
    </xf>
    <xf numFmtId="0" fontId="64" fillId="0" borderId="0" xfId="98" applyFont="1"/>
    <xf numFmtId="0" fontId="16" fillId="0" borderId="0" xfId="98" applyFont="1"/>
    <xf numFmtId="174" fontId="13" fillId="0" borderId="1" xfId="38" applyNumberFormat="1" applyFont="1" applyBorder="1"/>
    <xf numFmtId="174" fontId="13" fillId="0" borderId="0" xfId="38" applyNumberFormat="1" applyFont="1"/>
    <xf numFmtId="174" fontId="13" fillId="0" borderId="2" xfId="38" applyNumberFormat="1" applyFont="1" applyBorder="1"/>
    <xf numFmtId="174" fontId="13" fillId="0" borderId="18" xfId="38" applyNumberFormat="1" applyFont="1" applyBorder="1"/>
    <xf numFmtId="174" fontId="13" fillId="0" borderId="14" xfId="38" applyNumberFormat="1" applyFont="1" applyBorder="1"/>
    <xf numFmtId="174" fontId="0" fillId="0" borderId="19" xfId="0" applyNumberFormat="1" applyBorder="1"/>
    <xf numFmtId="174" fontId="17" fillId="0" borderId="0" xfId="38" applyNumberFormat="1" applyFont="1"/>
    <xf numFmtId="174" fontId="27" fillId="0" borderId="0" xfId="38" applyNumberFormat="1" applyFont="1"/>
    <xf numFmtId="174" fontId="72" fillId="0" borderId="0" xfId="38" applyNumberFormat="1" applyFont="1"/>
    <xf numFmtId="0" fontId="5" fillId="0" borderId="0" xfId="0" applyFont="1" applyAlignment="1">
      <alignment vertical="top" wrapText="1"/>
    </xf>
    <xf numFmtId="0" fontId="0" fillId="0" borderId="2" xfId="0" applyBorder="1" applyAlignment="1">
      <alignment vertical="top" wrapText="1"/>
    </xf>
    <xf numFmtId="0" fontId="6" fillId="0" borderId="0" xfId="89" applyFont="1"/>
    <xf numFmtId="43" fontId="13" fillId="0" borderId="0" xfId="89" applyNumberFormat="1"/>
    <xf numFmtId="176" fontId="13" fillId="0" borderId="0" xfId="0" applyNumberFormat="1" applyFont="1"/>
    <xf numFmtId="0" fontId="46" fillId="0" borderId="0" xfId="0" applyFont="1" applyProtection="1">
      <protection hidden="1"/>
    </xf>
    <xf numFmtId="15" fontId="0" fillId="0" borderId="0" xfId="0" quotePrefix="1" applyNumberFormat="1"/>
    <xf numFmtId="180" fontId="3" fillId="0" borderId="0" xfId="0" applyNumberFormat="1" applyFont="1"/>
    <xf numFmtId="0" fontId="15" fillId="0" borderId="0" xfId="0" applyFont="1"/>
    <xf numFmtId="185" fontId="3" fillId="0" borderId="0" xfId="40" applyNumberFormat="1" applyProtection="1">
      <protection locked="0"/>
    </xf>
    <xf numFmtId="180" fontId="3" fillId="0" borderId="0" xfId="0" applyNumberFormat="1" applyFont="1" applyProtection="1">
      <protection locked="0"/>
    </xf>
    <xf numFmtId="180" fontId="83" fillId="0" borderId="4" xfId="124" applyNumberFormat="1" applyFont="1" applyBorder="1" applyProtection="1"/>
    <xf numFmtId="180" fontId="83" fillId="0" borderId="4" xfId="0" applyNumberFormat="1" applyFont="1" applyBorder="1"/>
    <xf numFmtId="173" fontId="15" fillId="0" borderId="0" xfId="0" applyNumberFormat="1" applyFont="1"/>
    <xf numFmtId="180" fontId="83" fillId="0" borderId="1" xfId="0" applyNumberFormat="1" applyFont="1" applyBorder="1"/>
    <xf numFmtId="185" fontId="83" fillId="0" borderId="3" xfId="0" applyNumberFormat="1" applyFont="1" applyBorder="1"/>
    <xf numFmtId="180" fontId="84" fillId="0" borderId="0" xfId="127" applyNumberFormat="1" applyFont="1" applyBorder="1" applyAlignment="1">
      <alignment horizontal="center"/>
    </xf>
    <xf numFmtId="165" fontId="15" fillId="0" borderId="0" xfId="0" applyNumberFormat="1" applyFont="1"/>
    <xf numFmtId="180" fontId="85" fillId="2" borderId="1" xfId="126" applyNumberFormat="1" applyFont="1" applyFill="1" applyBorder="1" applyAlignment="1">
      <alignment horizontal="center"/>
    </xf>
    <xf numFmtId="180" fontId="40" fillId="0" borderId="0" xfId="0" applyNumberFormat="1" applyFont="1"/>
    <xf numFmtId="180" fontId="64" fillId="0" borderId="0" xfId="0" applyNumberFormat="1" applyFont="1"/>
    <xf numFmtId="0" fontId="64" fillId="0" borderId="0" xfId="0" applyFont="1"/>
    <xf numFmtId="181" fontId="85" fillId="2" borderId="1" xfId="126" applyFont="1" applyFill="1" applyBorder="1" applyAlignment="1">
      <alignment horizontal="center"/>
    </xf>
    <xf numFmtId="180" fontId="86" fillId="0" borderId="0" xfId="0" applyNumberFormat="1" applyFont="1"/>
    <xf numFmtId="184" fontId="86" fillId="0" borderId="0" xfId="0" applyNumberFormat="1" applyFont="1"/>
    <xf numFmtId="0" fontId="24" fillId="0" borderId="0" xfId="92" applyFont="1"/>
    <xf numFmtId="0" fontId="26" fillId="0" borderId="0" xfId="92" applyFont="1"/>
    <xf numFmtId="0" fontId="8" fillId="0" borderId="0" xfId="92" applyFont="1"/>
    <xf numFmtId="0" fontId="5" fillId="0" borderId="0" xfId="92" applyFont="1"/>
    <xf numFmtId="0" fontId="13" fillId="0" borderId="0" xfId="92"/>
    <xf numFmtId="0" fontId="16" fillId="0" borderId="0" xfId="92" applyFont="1"/>
    <xf numFmtId="0" fontId="5" fillId="0" borderId="0" xfId="88" applyFont="1" applyAlignment="1">
      <alignment horizontal="center"/>
    </xf>
    <xf numFmtId="0" fontId="57" fillId="0" borderId="0" xfId="0" applyFont="1" applyAlignment="1">
      <alignment horizontal="left"/>
    </xf>
    <xf numFmtId="0" fontId="60" fillId="0" borderId="0" xfId="88" applyFont="1"/>
    <xf numFmtId="0" fontId="24" fillId="0" borderId="0" xfId="88" applyFont="1" applyProtection="1">
      <protection hidden="1"/>
    </xf>
    <xf numFmtId="0" fontId="16" fillId="0" borderId="0" xfId="88" applyFont="1" applyProtection="1">
      <protection hidden="1"/>
    </xf>
    <xf numFmtId="164" fontId="4" fillId="0" borderId="0" xfId="99" applyNumberFormat="1" applyFont="1" applyAlignment="1">
      <alignment horizontal="centerContinuous"/>
    </xf>
    <xf numFmtId="0" fontId="3" fillId="0" borderId="0" xfId="99"/>
    <xf numFmtId="0" fontId="9" fillId="0" borderId="0" xfId="115" applyAlignment="1">
      <alignment horizontal="center"/>
    </xf>
    <xf numFmtId="164" fontId="7" fillId="0" borderId="0" xfId="99" applyNumberFormat="1" applyFont="1" applyAlignment="1">
      <alignment horizontal="center"/>
    </xf>
    <xf numFmtId="164" fontId="5" fillId="0" borderId="0" xfId="99" applyNumberFormat="1" applyFont="1"/>
    <xf numFmtId="164" fontId="7" fillId="0" borderId="0" xfId="99" applyNumberFormat="1" applyFont="1"/>
    <xf numFmtId="164" fontId="5" fillId="0" borderId="0" xfId="99" applyNumberFormat="1" applyFont="1" applyAlignment="1">
      <alignment horizontal="centerContinuous"/>
    </xf>
    <xf numFmtId="164" fontId="4" fillId="0" borderId="2" xfId="99" applyNumberFormat="1" applyFont="1" applyBorder="1" applyAlignment="1">
      <alignment horizontal="center"/>
    </xf>
    <xf numFmtId="0" fontId="9" fillId="0" borderId="0" xfId="115" applyAlignment="1">
      <alignment horizontal="right"/>
    </xf>
    <xf numFmtId="0" fontId="22" fillId="0" borderId="0" xfId="115" applyFont="1"/>
    <xf numFmtId="168" fontId="24" fillId="0" borderId="0" xfId="85" applyFont="1" applyProtection="1"/>
    <xf numFmtId="168" fontId="24" fillId="0" borderId="0" xfId="85" applyFont="1" applyAlignment="1" applyProtection="1">
      <alignment horizontal="centerContinuous"/>
    </xf>
    <xf numFmtId="168" fontId="34" fillId="0" borderId="0" xfId="85" applyFont="1" applyAlignment="1" applyProtection="1">
      <alignment horizontal="center"/>
    </xf>
    <xf numFmtId="168" fontId="34" fillId="0" borderId="5" xfId="85" applyFont="1" applyBorder="1" applyAlignment="1" applyProtection="1">
      <alignment horizontal="center"/>
    </xf>
    <xf numFmtId="168" fontId="34" fillId="0" borderId="6" xfId="85" applyFont="1" applyBorder="1" applyAlignment="1" applyProtection="1">
      <alignment horizontal="center"/>
    </xf>
    <xf numFmtId="168" fontId="34" fillId="0" borderId="1" xfId="85" applyFont="1" applyBorder="1" applyAlignment="1" applyProtection="1">
      <alignment horizontal="center"/>
    </xf>
    <xf numFmtId="172" fontId="34" fillId="0" borderId="7" xfId="85" applyNumberFormat="1" applyFont="1" applyBorder="1" applyAlignment="1" applyProtection="1">
      <alignment horizontal="center"/>
    </xf>
    <xf numFmtId="168" fontId="34" fillId="0" borderId="7" xfId="85" applyFont="1" applyBorder="1" applyAlignment="1" applyProtection="1">
      <alignment horizontal="center"/>
    </xf>
    <xf numFmtId="168" fontId="50" fillId="0" borderId="0" xfId="85" applyFont="1" applyAlignment="1" applyProtection="1">
      <alignment horizontal="center"/>
    </xf>
    <xf numFmtId="172" fontId="34" fillId="0" borderId="0" xfId="85" applyNumberFormat="1" applyFont="1" applyAlignment="1" applyProtection="1">
      <alignment horizontal="center"/>
    </xf>
    <xf numFmtId="168" fontId="40" fillId="0" borderId="0" xfId="82" applyFont="1" applyProtection="1"/>
    <xf numFmtId="168" fontId="16" fillId="0" borderId="0" xfId="85" applyProtection="1"/>
    <xf numFmtId="0" fontId="24" fillId="0" borderId="0" xfId="88" applyFont="1" applyAlignment="1">
      <alignment horizontal="center"/>
    </xf>
    <xf numFmtId="0" fontId="5" fillId="0" borderId="0" xfId="84" applyFont="1" applyAlignment="1">
      <alignment horizontal="center"/>
    </xf>
    <xf numFmtId="172" fontId="5" fillId="0" borderId="1" xfId="84" applyNumberFormat="1" applyFont="1" applyBorder="1" applyAlignment="1">
      <alignment horizontal="center"/>
    </xf>
    <xf numFmtId="0" fontId="5" fillId="0" borderId="1" xfId="84" applyFont="1" applyBorder="1" applyAlignment="1">
      <alignment horizontal="center"/>
    </xf>
    <xf numFmtId="0" fontId="3" fillId="0" borderId="0" xfId="88" applyFont="1" applyAlignment="1">
      <alignment horizontal="center"/>
    </xf>
    <xf numFmtId="0" fontId="3" fillId="0" borderId="0" xfId="88" applyFont="1"/>
    <xf numFmtId="0" fontId="20" fillId="0" borderId="0" xfId="94" applyFont="1"/>
    <xf numFmtId="0" fontId="26" fillId="0" borderId="0" xfId="94" applyFont="1"/>
    <xf numFmtId="0" fontId="8" fillId="0" borderId="0" xfId="94" applyFont="1"/>
    <xf numFmtId="0" fontId="5" fillId="0" borderId="0" xfId="94" applyFont="1"/>
    <xf numFmtId="0" fontId="5" fillId="0" borderId="0" xfId="94" applyFont="1" applyAlignment="1">
      <alignment horizontal="center"/>
    </xf>
    <xf numFmtId="0" fontId="5" fillId="0" borderId="1" xfId="94" applyFont="1" applyBorder="1" applyAlignment="1">
      <alignment horizontal="center"/>
    </xf>
    <xf numFmtId="0" fontId="5" fillId="0" borderId="0" xfId="94" applyFont="1" applyAlignment="1">
      <alignment horizontal="left"/>
    </xf>
    <xf numFmtId="0" fontId="27" fillId="0" borderId="0" xfId="94" applyFont="1"/>
    <xf numFmtId="176" fontId="13" fillId="0" borderId="1" xfId="0" applyNumberFormat="1" applyFont="1" applyBorder="1" applyProtection="1">
      <protection locked="0"/>
    </xf>
    <xf numFmtId="176" fontId="13" fillId="0" borderId="4" xfId="0" applyNumberFormat="1" applyFont="1" applyBorder="1" applyProtection="1">
      <protection locked="0"/>
    </xf>
    <xf numFmtId="164" fontId="5" fillId="0" borderId="2" xfId="0" applyNumberFormat="1" applyFont="1" applyBorder="1" applyAlignment="1">
      <alignment horizontal="center"/>
    </xf>
    <xf numFmtId="0" fontId="0" fillId="0" borderId="0" xfId="0" applyProtection="1">
      <protection hidden="1"/>
    </xf>
    <xf numFmtId="0" fontId="3" fillId="0" borderId="0" xfId="107" applyFont="1"/>
    <xf numFmtId="0" fontId="3" fillId="0" borderId="0" xfId="107" applyFont="1" applyAlignment="1">
      <alignment horizontal="center"/>
    </xf>
    <xf numFmtId="0" fontId="9" fillId="0" borderId="0" xfId="107"/>
    <xf numFmtId="0" fontId="56" fillId="0" borderId="0" xfId="107" applyFont="1" applyProtection="1">
      <protection hidden="1"/>
    </xf>
    <xf numFmtId="0" fontId="5" fillId="0" borderId="0" xfId="89" applyFont="1"/>
    <xf numFmtId="49" fontId="6" fillId="0" borderId="0" xfId="0" applyNumberFormat="1" applyFont="1" applyAlignment="1">
      <alignment horizontal="left"/>
    </xf>
    <xf numFmtId="0" fontId="5" fillId="0" borderId="0" xfId="0" applyFont="1" applyAlignment="1">
      <alignment horizontal="left" indent="5"/>
    </xf>
    <xf numFmtId="49" fontId="28" fillId="0" borderId="0" xfId="0" applyNumberFormat="1" applyFont="1" applyAlignment="1">
      <alignment horizontal="left" indent="3"/>
    </xf>
    <xf numFmtId="49" fontId="6" fillId="0" borderId="0" xfId="0" applyNumberFormat="1" applyFont="1"/>
    <xf numFmtId="0" fontId="5" fillId="0" borderId="0" xfId="108" applyFont="1" applyAlignment="1">
      <alignment horizontal="centerContinuous"/>
    </xf>
    <xf numFmtId="0" fontId="5" fillId="0" borderId="0" xfId="108" applyFont="1"/>
    <xf numFmtId="0" fontId="88" fillId="0" borderId="0" xfId="107" applyFont="1" applyAlignment="1" applyProtection="1">
      <alignment vertical="top"/>
      <protection hidden="1"/>
    </xf>
    <xf numFmtId="0" fontId="36" fillId="0" borderId="0" xfId="95" applyFont="1"/>
    <xf numFmtId="43" fontId="0" fillId="0" borderId="0" xfId="0" applyNumberFormat="1"/>
    <xf numFmtId="0" fontId="5" fillId="0" borderId="0" xfId="110" applyFont="1" applyAlignment="1" applyProtection="1">
      <alignment horizontal="center"/>
      <protection hidden="1"/>
    </xf>
    <xf numFmtId="168" fontId="7" fillId="0" borderId="0" xfId="83" applyFont="1" applyProtection="1"/>
    <xf numFmtId="168" fontId="3" fillId="0" borderId="0" xfId="83" applyFont="1" applyProtection="1"/>
    <xf numFmtId="168" fontId="5" fillId="0" borderId="0" xfId="83" applyFont="1" applyProtection="1"/>
    <xf numFmtId="168" fontId="58" fillId="0" borderId="0" xfId="83" applyFont="1" applyProtection="1"/>
    <xf numFmtId="168" fontId="5" fillId="0" borderId="0" xfId="83" applyFont="1" applyAlignment="1" applyProtection="1">
      <alignment horizontal="right"/>
    </xf>
    <xf numFmtId="1" fontId="5" fillId="0" borderId="0" xfId="83" applyNumberFormat="1" applyFont="1" applyAlignment="1" applyProtection="1">
      <alignment horizontal="center"/>
    </xf>
    <xf numFmtId="168" fontId="5" fillId="0" borderId="0" xfId="83" applyFont="1" applyAlignment="1" applyProtection="1">
      <alignment horizontal="center"/>
    </xf>
    <xf numFmtId="168" fontId="34" fillId="0" borderId="0" xfId="83" applyFont="1" applyAlignment="1" applyProtection="1">
      <alignment horizontal="center"/>
    </xf>
    <xf numFmtId="168" fontId="34" fillId="0" borderId="21" xfId="83" applyFont="1" applyBorder="1" applyAlignment="1" applyProtection="1">
      <alignment horizontal="center"/>
    </xf>
    <xf numFmtId="168" fontId="34" fillId="0" borderId="8" xfId="83" applyFont="1" applyBorder="1" applyAlignment="1" applyProtection="1">
      <alignment horizontal="center"/>
    </xf>
    <xf numFmtId="168" fontId="34" fillId="0" borderId="9" xfId="83" applyFont="1" applyBorder="1" applyAlignment="1" applyProtection="1">
      <alignment horizontal="center"/>
    </xf>
    <xf numFmtId="168" fontId="34" fillId="0" borderId="5" xfId="83" applyFont="1" applyBorder="1" applyAlignment="1" applyProtection="1">
      <alignment horizontal="center"/>
    </xf>
    <xf numFmtId="168" fontId="34" fillId="0" borderId="10" xfId="83" applyFont="1" applyBorder="1" applyAlignment="1" applyProtection="1">
      <alignment horizontal="center"/>
    </xf>
    <xf numFmtId="168" fontId="34" fillId="0" borderId="11" xfId="83" applyFont="1" applyBorder="1" applyAlignment="1" applyProtection="1">
      <alignment horizontal="center"/>
    </xf>
    <xf numFmtId="168" fontId="34" fillId="0" borderId="6" xfId="83" applyFont="1" applyBorder="1" applyAlignment="1" applyProtection="1">
      <alignment horizontal="center"/>
    </xf>
    <xf numFmtId="168" fontId="34" fillId="0" borderId="7" xfId="83" applyFont="1" applyBorder="1" applyAlignment="1" applyProtection="1">
      <alignment horizontal="center"/>
    </xf>
    <xf numFmtId="168" fontId="56" fillId="0" borderId="0" xfId="83" applyFont="1" applyProtection="1"/>
    <xf numFmtId="168" fontId="16" fillId="0" borderId="0" xfId="83" applyProtection="1"/>
    <xf numFmtId="174" fontId="13" fillId="0" borderId="1" xfId="38" applyNumberFormat="1" applyFont="1" applyBorder="1" applyProtection="1">
      <protection locked="0"/>
    </xf>
    <xf numFmtId="174" fontId="13" fillId="0" borderId="4" xfId="38" applyNumberFormat="1" applyFont="1" applyBorder="1" applyProtection="1">
      <protection locked="0"/>
    </xf>
    <xf numFmtId="174" fontId="13" fillId="0" borderId="2" xfId="38" applyNumberFormat="1" applyFont="1" applyBorder="1" applyProtection="1">
      <protection locked="0"/>
    </xf>
    <xf numFmtId="174" fontId="13" fillId="0" borderId="18" xfId="38" applyNumberFormat="1" applyFont="1" applyBorder="1" applyProtection="1">
      <protection locked="0"/>
    </xf>
    <xf numFmtId="0" fontId="90" fillId="0" borderId="0" xfId="98" applyFont="1" applyAlignment="1" applyProtection="1">
      <alignment vertical="top"/>
      <protection hidden="1"/>
    </xf>
    <xf numFmtId="0" fontId="3" fillId="0" borderId="0" xfId="98" applyFont="1" applyProtection="1">
      <protection hidden="1"/>
    </xf>
    <xf numFmtId="0" fontId="13" fillId="0" borderId="0" xfId="98" applyProtection="1">
      <protection hidden="1"/>
    </xf>
    <xf numFmtId="176" fontId="16" fillId="0" borderId="1" xfId="38" applyNumberFormat="1" applyFont="1" applyBorder="1" applyProtection="1">
      <protection locked="0"/>
    </xf>
    <xf numFmtId="176" fontId="16" fillId="0" borderId="0" xfId="38" applyNumberFormat="1" applyFont="1" applyProtection="1">
      <protection locked="0"/>
    </xf>
    <xf numFmtId="0" fontId="16" fillId="0" borderId="1" xfId="0" applyFont="1" applyBorder="1" applyProtection="1">
      <protection locked="0"/>
    </xf>
    <xf numFmtId="49" fontId="16" fillId="0" borderId="0" xfId="0" applyNumberFormat="1" applyFont="1" applyAlignment="1" applyProtection="1">
      <alignment horizontal="center"/>
      <protection locked="0"/>
    </xf>
    <xf numFmtId="0" fontId="19" fillId="0" borderId="0" xfId="114" applyFont="1" applyAlignment="1">
      <alignment horizontal="center"/>
    </xf>
    <xf numFmtId="49" fontId="13" fillId="0" borderId="1" xfId="0" applyNumberFormat="1" applyFont="1" applyBorder="1" applyAlignment="1" applyProtection="1">
      <alignment horizontal="center"/>
      <protection locked="0"/>
    </xf>
    <xf numFmtId="176" fontId="13" fillId="0" borderId="1" xfId="38" applyNumberFormat="1" applyFont="1" applyBorder="1" applyProtection="1">
      <protection locked="0"/>
    </xf>
    <xf numFmtId="0" fontId="13" fillId="0" borderId="0" xfId="0" applyFont="1" applyAlignment="1">
      <alignment horizontal="left"/>
    </xf>
    <xf numFmtId="0" fontId="13" fillId="0" borderId="0" xfId="0" quotePrefix="1" applyFont="1" applyAlignment="1">
      <alignment horizontal="left"/>
    </xf>
    <xf numFmtId="0" fontId="13" fillId="0" borderId="0" xfId="0" quotePrefix="1" applyFont="1"/>
    <xf numFmtId="49" fontId="13" fillId="0" borderId="4" xfId="0" applyNumberFormat="1" applyFont="1" applyBorder="1" applyAlignment="1" applyProtection="1">
      <alignment horizontal="center"/>
      <protection locked="0"/>
    </xf>
    <xf numFmtId="0" fontId="19" fillId="0" borderId="0" xfId="114" applyFont="1"/>
    <xf numFmtId="0" fontId="3" fillId="0" borderId="0" xfId="114" applyFont="1" applyAlignment="1">
      <alignment horizontal="center"/>
    </xf>
    <xf numFmtId="0" fontId="3" fillId="0" borderId="0" xfId="114" applyFont="1" applyAlignment="1">
      <alignment shrinkToFit="1"/>
    </xf>
    <xf numFmtId="49" fontId="3" fillId="0" borderId="0" xfId="114" applyNumberFormat="1" applyFont="1" applyAlignment="1">
      <alignment horizontal="center"/>
    </xf>
    <xf numFmtId="49" fontId="3" fillId="0" borderId="1" xfId="114" applyNumberFormat="1" applyFont="1" applyBorder="1" applyAlignment="1">
      <alignment horizontal="center" shrinkToFit="1"/>
    </xf>
    <xf numFmtId="0" fontId="5" fillId="0" borderId="1" xfId="0" applyFont="1" applyBorder="1" applyAlignment="1">
      <alignment horizontal="center" wrapText="1"/>
    </xf>
    <xf numFmtId="49" fontId="3" fillId="0" borderId="1" xfId="114" applyNumberFormat="1" applyFont="1" applyBorder="1" applyAlignment="1">
      <alignment horizontal="center"/>
    </xf>
    <xf numFmtId="43" fontId="3" fillId="0" borderId="0" xfId="29" applyAlignment="1" applyProtection="1">
      <alignment horizontal="center"/>
      <protection locked="0"/>
    </xf>
    <xf numFmtId="43" fontId="3" fillId="0" borderId="1" xfId="29" applyBorder="1" applyAlignment="1" applyProtection="1">
      <alignment horizontal="center"/>
      <protection locked="0"/>
    </xf>
    <xf numFmtId="180" fontId="3" fillId="0" borderId="1" xfId="0" applyNumberFormat="1" applyFont="1" applyBorder="1" applyProtection="1">
      <protection locked="0"/>
    </xf>
    <xf numFmtId="180" fontId="85" fillId="0" borderId="0" xfId="126" applyNumberFormat="1" applyFont="1" applyAlignment="1">
      <alignment horizontal="center"/>
    </xf>
    <xf numFmtId="181" fontId="85" fillId="0" borderId="0" xfId="126" applyFont="1" applyAlignment="1">
      <alignment horizontal="center"/>
    </xf>
    <xf numFmtId="180" fontId="0" fillId="0" borderId="0" xfId="0" applyNumberFormat="1"/>
    <xf numFmtId="185" fontId="0" fillId="0" borderId="0" xfId="0" applyNumberFormat="1"/>
    <xf numFmtId="180" fontId="0" fillId="0" borderId="1" xfId="0" applyNumberFormat="1" applyBorder="1"/>
    <xf numFmtId="0" fontId="83" fillId="0" borderId="0" xfId="0" applyFont="1"/>
    <xf numFmtId="0" fontId="83" fillId="0" borderId="0" xfId="0" applyFont="1" applyAlignment="1">
      <alignment horizontal="center"/>
    </xf>
    <xf numFmtId="180" fontId="83" fillId="0" borderId="0" xfId="0" applyNumberFormat="1" applyFont="1"/>
    <xf numFmtId="185" fontId="0" fillId="0" borderId="0" xfId="0" applyNumberFormat="1" applyProtection="1">
      <protection locked="0"/>
    </xf>
    <xf numFmtId="180" fontId="0" fillId="0" borderId="0" xfId="0" applyNumberFormat="1" applyProtection="1">
      <protection locked="0"/>
    </xf>
    <xf numFmtId="180" fontId="0" fillId="0" borderId="1" xfId="0" applyNumberFormat="1" applyBorder="1" applyProtection="1">
      <protection locked="0"/>
    </xf>
    <xf numFmtId="180" fontId="0" fillId="0" borderId="4" xfId="0" applyNumberFormat="1" applyBorder="1"/>
    <xf numFmtId="180" fontId="0" fillId="0" borderId="8" xfId="0" applyNumberFormat="1" applyBorder="1"/>
    <xf numFmtId="0" fontId="12" fillId="0" borderId="0" xfId="0" applyFont="1"/>
    <xf numFmtId="0" fontId="23" fillId="0" borderId="0" xfId="0" applyFont="1"/>
    <xf numFmtId="0" fontId="5" fillId="0" borderId="0" xfId="95" applyFont="1"/>
    <xf numFmtId="179" fontId="13" fillId="0" borderId="1" xfId="0" applyNumberFormat="1" applyFont="1" applyBorder="1" applyProtection="1">
      <protection locked="0"/>
    </xf>
    <xf numFmtId="0" fontId="71" fillId="0" borderId="0" xfId="57" applyFont="1" applyAlignment="1">
      <alignment horizontal="center"/>
      <protection locked="0"/>
    </xf>
    <xf numFmtId="0" fontId="0" fillId="0" borderId="0" xfId="0" applyProtection="1">
      <protection locked="0"/>
    </xf>
    <xf numFmtId="0" fontId="19" fillId="0" borderId="0" xfId="114" applyFont="1" applyAlignment="1" applyProtection="1">
      <alignment horizontal="center"/>
      <protection locked="0"/>
    </xf>
    <xf numFmtId="0" fontId="19" fillId="0" borderId="0" xfId="114" applyFont="1" applyProtection="1">
      <protection locked="0"/>
    </xf>
    <xf numFmtId="0" fontId="3" fillId="0" borderId="0" xfId="114" applyFont="1" applyProtection="1">
      <protection locked="0"/>
    </xf>
    <xf numFmtId="0" fontId="3" fillId="0" borderId="0" xfId="114" applyFont="1" applyAlignment="1" applyProtection="1">
      <alignment horizontal="center"/>
      <protection locked="0"/>
    </xf>
    <xf numFmtId="0" fontId="13" fillId="0" borderId="0" xfId="103" applyFont="1" applyProtection="1">
      <protection locked="0"/>
    </xf>
    <xf numFmtId="0" fontId="3" fillId="0" borderId="0" xfId="114" applyFont="1" applyAlignment="1" applyProtection="1">
      <alignment shrinkToFit="1"/>
      <protection locked="0"/>
    </xf>
    <xf numFmtId="0" fontId="3" fillId="0" borderId="0" xfId="114" applyFont="1" applyAlignment="1" applyProtection="1">
      <alignment horizontal="center" shrinkToFit="1"/>
      <protection locked="0"/>
    </xf>
    <xf numFmtId="0" fontId="3" fillId="0" borderId="0" xfId="95" applyFont="1" applyProtection="1">
      <protection locked="0"/>
    </xf>
    <xf numFmtId="0" fontId="89" fillId="0" borderId="0" xfId="118" applyFont="1" applyAlignment="1">
      <alignment horizontal="left"/>
      <protection locked="0"/>
    </xf>
    <xf numFmtId="0" fontId="15" fillId="0" borderId="0" xfId="0" applyFont="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183" fontId="16" fillId="0" borderId="0" xfId="0" applyNumberFormat="1" applyFont="1" applyProtection="1">
      <protection locked="0"/>
    </xf>
    <xf numFmtId="0" fontId="65" fillId="0" borderId="0" xfId="118" applyFont="1" applyAlignment="1">
      <alignment horizontal="left"/>
      <protection locked="0"/>
    </xf>
    <xf numFmtId="0" fontId="16" fillId="0" borderId="0" xfId="118">
      <protection locked="0"/>
    </xf>
    <xf numFmtId="188" fontId="16" fillId="0" borderId="0" xfId="118" applyNumberFormat="1">
      <protection locked="0"/>
    </xf>
    <xf numFmtId="180" fontId="5" fillId="0" borderId="0" xfId="0" applyNumberFormat="1" applyFont="1" applyAlignment="1" applyProtection="1">
      <alignment horizontal="center"/>
      <protection locked="0"/>
    </xf>
    <xf numFmtId="0" fontId="89" fillId="0" borderId="0" xfId="0" applyFont="1" applyProtection="1">
      <protection locked="0"/>
    </xf>
    <xf numFmtId="15" fontId="0" fillId="0" borderId="0" xfId="0" quotePrefix="1" applyNumberFormat="1" applyProtection="1">
      <protection locked="0"/>
    </xf>
    <xf numFmtId="173" fontId="15" fillId="0" borderId="0" xfId="0" applyNumberFormat="1" applyFont="1" applyProtection="1">
      <protection locked="0"/>
    </xf>
    <xf numFmtId="165" fontId="15" fillId="0" borderId="0" xfId="0" applyNumberFormat="1" applyFont="1" applyProtection="1">
      <protection locked="0"/>
    </xf>
    <xf numFmtId="180" fontId="3" fillId="0" borderId="4" xfId="0" applyNumberFormat="1" applyFont="1" applyBorder="1"/>
    <xf numFmtId="185" fontId="3" fillId="0" borderId="3" xfId="0" applyNumberFormat="1" applyFont="1" applyBorder="1"/>
    <xf numFmtId="180" fontId="3" fillId="0" borderId="3" xfId="0" applyNumberFormat="1" applyFont="1" applyBorder="1"/>
    <xf numFmtId="0" fontId="47" fillId="0" borderId="0" xfId="0" applyFont="1" applyProtection="1">
      <protection hidden="1"/>
    </xf>
    <xf numFmtId="0" fontId="24" fillId="0" borderId="0" xfId="95" applyFont="1" applyAlignment="1">
      <alignment horizontal="centerContinuous"/>
    </xf>
    <xf numFmtId="0" fontId="24" fillId="0" borderId="0" xfId="95" applyFont="1"/>
    <xf numFmtId="0" fontId="25" fillId="0" borderId="0" xfId="95" applyFont="1" applyAlignment="1">
      <alignment horizontal="centerContinuous"/>
    </xf>
    <xf numFmtId="0" fontId="25" fillId="0" borderId="0" xfId="95" applyFont="1"/>
    <xf numFmtId="0" fontId="40" fillId="0" borderId="0" xfId="95" applyFont="1"/>
    <xf numFmtId="0" fontId="14" fillId="0" borderId="0" xfId="95" applyFont="1" applyAlignment="1">
      <alignment horizontal="center"/>
    </xf>
    <xf numFmtId="0" fontId="5" fillId="0" borderId="15" xfId="95" applyFont="1" applyBorder="1" applyAlignment="1">
      <alignment horizontal="center" wrapText="1"/>
    </xf>
    <xf numFmtId="0" fontId="13" fillId="0" borderId="0" xfId="95"/>
    <xf numFmtId="0" fontId="16" fillId="0" borderId="0" xfId="95" applyFont="1"/>
    <xf numFmtId="0" fontId="7" fillId="0" borderId="4" xfId="89" applyFont="1" applyBorder="1" applyAlignment="1" applyProtection="1">
      <alignment horizontal="center"/>
      <protection locked="0"/>
    </xf>
    <xf numFmtId="176" fontId="35" fillId="0" borderId="0" xfId="81" applyNumberFormat="1" applyFont="1" applyProtection="1">
      <protection locked="0"/>
    </xf>
    <xf numFmtId="0" fontId="7" fillId="0" borderId="0" xfId="89" applyFont="1"/>
    <xf numFmtId="0" fontId="4" fillId="0" borderId="1" xfId="89" applyFont="1" applyBorder="1"/>
    <xf numFmtId="0" fontId="28" fillId="0" borderId="0" xfId="0" applyFont="1" applyAlignment="1">
      <alignment horizontal="left" vertical="top"/>
    </xf>
    <xf numFmtId="179" fontId="0" fillId="0" borderId="0" xfId="0" applyNumberFormat="1"/>
    <xf numFmtId="9" fontId="0" fillId="0" borderId="0" xfId="130" applyFont="1"/>
    <xf numFmtId="10" fontId="0" fillId="0" borderId="0" xfId="130" applyNumberFormat="1" applyFont="1"/>
    <xf numFmtId="0" fontId="5" fillId="0" borderId="0" xfId="88" applyFont="1"/>
    <xf numFmtId="0" fontId="91" fillId="0" borderId="0" xfId="0" applyFont="1"/>
    <xf numFmtId="49" fontId="13" fillId="0" borderId="0" xfId="0" applyNumberFormat="1" applyFont="1" applyAlignment="1" applyProtection="1">
      <alignment horizontal="center"/>
      <protection locked="0"/>
    </xf>
    <xf numFmtId="0" fontId="40" fillId="0" borderId="0" xfId="0" applyFont="1"/>
    <xf numFmtId="0" fontId="70" fillId="0" borderId="0" xfId="0" applyFont="1"/>
    <xf numFmtId="0" fontId="28" fillId="0" borderId="0" xfId="88" applyFont="1"/>
    <xf numFmtId="168" fontId="5" fillId="0" borderId="0" xfId="82" applyFont="1" applyAlignment="1" applyProtection="1">
      <alignment horizontal="centerContinuous"/>
    </xf>
    <xf numFmtId="0" fontId="92" fillId="0" borderId="0" xfId="0" applyFont="1" applyAlignment="1" applyProtection="1">
      <alignment horizontal="left" wrapText="1"/>
      <protection hidden="1"/>
    </xf>
    <xf numFmtId="0" fontId="92" fillId="0" borderId="0" xfId="0" applyFont="1" applyAlignment="1" applyProtection="1">
      <alignment wrapText="1"/>
      <protection hidden="1"/>
    </xf>
    <xf numFmtId="0" fontId="3" fillId="0" borderId="0" xfId="85" applyNumberFormat="1" applyFont="1" applyAlignment="1">
      <alignment horizontal="center"/>
      <protection locked="0"/>
    </xf>
    <xf numFmtId="0" fontId="27" fillId="0" borderId="0" xfId="101" applyFont="1" applyAlignment="1">
      <alignment horizontal="center"/>
    </xf>
    <xf numFmtId="0" fontId="9" fillId="0" borderId="0" xfId="0" applyFont="1" applyAlignment="1">
      <alignment horizontal="center"/>
    </xf>
    <xf numFmtId="0" fontId="9" fillId="0" borderId="0" xfId="0" applyFont="1"/>
    <xf numFmtId="0" fontId="9" fillId="0" borderId="15" xfId="0" quotePrefix="1" applyFont="1" applyBorder="1"/>
    <xf numFmtId="0" fontId="9" fillId="0" borderId="15" xfId="0" quotePrefix="1" applyFont="1" applyBorder="1" applyAlignment="1">
      <alignment horizontal="center"/>
    </xf>
    <xf numFmtId="0" fontId="54" fillId="0" borderId="15" xfId="0" applyFont="1" applyBorder="1"/>
    <xf numFmtId="0" fontId="54" fillId="0" borderId="15" xfId="0" applyFont="1" applyBorder="1" applyAlignment="1">
      <alignment horizontal="center" wrapText="1"/>
    </xf>
    <xf numFmtId="164" fontId="3" fillId="0" borderId="0" xfId="106" applyNumberFormat="1" applyFont="1" applyAlignment="1">
      <alignment horizontal="right"/>
    </xf>
    <xf numFmtId="0" fontId="3" fillId="0" borderId="0" xfId="101" applyFont="1" applyAlignment="1">
      <alignment horizontal="left"/>
    </xf>
    <xf numFmtId="0" fontId="27" fillId="0" borderId="0" xfId="101" applyFont="1" applyAlignment="1">
      <alignment horizontal="left"/>
    </xf>
    <xf numFmtId="0" fontId="35" fillId="0" borderId="0" xfId="81" applyFont="1" applyAlignment="1" applyProtection="1">
      <alignment horizontal="center"/>
      <protection locked="0"/>
    </xf>
    <xf numFmtId="0" fontId="7" fillId="0" borderId="0" xfId="88" applyFont="1" applyProtection="1">
      <protection hidden="1"/>
    </xf>
    <xf numFmtId="0" fontId="43" fillId="0" borderId="0" xfId="81" applyFont="1" applyAlignment="1">
      <alignment horizontal="left"/>
    </xf>
    <xf numFmtId="189" fontId="5" fillId="0" borderId="1" xfId="0" applyNumberFormat="1" applyFont="1" applyBorder="1" applyAlignment="1">
      <alignment horizontal="center"/>
    </xf>
    <xf numFmtId="180" fontId="3" fillId="0" borderId="0" xfId="114" applyNumberFormat="1" applyFont="1" applyAlignment="1">
      <alignment horizontal="right"/>
    </xf>
    <xf numFmtId="180" fontId="3" fillId="0" borderId="0" xfId="114" applyNumberFormat="1" applyFont="1" applyAlignment="1">
      <alignment horizontal="right" shrinkToFit="1"/>
    </xf>
    <xf numFmtId="180" fontId="3" fillId="0" borderId="0" xfId="114" applyNumberFormat="1" applyFont="1"/>
    <xf numFmtId="1" fontId="0" fillId="0" borderId="0" xfId="0" applyNumberFormat="1" applyAlignment="1">
      <alignment horizontal="center"/>
    </xf>
    <xf numFmtId="1" fontId="5" fillId="0" borderId="0" xfId="0" applyNumberFormat="1" applyFont="1" applyAlignment="1">
      <alignment horizontal="center"/>
    </xf>
    <xf numFmtId="185" fontId="0" fillId="0" borderId="3" xfId="0" applyNumberFormat="1" applyBorder="1"/>
    <xf numFmtId="180" fontId="97" fillId="0" borderId="0" xfId="0" applyNumberFormat="1" applyFont="1" applyAlignment="1">
      <alignment horizontal="center"/>
    </xf>
    <xf numFmtId="0" fontId="3" fillId="0" borderId="0" xfId="114" applyFont="1" applyAlignment="1">
      <alignment horizontal="right"/>
    </xf>
    <xf numFmtId="0" fontId="12" fillId="0" borderId="0" xfId="0" applyFont="1" applyAlignment="1">
      <alignment horizontal="left"/>
    </xf>
    <xf numFmtId="180" fontId="83" fillId="0" borderId="0" xfId="124" applyNumberFormat="1" applyFont="1" applyBorder="1" applyProtection="1"/>
    <xf numFmtId="0" fontId="98" fillId="0" borderId="0" xfId="88" applyFont="1" applyProtection="1">
      <protection hidden="1"/>
    </xf>
    <xf numFmtId="0" fontId="3" fillId="0" borderId="0" xfId="114" applyFont="1" applyAlignment="1" applyProtection="1">
      <alignment horizontal="right"/>
      <protection locked="0"/>
    </xf>
    <xf numFmtId="0" fontId="99" fillId="0" borderId="0" xfId="0" applyFont="1" applyProtection="1">
      <protection hidden="1"/>
    </xf>
    <xf numFmtId="0" fontId="6" fillId="0" borderId="0" xfId="94" applyFont="1"/>
    <xf numFmtId="0" fontId="71" fillId="0" borderId="0" xfId="57" applyFont="1" applyAlignment="1" applyProtection="1"/>
    <xf numFmtId="0" fontId="156" fillId="0" borderId="0" xfId="0" applyFont="1"/>
    <xf numFmtId="0" fontId="157" fillId="0" borderId="0" xfId="0" applyFont="1"/>
    <xf numFmtId="0" fontId="158" fillId="0" borderId="0" xfId="0" applyFont="1" applyAlignment="1">
      <alignment horizontal="left"/>
    </xf>
    <xf numFmtId="0" fontId="40" fillId="0" borderId="0" xfId="89" applyFont="1"/>
    <xf numFmtId="0" fontId="13" fillId="0" borderId="0" xfId="89"/>
    <xf numFmtId="0" fontId="31" fillId="0" borderId="0" xfId="89" quotePrefix="1" applyFont="1" applyAlignment="1">
      <alignment horizontal="center"/>
    </xf>
    <xf numFmtId="0" fontId="4" fillId="0" borderId="0" xfId="88" applyFont="1" applyProtection="1">
      <protection hidden="1"/>
    </xf>
    <xf numFmtId="0" fontId="30" fillId="0" borderId="0" xfId="94" applyFont="1"/>
    <xf numFmtId="0" fontId="28" fillId="0" borderId="2" xfId="0" applyFont="1" applyBorder="1"/>
    <xf numFmtId="0" fontId="0" fillId="0" borderId="2" xfId="0" applyBorder="1"/>
    <xf numFmtId="0" fontId="101" fillId="0" borderId="0" xfId="0" applyFont="1"/>
    <xf numFmtId="0" fontId="11" fillId="0" borderId="0" xfId="0" applyFont="1" applyProtection="1">
      <protection hidden="1"/>
    </xf>
    <xf numFmtId="185" fontId="3" fillId="0" borderId="0" xfId="40" applyNumberFormat="1"/>
    <xf numFmtId="180" fontId="3" fillId="0" borderId="1" xfId="0" applyNumberFormat="1" applyFont="1" applyBorder="1"/>
    <xf numFmtId="0" fontId="106" fillId="0" borderId="0" xfId="116" applyFont="1" applyProtection="1">
      <protection locked="0"/>
    </xf>
    <xf numFmtId="0" fontId="104" fillId="0" borderId="0" xfId="116" applyProtection="1">
      <protection locked="0"/>
    </xf>
    <xf numFmtId="0" fontId="104" fillId="0" borderId="2" xfId="116" applyBorder="1" applyAlignment="1" applyProtection="1">
      <alignment horizontal="centerContinuous"/>
      <protection locked="0"/>
    </xf>
    <xf numFmtId="176" fontId="104" fillId="0" borderId="1" xfId="116" applyNumberFormat="1" applyBorder="1" applyProtection="1">
      <protection locked="0"/>
    </xf>
    <xf numFmtId="0" fontId="104" fillId="0" borderId="1" xfId="116" applyBorder="1" applyAlignment="1" applyProtection="1">
      <alignment horizontal="center"/>
      <protection locked="0"/>
    </xf>
    <xf numFmtId="0" fontId="104" fillId="0" borderId="1" xfId="116" applyBorder="1" applyProtection="1">
      <protection locked="0"/>
    </xf>
    <xf numFmtId="0" fontId="104" fillId="0" borderId="0" xfId="116"/>
    <xf numFmtId="0" fontId="104" fillId="0" borderId="2" xfId="116" applyBorder="1" applyProtection="1">
      <protection locked="0"/>
    </xf>
    <xf numFmtId="39" fontId="0" fillId="0" borderId="1" xfId="0" applyNumberFormat="1" applyBorder="1" applyProtection="1">
      <protection locked="0"/>
    </xf>
    <xf numFmtId="168" fontId="96" fillId="0" borderId="0" xfId="0" applyNumberFormat="1" applyFont="1"/>
    <xf numFmtId="0" fontId="69" fillId="0" borderId="0" xfId="81" applyFont="1"/>
    <xf numFmtId="0" fontId="211" fillId="0" borderId="0" xfId="69"/>
    <xf numFmtId="0" fontId="6" fillId="0" borderId="0" xfId="69" applyFont="1"/>
    <xf numFmtId="0" fontId="13" fillId="0" borderId="0" xfId="69" applyFont="1" applyAlignment="1">
      <alignment horizontal="left"/>
    </xf>
    <xf numFmtId="0" fontId="12" fillId="0" borderId="1" xfId="88" applyFont="1" applyBorder="1" applyAlignment="1">
      <alignment horizontal="center"/>
    </xf>
    <xf numFmtId="176" fontId="13" fillId="0" borderId="0" xfId="84" applyNumberFormat="1" applyFont="1" applyAlignment="1">
      <alignment horizontal="center"/>
    </xf>
    <xf numFmtId="176" fontId="13" fillId="0" borderId="0" xfId="84" applyNumberFormat="1" applyFont="1"/>
    <xf numFmtId="176" fontId="13" fillId="0" borderId="1" xfId="84" applyNumberFormat="1" applyFont="1" applyBorder="1" applyProtection="1">
      <protection locked="0"/>
    </xf>
    <xf numFmtId="176" fontId="13" fillId="0" borderId="1" xfId="84" applyNumberFormat="1" applyFont="1" applyBorder="1"/>
    <xf numFmtId="176" fontId="13" fillId="0" borderId="4" xfId="84" applyNumberFormat="1" applyFont="1" applyBorder="1" applyProtection="1">
      <protection locked="0"/>
    </xf>
    <xf numFmtId="176" fontId="13" fillId="0" borderId="0" xfId="84" applyNumberFormat="1" applyFont="1" applyProtection="1">
      <protection locked="0"/>
    </xf>
    <xf numFmtId="0" fontId="40" fillId="0" borderId="0" xfId="69" applyFont="1"/>
    <xf numFmtId="0" fontId="13" fillId="0" borderId="0" xfId="69" applyFont="1"/>
    <xf numFmtId="0" fontId="13" fillId="0" borderId="0" xfId="88"/>
    <xf numFmtId="0" fontId="13" fillId="0" borderId="0" xfId="88" applyAlignment="1">
      <alignment horizontal="right"/>
    </xf>
    <xf numFmtId="0" fontId="13" fillId="0" borderId="1" xfId="69" applyFont="1" applyBorder="1" applyAlignment="1" applyProtection="1">
      <alignment horizontal="center"/>
      <protection locked="0"/>
    </xf>
    <xf numFmtId="0" fontId="13" fillId="0" borderId="0" xfId="84" applyFont="1"/>
    <xf numFmtId="176" fontId="13" fillId="0" borderId="4" xfId="84" applyNumberFormat="1" applyFont="1" applyBorder="1"/>
    <xf numFmtId="0" fontId="109" fillId="0" borderId="0" xfId="0" applyFont="1"/>
    <xf numFmtId="164" fontId="70" fillId="0" borderId="0" xfId="115" applyNumberFormat="1" applyFont="1" applyAlignment="1">
      <alignment horizontal="center"/>
    </xf>
    <xf numFmtId="0" fontId="5" fillId="0" borderId="0" xfId="115" applyFont="1" applyAlignment="1">
      <alignment horizontal="right"/>
    </xf>
    <xf numFmtId="164" fontId="111" fillId="0" borderId="0" xfId="115" applyNumberFormat="1" applyFont="1" applyAlignment="1">
      <alignment horizontal="center"/>
    </xf>
    <xf numFmtId="164" fontId="23" fillId="0" borderId="0" xfId="115" applyNumberFormat="1" applyFont="1" applyAlignment="1">
      <alignment horizontal="left"/>
    </xf>
    <xf numFmtId="0" fontId="5" fillId="0" borderId="0" xfId="88" applyFont="1" applyProtection="1">
      <protection locked="0"/>
    </xf>
    <xf numFmtId="0" fontId="64" fillId="0" borderId="0" xfId="0" applyFont="1" applyAlignment="1">
      <alignment horizontal="left"/>
    </xf>
    <xf numFmtId="0" fontId="4" fillId="0" borderId="0" xfId="81" applyFont="1"/>
    <xf numFmtId="0" fontId="5" fillId="0" borderId="0" xfId="0" applyFont="1" applyAlignment="1" applyProtection="1">
      <alignment horizontal="center"/>
      <protection locked="0"/>
    </xf>
    <xf numFmtId="0" fontId="31" fillId="0" borderId="0" xfId="0" applyFont="1" applyAlignment="1">
      <alignment horizontal="left"/>
    </xf>
    <xf numFmtId="0" fontId="4" fillId="0" borderId="0" xfId="115" applyFont="1"/>
    <xf numFmtId="168" fontId="113" fillId="0" borderId="0" xfId="82" applyFont="1" applyProtection="1"/>
    <xf numFmtId="168" fontId="34" fillId="0" borderId="0" xfId="82" applyFont="1" applyProtection="1"/>
    <xf numFmtId="0" fontId="34" fillId="0" borderId="0" xfId="82" applyNumberFormat="1" applyFont="1" applyProtection="1"/>
    <xf numFmtId="169" fontId="34" fillId="0" borderId="0" xfId="82" applyNumberFormat="1" applyFont="1" applyProtection="1"/>
    <xf numFmtId="0" fontId="36" fillId="0" borderId="0" xfId="88" applyFont="1"/>
    <xf numFmtId="0" fontId="7" fillId="0" borderId="0" xfId="88" applyFont="1" applyProtection="1">
      <protection locked="0"/>
    </xf>
    <xf numFmtId="168" fontId="7" fillId="0" borderId="0" xfId="85" applyFont="1" applyProtection="1"/>
    <xf numFmtId="168" fontId="19" fillId="0" borderId="0" xfId="85" applyFont="1" applyAlignment="1" applyProtection="1">
      <alignment horizontal="centerContinuous"/>
    </xf>
    <xf numFmtId="168" fontId="7" fillId="0" borderId="0" xfId="85" applyFont="1" applyAlignment="1" applyProtection="1">
      <alignment horizontal="centerContinuous"/>
    </xf>
    <xf numFmtId="168" fontId="113" fillId="0" borderId="0" xfId="85" applyFont="1" applyProtection="1"/>
    <xf numFmtId="168" fontId="44" fillId="0" borderId="0" xfId="57" applyNumberFormat="1" applyAlignment="1" applyProtection="1"/>
    <xf numFmtId="0" fontId="161" fillId="0" borderId="0" xfId="0" applyFont="1"/>
    <xf numFmtId="0" fontId="162" fillId="0" borderId="0" xfId="0" applyFont="1"/>
    <xf numFmtId="168" fontId="40" fillId="0" borderId="0" xfId="85" applyFont="1" applyProtection="1"/>
    <xf numFmtId="0" fontId="114" fillId="0" borderId="0" xfId="88" applyFont="1" applyProtection="1">
      <protection hidden="1"/>
    </xf>
    <xf numFmtId="0" fontId="40" fillId="0" borderId="0" xfId="88" applyFont="1" applyProtection="1">
      <protection hidden="1"/>
    </xf>
    <xf numFmtId="0" fontId="28" fillId="0" borderId="0" xfId="90" applyFont="1" applyAlignment="1">
      <alignment horizontal="right"/>
    </xf>
    <xf numFmtId="0" fontId="12" fillId="0" borderId="0" xfId="115" applyFont="1" applyAlignment="1">
      <alignment horizontal="center"/>
    </xf>
    <xf numFmtId="168" fontId="13" fillId="0" borderId="0" xfId="85" applyFont="1" applyProtection="1"/>
    <xf numFmtId="0" fontId="9" fillId="0" borderId="0" xfId="115" applyAlignment="1" applyProtection="1">
      <alignment horizontal="center"/>
      <protection locked="0"/>
    </xf>
    <xf numFmtId="0" fontId="13" fillId="0" borderId="1" xfId="99" applyFont="1" applyBorder="1" applyAlignment="1" applyProtection="1">
      <alignment horizontal="center"/>
      <protection locked="0"/>
    </xf>
    <xf numFmtId="0" fontId="13" fillId="0" borderId="0" xfId="115" applyFont="1"/>
    <xf numFmtId="0" fontId="13" fillId="0" borderId="0" xfId="89" applyAlignment="1">
      <alignment horizontal="center"/>
    </xf>
    <xf numFmtId="0" fontId="163" fillId="0" borderId="0" xfId="0" applyFont="1" applyAlignment="1">
      <alignment horizontal="left"/>
    </xf>
    <xf numFmtId="49" fontId="40" fillId="0" borderId="4" xfId="89" applyNumberFormat="1" applyFont="1" applyBorder="1" applyAlignment="1" applyProtection="1">
      <alignment horizontal="center"/>
      <protection locked="0"/>
    </xf>
    <xf numFmtId="49" fontId="40" fillId="0" borderId="1" xfId="89" applyNumberFormat="1" applyFont="1" applyBorder="1" applyAlignment="1" applyProtection="1">
      <alignment horizontal="center"/>
      <protection locked="0"/>
    </xf>
    <xf numFmtId="49" fontId="164" fillId="0" borderId="1" xfId="0" applyNumberFormat="1" applyFont="1" applyBorder="1" applyAlignment="1" applyProtection="1">
      <alignment horizontal="center"/>
      <protection locked="0"/>
    </xf>
    <xf numFmtId="49" fontId="164" fillId="0" borderId="4" xfId="0" applyNumberFormat="1" applyFont="1" applyBorder="1" applyAlignment="1" applyProtection="1">
      <alignment horizontal="center"/>
      <protection locked="0"/>
    </xf>
    <xf numFmtId="49" fontId="31" fillId="0" borderId="1" xfId="84" applyNumberFormat="1" applyFont="1" applyBorder="1" applyAlignment="1" applyProtection="1">
      <alignment horizontal="center"/>
      <protection locked="0"/>
    </xf>
    <xf numFmtId="49" fontId="31" fillId="0" borderId="4" xfId="84" applyNumberFormat="1" applyFont="1" applyBorder="1" applyAlignment="1" applyProtection="1">
      <alignment horizontal="center"/>
      <protection locked="0"/>
    </xf>
    <xf numFmtId="0" fontId="40" fillId="0" borderId="0" xfId="89" applyFont="1" applyAlignment="1">
      <alignment horizontal="left"/>
    </xf>
    <xf numFmtId="49" fontId="31" fillId="0" borderId="0" xfId="84" applyNumberFormat="1" applyFont="1" applyAlignment="1" applyProtection="1">
      <alignment horizontal="center"/>
      <protection locked="0"/>
    </xf>
    <xf numFmtId="49" fontId="13" fillId="0" borderId="0" xfId="89" applyNumberFormat="1"/>
    <xf numFmtId="49" fontId="40" fillId="0" borderId="0" xfId="89" applyNumberFormat="1" applyFont="1"/>
    <xf numFmtId="0" fontId="13" fillId="0" borderId="0" xfId="89" quotePrefix="1"/>
    <xf numFmtId="0" fontId="159" fillId="0" borderId="0" xfId="0" applyFont="1" applyAlignment="1">
      <alignment horizontal="center"/>
    </xf>
    <xf numFmtId="190" fontId="13" fillId="0" borderId="1" xfId="89" applyNumberFormat="1" applyBorder="1" applyAlignment="1" applyProtection="1">
      <alignment horizontal="right"/>
      <protection locked="0"/>
    </xf>
    <xf numFmtId="190" fontId="13" fillId="0" borderId="4" xfId="89" applyNumberFormat="1" applyBorder="1" applyAlignment="1" applyProtection="1">
      <alignment horizontal="right"/>
      <protection locked="0"/>
    </xf>
    <xf numFmtId="0" fontId="68" fillId="0" borderId="0" xfId="0" applyFont="1" applyProtection="1">
      <protection hidden="1"/>
    </xf>
    <xf numFmtId="49" fontId="13" fillId="0" borderId="4" xfId="89" applyNumberFormat="1" applyBorder="1" applyAlignment="1" applyProtection="1">
      <alignment horizontal="center"/>
      <protection locked="0"/>
    </xf>
    <xf numFmtId="0" fontId="31" fillId="0" borderId="1" xfId="89" applyFont="1" applyBorder="1" applyAlignment="1" applyProtection="1">
      <alignment horizontal="center"/>
      <protection locked="0"/>
    </xf>
    <xf numFmtId="0" fontId="31" fillId="0" borderId="4" xfId="89" applyFont="1" applyBorder="1" applyAlignment="1" applyProtection="1">
      <alignment horizontal="center"/>
      <protection locked="0"/>
    </xf>
    <xf numFmtId="0" fontId="163" fillId="0" borderId="0" xfId="0" applyFont="1" applyAlignment="1" applyProtection="1">
      <alignment horizontal="left"/>
      <protection locked="0"/>
    </xf>
    <xf numFmtId="0" fontId="165" fillId="0" borderId="0" xfId="0" applyFont="1"/>
    <xf numFmtId="1" fontId="6" fillId="0" borderId="0" xfId="0" applyNumberFormat="1" applyFont="1" applyAlignment="1">
      <alignment horizontal="center"/>
    </xf>
    <xf numFmtId="0" fontId="5" fillId="0" borderId="0" xfId="91" applyFont="1"/>
    <xf numFmtId="0" fontId="211" fillId="0" borderId="0" xfId="69" applyAlignment="1">
      <alignment vertical="top" wrapText="1"/>
    </xf>
    <xf numFmtId="0" fontId="63" fillId="0" borderId="5" xfId="91" applyFont="1" applyBorder="1" applyAlignment="1">
      <alignment horizontal="center"/>
    </xf>
    <xf numFmtId="0" fontId="63" fillId="0" borderId="9" xfId="91" applyFont="1" applyBorder="1" applyAlignment="1">
      <alignment horizontal="center"/>
    </xf>
    <xf numFmtId="0" fontId="31" fillId="0" borderId="0" xfId="91" applyFont="1"/>
    <xf numFmtId="0" fontId="61" fillId="0" borderId="0" xfId="91" applyFont="1" applyAlignment="1">
      <alignment horizontal="centerContinuous"/>
    </xf>
    <xf numFmtId="0" fontId="87" fillId="0" borderId="0" xfId="69" applyFont="1" applyAlignment="1" applyProtection="1">
      <alignment horizontal="center"/>
      <protection hidden="1"/>
    </xf>
    <xf numFmtId="0" fontId="63" fillId="0" borderId="0" xfId="91" applyFont="1" applyAlignment="1">
      <alignment horizontal="center"/>
    </xf>
    <xf numFmtId="0" fontId="160" fillId="0" borderId="0" xfId="69" applyFont="1"/>
    <xf numFmtId="0" fontId="211" fillId="0" borderId="0" xfId="69" applyAlignment="1">
      <alignment vertical="top"/>
    </xf>
    <xf numFmtId="0" fontId="5" fillId="0" borderId="0" xfId="69" applyFont="1" applyAlignment="1">
      <alignment horizontal="center"/>
    </xf>
    <xf numFmtId="170" fontId="93" fillId="6" borderId="0" xfId="91" applyNumberFormat="1" applyFont="1" applyFill="1"/>
    <xf numFmtId="0" fontId="0" fillId="7" borderId="27" xfId="0" applyFill="1" applyBorder="1"/>
    <xf numFmtId="180" fontId="0" fillId="7" borderId="27" xfId="0" applyNumberFormat="1" applyFill="1" applyBorder="1"/>
    <xf numFmtId="0" fontId="0" fillId="7" borderId="28" xfId="0" applyFill="1" applyBorder="1"/>
    <xf numFmtId="0" fontId="0" fillId="7" borderId="29" xfId="0" applyFill="1" applyBorder="1"/>
    <xf numFmtId="0" fontId="0" fillId="7" borderId="0" xfId="0" applyFill="1"/>
    <xf numFmtId="180" fontId="0" fillId="7" borderId="0" xfId="0" applyNumberFormat="1" applyFill="1"/>
    <xf numFmtId="0" fontId="0" fillId="7" borderId="30" xfId="0" applyFill="1" applyBorder="1"/>
    <xf numFmtId="180" fontId="0" fillId="7" borderId="30" xfId="0" applyNumberFormat="1" applyFill="1" applyBorder="1"/>
    <xf numFmtId="0" fontId="0" fillId="7" borderId="31" xfId="0" applyFill="1" applyBorder="1"/>
    <xf numFmtId="0" fontId="0" fillId="7" borderId="2" xfId="0" applyFill="1" applyBorder="1"/>
    <xf numFmtId="180" fontId="0" fillId="7" borderId="2" xfId="0" applyNumberFormat="1" applyFill="1" applyBorder="1"/>
    <xf numFmtId="0" fontId="0" fillId="7" borderId="32" xfId="0" applyFill="1" applyBorder="1"/>
    <xf numFmtId="168" fontId="40" fillId="0" borderId="0" xfId="85" applyFont="1">
      <protection locked="0"/>
    </xf>
    <xf numFmtId="0" fontId="115" fillId="0" borderId="0" xfId="82" applyNumberFormat="1" applyFont="1" applyProtection="1"/>
    <xf numFmtId="180" fontId="166" fillId="8" borderId="0" xfId="0" applyNumberFormat="1" applyFont="1" applyFill="1"/>
    <xf numFmtId="0" fontId="63" fillId="0" borderId="0" xfId="74" applyFont="1"/>
    <xf numFmtId="0" fontId="63" fillId="7" borderId="0" xfId="74" applyFont="1" applyFill="1" applyAlignment="1">
      <alignment wrapText="1"/>
    </xf>
    <xf numFmtId="0" fontId="63" fillId="0" borderId="0" xfId="74" applyFont="1" applyAlignment="1">
      <alignment wrapText="1"/>
    </xf>
    <xf numFmtId="0" fontId="8" fillId="0" borderId="0" xfId="74"/>
    <xf numFmtId="49" fontId="11" fillId="0" borderId="0" xfId="74" applyNumberFormat="1" applyFont="1" applyAlignment="1" applyProtection="1">
      <alignment horizontal="center"/>
      <protection hidden="1"/>
    </xf>
    <xf numFmtId="0" fontId="68" fillId="0" borderId="0" xfId="74" applyFont="1" applyProtection="1">
      <protection hidden="1"/>
    </xf>
    <xf numFmtId="39" fontId="11" fillId="0" borderId="0" xfId="74" applyNumberFormat="1" applyFont="1" applyProtection="1">
      <protection hidden="1"/>
    </xf>
    <xf numFmtId="0" fontId="11" fillId="0" borderId="0" xfId="74" applyFont="1" applyProtection="1">
      <protection hidden="1"/>
    </xf>
    <xf numFmtId="0" fontId="11" fillId="0" borderId="0" xfId="74" applyFont="1" applyAlignment="1" applyProtection="1">
      <alignment horizontal="left"/>
      <protection hidden="1"/>
    </xf>
    <xf numFmtId="39" fontId="8" fillId="0" borderId="0" xfId="74" applyNumberFormat="1"/>
    <xf numFmtId="49" fontId="166" fillId="8" borderId="0" xfId="0" applyNumberFormat="1" applyFont="1" applyFill="1"/>
    <xf numFmtId="180" fontId="166" fillId="8" borderId="1" xfId="0" applyNumberFormat="1" applyFont="1" applyFill="1" applyBorder="1"/>
    <xf numFmtId="39" fontId="11" fillId="0" borderId="0" xfId="74" applyNumberFormat="1" applyFont="1"/>
    <xf numFmtId="49" fontId="11" fillId="9" borderId="0" xfId="74" applyNumberFormat="1" applyFont="1" applyFill="1" applyAlignment="1" applyProtection="1">
      <alignment horizontal="center"/>
      <protection hidden="1"/>
    </xf>
    <xf numFmtId="49" fontId="11" fillId="10" borderId="0" xfId="74" applyNumberFormat="1" applyFont="1" applyFill="1" applyAlignment="1" applyProtection="1">
      <alignment horizontal="center"/>
      <protection hidden="1"/>
    </xf>
    <xf numFmtId="49" fontId="92" fillId="10" borderId="0" xfId="74" applyNumberFormat="1" applyFont="1" applyFill="1" applyAlignment="1" applyProtection="1">
      <alignment horizontal="center"/>
      <protection hidden="1"/>
    </xf>
    <xf numFmtId="0" fontId="117" fillId="0" borderId="0" xfId="0" applyFont="1" applyProtection="1">
      <protection hidden="1"/>
    </xf>
    <xf numFmtId="0" fontId="10" fillId="0" borderId="0" xfId="0" applyFont="1" applyAlignment="1" applyProtection="1">
      <alignment horizontal="center"/>
      <protection hidden="1"/>
    </xf>
    <xf numFmtId="0" fontId="10" fillId="7" borderId="0" xfId="0" applyFont="1" applyFill="1" applyAlignment="1" applyProtection="1">
      <alignment horizontal="center"/>
      <protection hidden="1"/>
    </xf>
    <xf numFmtId="0" fontId="48" fillId="7" borderId="0" xfId="0" applyFont="1" applyFill="1" applyAlignment="1" applyProtection="1">
      <alignment horizontal="center" wrapText="1"/>
      <protection hidden="1"/>
    </xf>
    <xf numFmtId="0" fontId="48" fillId="7" borderId="0" xfId="0" applyFont="1" applyFill="1" applyAlignment="1" applyProtection="1">
      <alignment horizontal="center"/>
      <protection hidden="1"/>
    </xf>
    <xf numFmtId="0" fontId="48" fillId="0" borderId="0" xfId="0" applyFont="1" applyAlignment="1" applyProtection="1">
      <alignment horizontal="center" wrapText="1"/>
      <protection hidden="1"/>
    </xf>
    <xf numFmtId="0" fontId="10" fillId="0" borderId="0" xfId="0" applyFont="1" applyProtection="1">
      <protection hidden="1"/>
    </xf>
    <xf numFmtId="0" fontId="48" fillId="0" borderId="0" xfId="0" applyFont="1" applyAlignment="1" applyProtection="1">
      <alignment wrapText="1"/>
      <protection hidden="1"/>
    </xf>
    <xf numFmtId="0" fontId="3" fillId="0" borderId="0" xfId="74" applyFont="1"/>
    <xf numFmtId="49" fontId="11" fillId="10" borderId="0" xfId="74" quotePrefix="1" applyNumberFormat="1" applyFont="1" applyFill="1" applyAlignment="1">
      <alignment horizontal="center"/>
    </xf>
    <xf numFmtId="49" fontId="11" fillId="10" borderId="0" xfId="74" quotePrefix="1" applyNumberFormat="1" applyFont="1" applyFill="1" applyAlignment="1" applyProtection="1">
      <alignment horizontal="center"/>
      <protection hidden="1"/>
    </xf>
    <xf numFmtId="180" fontId="3" fillId="0" borderId="8" xfId="0" applyNumberFormat="1" applyFont="1" applyBorder="1"/>
    <xf numFmtId="180" fontId="3" fillId="8" borderId="0" xfId="0" applyNumberFormat="1" applyFont="1" applyFill="1"/>
    <xf numFmtId="49" fontId="3" fillId="8" borderId="0" xfId="0" applyNumberFormat="1" applyFont="1" applyFill="1"/>
    <xf numFmtId="180" fontId="5" fillId="0" borderId="2" xfId="95" applyNumberFormat="1" applyFont="1" applyBorder="1" applyAlignment="1">
      <alignment horizontal="center"/>
    </xf>
    <xf numFmtId="0" fontId="5" fillId="0" borderId="2" xfId="95" applyFont="1" applyBorder="1" applyAlignment="1">
      <alignment horizontal="center"/>
    </xf>
    <xf numFmtId="49" fontId="166" fillId="8" borderId="4" xfId="0" applyNumberFormat="1" applyFont="1" applyFill="1" applyBorder="1"/>
    <xf numFmtId="0" fontId="167" fillId="0" borderId="0" xfId="0" applyFont="1"/>
    <xf numFmtId="180" fontId="0" fillId="11" borderId="0" xfId="0" applyNumberFormat="1" applyFill="1"/>
    <xf numFmtId="0" fontId="5" fillId="0" borderId="2" xfId="95" quotePrefix="1" applyFont="1" applyBorder="1" applyAlignment="1">
      <alignment horizontal="center"/>
    </xf>
    <xf numFmtId="0" fontId="4" fillId="0" borderId="0" xfId="0" applyFont="1" applyAlignment="1">
      <alignment wrapText="1"/>
    </xf>
    <xf numFmtId="0" fontId="71" fillId="8" borderId="0" xfId="57" applyFont="1" applyFill="1" applyAlignment="1" applyProtection="1">
      <alignment horizontal="center"/>
    </xf>
    <xf numFmtId="180" fontId="13" fillId="0" borderId="0" xfId="114" applyNumberFormat="1" applyAlignment="1">
      <alignment horizontal="right"/>
    </xf>
    <xf numFmtId="180" fontId="97" fillId="0" borderId="0" xfId="0" applyNumberFormat="1" applyFont="1" applyAlignment="1">
      <alignment horizontal="left"/>
    </xf>
    <xf numFmtId="0" fontId="102" fillId="0" borderId="0" xfId="0" applyFont="1"/>
    <xf numFmtId="180" fontId="0" fillId="8" borderId="0" xfId="0" applyNumberFormat="1" applyFill="1" applyProtection="1">
      <protection locked="0"/>
    </xf>
    <xf numFmtId="0" fontId="74" fillId="8" borderId="0" xfId="110" applyFont="1" applyFill="1" applyAlignment="1">
      <alignment horizontal="left"/>
    </xf>
    <xf numFmtId="0" fontId="74" fillId="8" borderId="0" xfId="110" applyFont="1" applyFill="1" applyAlignment="1">
      <alignment horizontal="center"/>
    </xf>
    <xf numFmtId="0" fontId="118" fillId="8" borderId="0" xfId="110" applyFont="1" applyFill="1"/>
    <xf numFmtId="0" fontId="63" fillId="8" borderId="0" xfId="110" applyFont="1" applyFill="1"/>
    <xf numFmtId="0" fontId="5" fillId="8" borderId="0" xfId="110" applyFont="1" applyFill="1" applyAlignment="1">
      <alignment horizontal="center"/>
    </xf>
    <xf numFmtId="0" fontId="119" fillId="8" borderId="0" xfId="110" applyFont="1" applyFill="1" applyAlignment="1">
      <alignment horizontal="left"/>
    </xf>
    <xf numFmtId="15" fontId="13" fillId="0" borderId="1" xfId="0" applyNumberFormat="1" applyFont="1" applyBorder="1" applyAlignment="1">
      <alignment horizontal="center"/>
    </xf>
    <xf numFmtId="0" fontId="5" fillId="0" borderId="0" xfId="115" applyFont="1"/>
    <xf numFmtId="0" fontId="3" fillId="0" borderId="0" xfId="115" applyFont="1"/>
    <xf numFmtId="0" fontId="5" fillId="0" borderId="0" xfId="115" applyFont="1" applyAlignment="1">
      <alignment horizontal="center"/>
    </xf>
    <xf numFmtId="0" fontId="5" fillId="0" borderId="0" xfId="115" applyFont="1" applyAlignment="1">
      <alignment horizontal="left"/>
    </xf>
    <xf numFmtId="168" fontId="5" fillId="0" borderId="0" xfId="82" applyFont="1" applyAlignment="1" applyProtection="1">
      <alignment horizontal="left"/>
    </xf>
    <xf numFmtId="0" fontId="120" fillId="0" borderId="0" xfId="0" applyFont="1"/>
    <xf numFmtId="0" fontId="3" fillId="6" borderId="0" xfId="0" applyFont="1" applyFill="1"/>
    <xf numFmtId="0" fontId="3" fillId="0" borderId="4" xfId="107" applyFont="1" applyBorder="1"/>
    <xf numFmtId="176" fontId="13" fillId="0" borderId="2" xfId="0" applyNumberFormat="1" applyFont="1" applyBorder="1"/>
    <xf numFmtId="0" fontId="5" fillId="0" borderId="0" xfId="0" quotePrefix="1" applyFont="1" applyAlignment="1">
      <alignment horizontal="center"/>
    </xf>
    <xf numFmtId="0" fontId="121" fillId="0" borderId="0" xfId="0" quotePrefix="1" applyFont="1"/>
    <xf numFmtId="0" fontId="168" fillId="0" borderId="0" xfId="0" applyFont="1"/>
    <xf numFmtId="0" fontId="169" fillId="0" borderId="0" xfId="0" applyFont="1" applyProtection="1">
      <protection locked="0"/>
    </xf>
    <xf numFmtId="0" fontId="169" fillId="0" borderId="0" xfId="0" applyFont="1"/>
    <xf numFmtId="0" fontId="170" fillId="0" borderId="0" xfId="0" applyFont="1"/>
    <xf numFmtId="0" fontId="168" fillId="0" borderId="0" xfId="0" applyFont="1" applyProtection="1">
      <protection hidden="1"/>
    </xf>
    <xf numFmtId="0" fontId="171" fillId="0" borderId="0" xfId="0" applyFont="1"/>
    <xf numFmtId="0" fontId="172" fillId="0" borderId="0" xfId="0" applyFont="1"/>
    <xf numFmtId="0" fontId="173" fillId="0" borderId="0" xfId="0" applyFont="1" applyAlignment="1" applyProtection="1">
      <alignment horizontal="center"/>
      <protection hidden="1"/>
    </xf>
    <xf numFmtId="0" fontId="172" fillId="0" borderId="0" xfId="0" applyFont="1" applyProtection="1">
      <protection hidden="1"/>
    </xf>
    <xf numFmtId="175" fontId="173" fillId="0" borderId="0" xfId="0" applyNumberFormat="1" applyFont="1" applyAlignment="1" applyProtection="1">
      <alignment horizontal="center"/>
      <protection hidden="1"/>
    </xf>
    <xf numFmtId="0" fontId="174" fillId="0" borderId="0" xfId="0" applyFont="1"/>
    <xf numFmtId="0" fontId="169" fillId="0" borderId="0" xfId="119" applyFont="1" applyProtection="1">
      <protection locked="0"/>
    </xf>
    <xf numFmtId="0" fontId="175" fillId="0" borderId="23" xfId="0" applyFont="1" applyBorder="1" applyAlignment="1">
      <alignment horizontal="center" wrapText="1"/>
    </xf>
    <xf numFmtId="0" fontId="173" fillId="0" borderId="15" xfId="57" applyFont="1" applyBorder="1" applyAlignment="1" applyProtection="1">
      <alignment horizontal="center"/>
    </xf>
    <xf numFmtId="0" fontId="172" fillId="0" borderId="23" xfId="119" applyFont="1" applyBorder="1" applyAlignment="1">
      <alignment horizontal="center"/>
    </xf>
    <xf numFmtId="0" fontId="173" fillId="0" borderId="15" xfId="57" applyFont="1" applyBorder="1" applyAlignment="1" applyProtection="1">
      <alignment horizontal="center" wrapText="1"/>
    </xf>
    <xf numFmtId="0" fontId="173" fillId="0" borderId="15" xfId="57" applyFont="1" applyBorder="1" applyAlignment="1" applyProtection="1">
      <alignment horizontal="center" shrinkToFit="1"/>
    </xf>
    <xf numFmtId="0" fontId="173" fillId="0" borderId="15" xfId="57" applyFont="1" applyBorder="1" applyAlignment="1" applyProtection="1"/>
    <xf numFmtId="0" fontId="16" fillId="8" borderId="0" xfId="0" applyFont="1" applyFill="1"/>
    <xf numFmtId="0" fontId="16" fillId="0" borderId="0" xfId="98" applyFont="1" applyAlignment="1">
      <alignment horizontal="center"/>
    </xf>
    <xf numFmtId="0" fontId="15" fillId="0" borderId="0" xfId="98" applyFont="1" applyAlignment="1">
      <alignment horizontal="center"/>
    </xf>
    <xf numFmtId="0" fontId="15" fillId="0" borderId="0" xfId="98" applyFont="1"/>
    <xf numFmtId="0" fontId="16" fillId="0" borderId="0" xfId="101" applyFont="1" applyAlignment="1">
      <alignment horizontal="right"/>
    </xf>
    <xf numFmtId="40" fontId="16" fillId="0" borderId="0" xfId="39" applyFont="1"/>
    <xf numFmtId="39" fontId="27" fillId="0" borderId="0" xfId="101" applyNumberFormat="1" applyFont="1"/>
    <xf numFmtId="0" fontId="30" fillId="0" borderId="0" xfId="101" applyFont="1" applyAlignment="1">
      <alignment horizontal="center"/>
    </xf>
    <xf numFmtId="0" fontId="13" fillId="0" borderId="0" xfId="98" applyAlignment="1">
      <alignment horizontal="center"/>
    </xf>
    <xf numFmtId="0" fontId="13" fillId="0" borderId="1" xfId="98" applyBorder="1" applyAlignment="1">
      <alignment horizontal="center"/>
    </xf>
    <xf numFmtId="0" fontId="23" fillId="0" borderId="0" xfId="98" applyFont="1"/>
    <xf numFmtId="39" fontId="13" fillId="0" borderId="0" xfId="98" applyNumberFormat="1"/>
    <xf numFmtId="176" fontId="16" fillId="0" borderId="1" xfId="38" applyNumberFormat="1" applyFont="1" applyBorder="1"/>
    <xf numFmtId="176" fontId="16" fillId="0" borderId="14" xfId="38" applyNumberFormat="1" applyFont="1" applyBorder="1"/>
    <xf numFmtId="0" fontId="13" fillId="0" borderId="0" xfId="0" applyFont="1" applyAlignment="1">
      <alignment wrapText="1"/>
    </xf>
    <xf numFmtId="0" fontId="12" fillId="0" borderId="1" xfId="0" applyFont="1" applyBorder="1" applyAlignment="1">
      <alignment horizontal="center" wrapText="1"/>
    </xf>
    <xf numFmtId="0" fontId="12" fillId="0" borderId="0" xfId="0" applyFont="1" applyAlignment="1">
      <alignment horizontal="center" wrapText="1"/>
    </xf>
    <xf numFmtId="0" fontId="176" fillId="0" borderId="0" xfId="0" applyFont="1"/>
    <xf numFmtId="39" fontId="16" fillId="0" borderId="1" xfId="38" applyNumberFormat="1" applyFont="1" applyBorder="1" applyProtection="1">
      <protection locked="0"/>
    </xf>
    <xf numFmtId="39" fontId="16" fillId="0" borderId="0" xfId="38" applyNumberFormat="1" applyFont="1" applyProtection="1">
      <protection locked="0"/>
    </xf>
    <xf numFmtId="39" fontId="16" fillId="0" borderId="0" xfId="0" applyNumberFormat="1" applyFont="1"/>
    <xf numFmtId="39" fontId="16" fillId="0" borderId="3" xfId="0" applyNumberFormat="1" applyFont="1" applyBorder="1"/>
    <xf numFmtId="0" fontId="177" fillId="0" borderId="0" xfId="0" applyFont="1"/>
    <xf numFmtId="0" fontId="74" fillId="0" borderId="0" xfId="0" applyFont="1" applyAlignment="1">
      <alignment horizontal="center"/>
    </xf>
    <xf numFmtId="0" fontId="178" fillId="12" borderId="0" xfId="0" applyFont="1" applyFill="1" applyAlignment="1">
      <alignment horizontal="center"/>
    </xf>
    <xf numFmtId="0" fontId="179" fillId="0" borderId="0" xfId="0" applyFont="1"/>
    <xf numFmtId="0" fontId="44" fillId="0" borderId="0" xfId="57" applyAlignment="1" applyProtection="1"/>
    <xf numFmtId="0" fontId="11" fillId="0" borderId="0" xfId="0" applyFont="1" applyAlignment="1" applyProtection="1">
      <alignment horizontal="left"/>
      <protection hidden="1"/>
    </xf>
    <xf numFmtId="0" fontId="92" fillId="0" borderId="0" xfId="0" applyFont="1" applyProtection="1">
      <protection hidden="1"/>
    </xf>
    <xf numFmtId="0" fontId="180" fillId="0" borderId="0" xfId="119" applyFont="1" applyProtection="1">
      <protection locked="0"/>
    </xf>
    <xf numFmtId="0" fontId="9" fillId="0" borderId="1" xfId="116" applyFont="1" applyBorder="1" applyAlignment="1" applyProtection="1">
      <alignment horizontal="center"/>
      <protection locked="0"/>
    </xf>
    <xf numFmtId="0" fontId="9" fillId="0" borderId="1" xfId="116" quotePrefix="1" applyFont="1" applyBorder="1" applyAlignment="1" applyProtection="1">
      <alignment horizontal="center"/>
      <protection locked="0"/>
    </xf>
    <xf numFmtId="0" fontId="105" fillId="0" borderId="0" xfId="116" applyFont="1" applyAlignment="1">
      <alignment vertical="center"/>
    </xf>
    <xf numFmtId="0" fontId="104" fillId="0" borderId="0" xfId="116" applyAlignment="1">
      <alignment horizontal="center"/>
    </xf>
    <xf numFmtId="0" fontId="175" fillId="0" borderId="0" xfId="0" applyFont="1" applyAlignment="1">
      <alignment horizontal="center"/>
    </xf>
    <xf numFmtId="49" fontId="181" fillId="0" borderId="0" xfId="0" applyNumberFormat="1" applyFont="1"/>
    <xf numFmtId="0" fontId="123" fillId="0" borderId="0" xfId="0" applyFont="1" applyAlignment="1">
      <alignment horizontal="center"/>
    </xf>
    <xf numFmtId="49" fontId="123" fillId="0" borderId="0" xfId="0" applyNumberFormat="1" applyFont="1"/>
    <xf numFmtId="0" fontId="123" fillId="0" borderId="0" xfId="0" applyFont="1"/>
    <xf numFmtId="0" fontId="122" fillId="0" borderId="0" xfId="0" applyFont="1"/>
    <xf numFmtId="0" fontId="125" fillId="0" borderId="0" xfId="0" applyFont="1"/>
    <xf numFmtId="0" fontId="181" fillId="0" borderId="0" xfId="0" applyFont="1"/>
    <xf numFmtId="0" fontId="123" fillId="0" borderId="0" xfId="119" applyFont="1"/>
    <xf numFmtId="0" fontId="183" fillId="0" borderId="0" xfId="0" applyFont="1"/>
    <xf numFmtId="0" fontId="184" fillId="0" borderId="15" xfId="0" applyFont="1" applyBorder="1" applyAlignment="1">
      <alignment horizontal="center"/>
    </xf>
    <xf numFmtId="0" fontId="184" fillId="0" borderId="23" xfId="0" applyFont="1" applyBorder="1" applyAlignment="1">
      <alignment horizontal="center" wrapText="1"/>
    </xf>
    <xf numFmtId="0" fontId="185" fillId="0" borderId="15" xfId="57" applyFont="1" applyBorder="1" applyAlignment="1" applyProtection="1">
      <alignment horizontal="center"/>
    </xf>
    <xf numFmtId="0" fontId="181" fillId="3" borderId="15" xfId="119" applyFont="1" applyFill="1" applyBorder="1" applyAlignment="1">
      <alignment horizontal="center" vertical="center" wrapText="1"/>
    </xf>
    <xf numFmtId="0" fontId="181" fillId="0" borderId="15" xfId="119" applyFont="1" applyBorder="1" applyAlignment="1" applyProtection="1">
      <alignment horizontal="center"/>
      <protection locked="0"/>
    </xf>
    <xf numFmtId="0" fontId="9" fillId="0" borderId="0" xfId="115" applyProtection="1">
      <protection locked="0"/>
    </xf>
    <xf numFmtId="0" fontId="12" fillId="0" borderId="0" xfId="115" applyFont="1"/>
    <xf numFmtId="49" fontId="40" fillId="0" borderId="0" xfId="89" quotePrefix="1" applyNumberFormat="1" applyFont="1" applyAlignment="1">
      <alignment horizontal="right"/>
    </xf>
    <xf numFmtId="176" fontId="3" fillId="0" borderId="1" xfId="39" applyNumberFormat="1" applyFont="1" applyBorder="1" applyProtection="1">
      <protection locked="0"/>
    </xf>
    <xf numFmtId="0" fontId="3" fillId="0" borderId="0" xfId="86" applyFont="1"/>
    <xf numFmtId="0" fontId="3" fillId="6" borderId="0" xfId="0" applyFont="1" applyFill="1" applyAlignment="1">
      <alignment horizontal="center"/>
    </xf>
    <xf numFmtId="0" fontId="5" fillId="0" borderId="0" xfId="0" applyFont="1" applyAlignment="1">
      <alignment horizontal="left" indent="4"/>
    </xf>
    <xf numFmtId="0" fontId="28" fillId="0" borderId="0" xfId="86" applyFont="1" applyAlignment="1">
      <alignment horizontal="left" indent="1"/>
    </xf>
    <xf numFmtId="0" fontId="3" fillId="0" borderId="0" xfId="0" applyFont="1" applyAlignment="1">
      <alignment vertical="center"/>
    </xf>
    <xf numFmtId="0" fontId="3" fillId="0" borderId="7" xfId="91" applyFont="1" applyBorder="1" applyAlignment="1" applyProtection="1">
      <alignment horizontal="center"/>
      <protection locked="0"/>
    </xf>
    <xf numFmtId="0" fontId="71" fillId="7" borderId="0" xfId="57" applyFont="1" applyFill="1" applyAlignment="1" applyProtection="1">
      <alignment horizontal="center"/>
      <protection hidden="1"/>
    </xf>
    <xf numFmtId="39" fontId="11" fillId="9" borderId="0" xfId="74" applyNumberFormat="1" applyFont="1" applyFill="1" applyProtection="1">
      <protection hidden="1"/>
    </xf>
    <xf numFmtId="39" fontId="11" fillId="13" borderId="0" xfId="74" applyNumberFormat="1" applyFont="1" applyFill="1" applyProtection="1">
      <protection hidden="1"/>
    </xf>
    <xf numFmtId="0" fontId="48" fillId="13" borderId="0" xfId="0" applyFont="1" applyFill="1" applyProtection="1">
      <protection hidden="1"/>
    </xf>
    <xf numFmtId="0" fontId="11" fillId="13" borderId="0" xfId="0" applyFont="1" applyFill="1" applyProtection="1">
      <protection hidden="1"/>
    </xf>
    <xf numFmtId="49" fontId="3" fillId="0" borderId="18" xfId="0" applyNumberFormat="1" applyFont="1" applyBorder="1"/>
    <xf numFmtId="49" fontId="11" fillId="13" borderId="0" xfId="74" quotePrefix="1" applyNumberFormat="1" applyFont="1" applyFill="1" applyAlignment="1" applyProtection="1">
      <alignment horizontal="center"/>
      <protection hidden="1"/>
    </xf>
    <xf numFmtId="49" fontId="3" fillId="0" borderId="1" xfId="114" applyNumberFormat="1" applyFont="1" applyBorder="1" applyAlignment="1">
      <alignment horizontal="left" shrinkToFit="1"/>
    </xf>
    <xf numFmtId="0" fontId="3" fillId="0" borderId="2" xfId="114" applyFont="1" applyBorder="1"/>
    <xf numFmtId="180" fontId="3" fillId="0" borderId="2" xfId="114" applyNumberFormat="1" applyFont="1" applyBorder="1"/>
    <xf numFmtId="0" fontId="0" fillId="10" borderId="0" xfId="0" applyFill="1" applyAlignment="1">
      <alignment horizontal="center"/>
    </xf>
    <xf numFmtId="180" fontId="0" fillId="10" borderId="0" xfId="0" applyNumberFormat="1" applyFill="1" applyAlignment="1">
      <alignment horizontal="center"/>
    </xf>
    <xf numFmtId="180" fontId="3" fillId="10" borderId="0" xfId="0" applyNumberFormat="1" applyFont="1" applyFill="1" applyAlignment="1">
      <alignment horizontal="center"/>
    </xf>
    <xf numFmtId="0" fontId="118" fillId="0" borderId="0" xfId="74" applyFont="1" applyAlignment="1">
      <alignment wrapText="1"/>
    </xf>
    <xf numFmtId="0" fontId="186" fillId="0" borderId="0" xfId="69" applyFont="1"/>
    <xf numFmtId="0" fontId="118" fillId="8" borderId="0" xfId="95" applyFont="1" applyFill="1" applyAlignment="1">
      <alignment horizontal="center"/>
    </xf>
    <xf numFmtId="180" fontId="83" fillId="8" borderId="0" xfId="0" applyNumberFormat="1" applyFont="1" applyFill="1"/>
    <xf numFmtId="0" fontId="3" fillId="8" borderId="0" xfId="0" applyFont="1" applyFill="1" applyAlignment="1">
      <alignment horizontal="center"/>
    </xf>
    <xf numFmtId="168" fontId="96" fillId="10" borderId="0" xfId="0" applyNumberFormat="1" applyFont="1" applyFill="1"/>
    <xf numFmtId="0" fontId="0" fillId="10" borderId="0" xfId="0" quotePrefix="1" applyFill="1" applyAlignment="1">
      <alignment horizontal="center"/>
    </xf>
    <xf numFmtId="0" fontId="0" fillId="8" borderId="0" xfId="0" quotePrefix="1" applyFill="1" applyAlignment="1">
      <alignment horizontal="center"/>
    </xf>
    <xf numFmtId="0" fontId="0" fillId="10" borderId="0" xfId="0" applyFill="1"/>
    <xf numFmtId="166" fontId="16" fillId="10" borderId="0" xfId="0" applyNumberFormat="1" applyFont="1" applyFill="1"/>
    <xf numFmtId="0" fontId="3" fillId="10" borderId="0" xfId="0" applyFont="1" applyFill="1"/>
    <xf numFmtId="0" fontId="187" fillId="0" borderId="0" xfId="0" applyFont="1"/>
    <xf numFmtId="0" fontId="0" fillId="14" borderId="0" xfId="0" applyFill="1"/>
    <xf numFmtId="0" fontId="63" fillId="0" borderId="0" xfId="84" applyFont="1"/>
    <xf numFmtId="0" fontId="23" fillId="8" borderId="0" xfId="84" applyFont="1" applyFill="1"/>
    <xf numFmtId="0" fontId="23" fillId="8" borderId="0" xfId="88" applyFont="1" applyFill="1" applyAlignment="1">
      <alignment horizontal="center"/>
    </xf>
    <xf numFmtId="0" fontId="23" fillId="8" borderId="0" xfId="88" applyFont="1" applyFill="1" applyAlignment="1" applyProtection="1">
      <alignment horizontal="center"/>
      <protection locked="0"/>
    </xf>
    <xf numFmtId="0" fontId="23" fillId="8" borderId="0" xfId="88" applyFont="1" applyFill="1" applyAlignment="1">
      <alignment horizontal="center" wrapText="1" shrinkToFit="1"/>
    </xf>
    <xf numFmtId="1" fontId="6" fillId="8" borderId="0" xfId="0" applyNumberFormat="1" applyFont="1" applyFill="1" applyAlignment="1">
      <alignment horizontal="center"/>
    </xf>
    <xf numFmtId="0" fontId="11" fillId="0" borderId="0" xfId="74" applyFont="1" applyAlignment="1" applyProtection="1">
      <alignment horizontal="right"/>
      <protection hidden="1"/>
    </xf>
    <xf numFmtId="0" fontId="132" fillId="0" borderId="0" xfId="74" applyFont="1" applyAlignment="1" applyProtection="1">
      <alignment horizontal="right"/>
      <protection hidden="1"/>
    </xf>
    <xf numFmtId="15" fontId="13" fillId="0" borderId="1" xfId="0" applyNumberFormat="1" applyFont="1" applyBorder="1" applyAlignment="1" applyProtection="1">
      <alignment horizontal="center"/>
      <protection locked="0"/>
    </xf>
    <xf numFmtId="180" fontId="3" fillId="5" borderId="0" xfId="0" applyNumberFormat="1" applyFont="1" applyFill="1"/>
    <xf numFmtId="0" fontId="13" fillId="8" borderId="1" xfId="0" applyFont="1" applyFill="1" applyBorder="1" applyAlignment="1" applyProtection="1">
      <alignment horizontal="center"/>
      <protection locked="0"/>
    </xf>
    <xf numFmtId="180" fontId="3" fillId="0" borderId="0" xfId="95" applyNumberFormat="1" applyFont="1"/>
    <xf numFmtId="0" fontId="13" fillId="8" borderId="1" xfId="0" applyFont="1" applyFill="1" applyBorder="1" applyAlignment="1">
      <alignment horizontal="center"/>
    </xf>
    <xf numFmtId="165" fontId="74" fillId="0" borderId="0" xfId="0" applyNumberFormat="1" applyFont="1"/>
    <xf numFmtId="0" fontId="188" fillId="0" borderId="0" xfId="69" applyFont="1"/>
    <xf numFmtId="180" fontId="5" fillId="0" borderId="0" xfId="0" applyNumberFormat="1" applyFont="1" applyAlignment="1">
      <alignment horizontal="center"/>
    </xf>
    <xf numFmtId="188" fontId="16" fillId="0" borderId="0" xfId="123" applyNumberFormat="1" applyProtection="1"/>
    <xf numFmtId="188" fontId="16" fillId="0" borderId="0" xfId="118" applyNumberFormat="1" applyProtection="1"/>
    <xf numFmtId="0" fontId="189" fillId="0" borderId="0" xfId="0" applyFont="1"/>
    <xf numFmtId="0" fontId="135" fillId="0" borderId="0" xfId="0" applyFont="1"/>
    <xf numFmtId="179" fontId="13" fillId="0" borderId="4" xfId="0" applyNumberFormat="1" applyFont="1" applyBorder="1" applyProtection="1">
      <protection locked="0"/>
    </xf>
    <xf numFmtId="179" fontId="13" fillId="0" borderId="0" xfId="0" applyNumberFormat="1" applyFont="1" applyProtection="1">
      <protection locked="0"/>
    </xf>
    <xf numFmtId="0" fontId="3" fillId="0" borderId="0" xfId="94" applyFont="1" applyAlignment="1">
      <alignment horizontal="center"/>
    </xf>
    <xf numFmtId="0" fontId="3" fillId="11" borderId="0" xfId="74" applyFont="1" applyFill="1"/>
    <xf numFmtId="0" fontId="0" fillId="11" borderId="0" xfId="0" applyFill="1" applyProtection="1">
      <protection locked="0"/>
    </xf>
    <xf numFmtId="1" fontId="64" fillId="0" borderId="0" xfId="101" applyNumberFormat="1" applyFont="1" applyAlignment="1">
      <alignment horizontal="center"/>
    </xf>
    <xf numFmtId="0" fontId="16" fillId="0" borderId="0" xfId="101" applyFont="1" applyAlignment="1">
      <alignment horizontal="left"/>
    </xf>
    <xf numFmtId="1" fontId="15" fillId="0" borderId="0" xfId="101" applyNumberFormat="1" applyFont="1" applyAlignment="1">
      <alignment horizontal="center"/>
    </xf>
    <xf numFmtId="176" fontId="16" fillId="0" borderId="2" xfId="38" applyNumberFormat="1" applyFont="1" applyBorder="1" applyProtection="1">
      <protection locked="0"/>
    </xf>
    <xf numFmtId="0" fontId="3" fillId="0" borderId="0" xfId="0" quotePrefix="1" applyFont="1"/>
    <xf numFmtId="0" fontId="40" fillId="0" borderId="0" xfId="0" applyFont="1" applyAlignment="1">
      <alignment horizontal="left"/>
    </xf>
    <xf numFmtId="0" fontId="12" fillId="0" borderId="0" xfId="0" quotePrefix="1" applyFont="1"/>
    <xf numFmtId="0" fontId="10" fillId="8" borderId="0" xfId="0" applyFont="1" applyFill="1" applyAlignment="1">
      <alignment horizontal="center"/>
    </xf>
    <xf numFmtId="0" fontId="10" fillId="8" borderId="34" xfId="0" applyFont="1" applyFill="1" applyBorder="1" applyAlignment="1">
      <alignment horizontal="left"/>
    </xf>
    <xf numFmtId="0" fontId="10" fillId="8" borderId="35" xfId="0" applyFont="1" applyFill="1" applyBorder="1" applyAlignment="1">
      <alignment horizontal="left"/>
    </xf>
    <xf numFmtId="0" fontId="10" fillId="8" borderId="36" xfId="0" applyFont="1" applyFill="1" applyBorder="1" applyAlignment="1">
      <alignment horizontal="left"/>
    </xf>
    <xf numFmtId="176" fontId="3" fillId="0" borderId="0" xfId="84" applyNumberFormat="1" applyFont="1"/>
    <xf numFmtId="180" fontId="166" fillId="8" borderId="0" xfId="75" applyNumberFormat="1" applyFont="1" applyFill="1"/>
    <xf numFmtId="180" fontId="3" fillId="0" borderId="0" xfId="75" applyNumberFormat="1"/>
    <xf numFmtId="180" fontId="3" fillId="0" borderId="0" xfId="73" applyNumberFormat="1"/>
    <xf numFmtId="168" fontId="3" fillId="0" borderId="0" xfId="85" applyFont="1">
      <protection locked="0"/>
    </xf>
    <xf numFmtId="0" fontId="124" fillId="12" borderId="0" xfId="119" applyFont="1" applyFill="1"/>
    <xf numFmtId="0" fontId="0" fillId="16" borderId="0" xfId="0" applyFill="1"/>
    <xf numFmtId="180" fontId="3" fillId="16" borderId="0" xfId="0" applyNumberFormat="1" applyFont="1" applyFill="1"/>
    <xf numFmtId="0" fontId="79" fillId="11" borderId="0" xfId="0" applyFont="1" applyFill="1" applyProtection="1">
      <protection locked="0"/>
    </xf>
    <xf numFmtId="49" fontId="16" fillId="8" borderId="0" xfId="0" applyNumberFormat="1" applyFont="1" applyFill="1"/>
    <xf numFmtId="0" fontId="16" fillId="16" borderId="0" xfId="0" applyFont="1" applyFill="1"/>
    <xf numFmtId="166" fontId="15" fillId="0" borderId="0" xfId="0" applyNumberFormat="1" applyFont="1" applyAlignment="1" applyProtection="1">
      <alignment horizontal="center"/>
      <protection locked="0"/>
    </xf>
    <xf numFmtId="0" fontId="63" fillId="8" borderId="0" xfId="0" applyFont="1" applyFill="1" applyAlignment="1">
      <alignment horizontal="center"/>
    </xf>
    <xf numFmtId="0" fontId="89" fillId="0" borderId="0" xfId="118" applyFont="1" applyAlignment="1" applyProtection="1">
      <alignment horizontal="left"/>
    </xf>
    <xf numFmtId="0" fontId="65" fillId="0" borderId="0" xfId="118" applyFont="1" applyAlignment="1" applyProtection="1">
      <alignment horizontal="left"/>
    </xf>
    <xf numFmtId="0" fontId="16" fillId="0" borderId="0" xfId="118" applyProtection="1"/>
    <xf numFmtId="0" fontId="89" fillId="0" borderId="0" xfId="0" applyFont="1"/>
    <xf numFmtId="0" fontId="0" fillId="15" borderId="0" xfId="0" applyFill="1"/>
    <xf numFmtId="0" fontId="138" fillId="0" borderId="0" xfId="0" applyFont="1" applyAlignment="1">
      <alignment vertical="center"/>
    </xf>
    <xf numFmtId="0" fontId="139" fillId="0" borderId="0" xfId="0" applyFont="1" applyAlignment="1">
      <alignment horizontal="left" vertical="center" indent="4"/>
    </xf>
    <xf numFmtId="39" fontId="16" fillId="0" borderId="0" xfId="0" applyNumberFormat="1" applyFont="1" applyProtection="1">
      <protection locked="0"/>
    </xf>
    <xf numFmtId="0" fontId="3" fillId="0" borderId="0" xfId="84" applyFont="1" applyAlignment="1">
      <alignment horizontal="left" indent="1"/>
    </xf>
    <xf numFmtId="0" fontId="5" fillId="0" borderId="15" xfId="0" applyFont="1" applyBorder="1"/>
    <xf numFmtId="0" fontId="120" fillId="9" borderId="0" xfId="0" applyFont="1" applyFill="1"/>
    <xf numFmtId="0" fontId="120" fillId="17" borderId="0" xfId="73" applyFont="1" applyFill="1"/>
    <xf numFmtId="0" fontId="5" fillId="0" borderId="15" xfId="73" applyFont="1" applyBorder="1"/>
    <xf numFmtId="0" fontId="5" fillId="11" borderId="0" xfId="0" applyFont="1" applyFill="1"/>
    <xf numFmtId="0" fontId="3" fillId="11" borderId="0" xfId="0" applyFont="1" applyFill="1"/>
    <xf numFmtId="0" fontId="118" fillId="0" borderId="0" xfId="0" applyFont="1" applyProtection="1">
      <protection locked="0"/>
    </xf>
    <xf numFmtId="0" fontId="5" fillId="6" borderId="37" xfId="95" applyFont="1" applyFill="1" applyBorder="1"/>
    <xf numFmtId="0" fontId="3" fillId="6" borderId="40" xfId="95" applyFont="1" applyFill="1" applyBorder="1"/>
    <xf numFmtId="0" fontId="3" fillId="6" borderId="42" xfId="95" applyFont="1" applyFill="1" applyBorder="1"/>
    <xf numFmtId="164" fontId="3" fillId="0" borderId="1" xfId="99" applyNumberFormat="1" applyBorder="1" applyAlignment="1">
      <alignment horizontal="center"/>
    </xf>
    <xf numFmtId="164" fontId="3" fillId="0" borderId="0" xfId="99" applyNumberFormat="1" applyAlignment="1">
      <alignment horizontal="right"/>
    </xf>
    <xf numFmtId="164" fontId="3" fillId="0" borderId="1" xfId="96" applyNumberFormat="1" applyBorder="1" applyAlignment="1">
      <alignment horizontal="left"/>
    </xf>
    <xf numFmtId="0" fontId="3" fillId="0" borderId="1" xfId="0" applyFont="1" applyBorder="1" applyAlignment="1">
      <alignment horizontal="left"/>
    </xf>
    <xf numFmtId="164" fontId="3" fillId="0" borderId="4" xfId="96" applyNumberFormat="1" applyBorder="1" applyAlignment="1">
      <alignment horizontal="left"/>
    </xf>
    <xf numFmtId="0" fontId="3" fillId="0" borderId="4" xfId="0" applyFont="1" applyBorder="1" applyAlignment="1">
      <alignment horizontal="left"/>
    </xf>
    <xf numFmtId="164" fontId="3" fillId="0" borderId="4" xfId="96" applyNumberFormat="1" applyBorder="1" applyAlignment="1" applyProtection="1">
      <alignment horizontal="left"/>
      <protection locked="0"/>
    </xf>
    <xf numFmtId="0" fontId="142" fillId="0" borderId="0" xfId="0" applyFont="1" applyAlignment="1">
      <alignment vertical="center"/>
    </xf>
    <xf numFmtId="0" fontId="6" fillId="0" borderId="0" xfId="0" applyFont="1" applyAlignment="1">
      <alignment vertical="center"/>
    </xf>
    <xf numFmtId="164" fontId="5" fillId="0" borderId="0" xfId="99" applyNumberFormat="1" applyFont="1" applyAlignment="1">
      <alignment horizontal="center"/>
    </xf>
    <xf numFmtId="164" fontId="5" fillId="0" borderId="2" xfId="99" applyNumberFormat="1" applyFont="1" applyBorder="1" applyAlignment="1">
      <alignment horizontal="center"/>
    </xf>
    <xf numFmtId="0" fontId="97" fillId="0" borderId="0" xfId="94" applyFont="1" applyAlignment="1" applyProtection="1">
      <alignment horizontal="center"/>
      <protection locked="0"/>
    </xf>
    <xf numFmtId="0" fontId="3" fillId="0" borderId="0" xfId="94" applyFont="1"/>
    <xf numFmtId="39" fontId="190" fillId="0" borderId="0" xfId="74" applyNumberFormat="1" applyFont="1" applyProtection="1">
      <protection hidden="1"/>
    </xf>
    <xf numFmtId="0" fontId="3" fillId="0" borderId="4" xfId="94" applyFont="1" applyBorder="1"/>
    <xf numFmtId="0" fontId="191" fillId="0" borderId="0" xfId="0" applyFont="1" applyAlignment="1">
      <alignment horizontal="center"/>
    </xf>
    <xf numFmtId="0" fontId="13" fillId="9" borderId="23" xfId="95" applyFill="1" applyBorder="1"/>
    <xf numFmtId="0" fontId="13" fillId="9" borderId="4" xfId="95" applyFill="1" applyBorder="1"/>
    <xf numFmtId="180" fontId="13" fillId="9" borderId="4" xfId="95" applyNumberFormat="1" applyFill="1" applyBorder="1"/>
    <xf numFmtId="0" fontId="13" fillId="9" borderId="33" xfId="95" applyFill="1" applyBorder="1"/>
    <xf numFmtId="0" fontId="13" fillId="9" borderId="4" xfId="0" applyFont="1" applyFill="1" applyBorder="1"/>
    <xf numFmtId="0" fontId="13" fillId="9" borderId="33" xfId="0" applyFont="1" applyFill="1" applyBorder="1"/>
    <xf numFmtId="0" fontId="3" fillId="16" borderId="0" xfId="0" applyFont="1" applyFill="1"/>
    <xf numFmtId="180" fontId="143" fillId="0" borderId="0" xfId="0" applyNumberFormat="1" applyFont="1"/>
    <xf numFmtId="0" fontId="3" fillId="15" borderId="0" xfId="0" applyFont="1" applyFill="1"/>
    <xf numFmtId="22" fontId="3" fillId="0" borderId="0" xfId="0" applyNumberFormat="1" applyFont="1"/>
    <xf numFmtId="0" fontId="3" fillId="0" borderId="15" xfId="115" applyFont="1" applyBorder="1" applyAlignment="1" applyProtection="1">
      <alignment horizontal="center"/>
      <protection locked="0"/>
    </xf>
    <xf numFmtId="0" fontId="3" fillId="0" borderId="0" xfId="81" applyFont="1"/>
    <xf numFmtId="0" fontId="3" fillId="0" borderId="0" xfId="81" applyFont="1" applyAlignment="1">
      <alignment horizontal="right"/>
    </xf>
    <xf numFmtId="0" fontId="3" fillId="0" borderId="2" xfId="81" applyFont="1" applyBorder="1" applyAlignment="1">
      <alignment horizontal="centerContinuous"/>
    </xf>
    <xf numFmtId="0" fontId="3" fillId="0" borderId="0" xfId="81" applyFont="1" applyAlignment="1">
      <alignment horizontal="centerContinuous"/>
    </xf>
    <xf numFmtId="0" fontId="3" fillId="0" borderId="1" xfId="81" applyFont="1" applyBorder="1" applyAlignment="1">
      <alignment horizontal="centerContinuous"/>
    </xf>
    <xf numFmtId="0" fontId="3" fillId="0" borderId="0" xfId="81" applyFont="1" applyAlignment="1" applyProtection="1">
      <alignment horizontal="center"/>
      <protection locked="0"/>
    </xf>
    <xf numFmtId="0" fontId="16" fillId="0" borderId="0" xfId="81" applyFont="1"/>
    <xf numFmtId="0" fontId="144" fillId="0" borderId="0" xfId="81" applyFont="1"/>
    <xf numFmtId="176" fontId="3" fillId="0" borderId="1" xfId="81" applyNumberFormat="1" applyFont="1" applyBorder="1" applyProtection="1">
      <protection locked="0"/>
    </xf>
    <xf numFmtId="176" fontId="3" fillId="0" borderId="0" xfId="81" applyNumberFormat="1" applyFont="1"/>
    <xf numFmtId="0" fontId="5" fillId="0" borderId="0" xfId="81" applyFont="1" applyAlignment="1">
      <alignment horizontal="center"/>
    </xf>
    <xf numFmtId="0" fontId="5" fillId="0" borderId="0" xfId="81" applyFont="1" applyAlignment="1">
      <alignment horizontal="centerContinuous"/>
    </xf>
    <xf numFmtId="176" fontId="5" fillId="0" borderId="0" xfId="81" applyNumberFormat="1" applyFont="1" applyProtection="1">
      <protection locked="0"/>
    </xf>
    <xf numFmtId="176" fontId="5" fillId="0" borderId="0" xfId="81" applyNumberFormat="1" applyFont="1"/>
    <xf numFmtId="0" fontId="89" fillId="0" borderId="0" xfId="81" applyFont="1"/>
    <xf numFmtId="170" fontId="3" fillId="6" borderId="15" xfId="91" applyNumberFormat="1" applyFont="1" applyFill="1" applyBorder="1"/>
    <xf numFmtId="170" fontId="3" fillId="6" borderId="25" xfId="91" applyNumberFormat="1" applyFont="1" applyFill="1" applyBorder="1"/>
    <xf numFmtId="0" fontId="5" fillId="0" borderId="5" xfId="0" applyFont="1" applyBorder="1"/>
    <xf numFmtId="49" fontId="123" fillId="12" borderId="0" xfId="0" applyNumberFormat="1" applyFont="1" applyFill="1"/>
    <xf numFmtId="0" fontId="16" fillId="0" borderId="0" xfId="0" quotePrefix="1" applyFont="1"/>
    <xf numFmtId="164" fontId="7" fillId="0" borderId="1" xfId="115" applyNumberFormat="1" applyFont="1" applyBorder="1" applyAlignment="1" applyProtection="1">
      <alignment horizontal="center"/>
      <protection locked="0"/>
    </xf>
    <xf numFmtId="193" fontId="3" fillId="0" borderId="0" xfId="81" applyNumberFormat="1" applyFont="1" applyAlignment="1" applyProtection="1">
      <alignment horizontal="center"/>
      <protection locked="0"/>
    </xf>
    <xf numFmtId="193" fontId="3" fillId="0" borderId="0" xfId="81" applyNumberFormat="1" applyFont="1" applyAlignment="1">
      <alignment horizontal="center"/>
    </xf>
    <xf numFmtId="193" fontId="3" fillId="0" borderId="0" xfId="81" applyNumberFormat="1" applyFont="1"/>
    <xf numFmtId="176" fontId="16" fillId="0" borderId="1" xfId="39" applyNumberFormat="1" applyFont="1" applyBorder="1" applyProtection="1">
      <protection locked="0"/>
    </xf>
    <xf numFmtId="168" fontId="20" fillId="0" borderId="0" xfId="82" applyFont="1" applyAlignment="1" applyProtection="1">
      <alignment horizontal="right"/>
    </xf>
    <xf numFmtId="168" fontId="113" fillId="0" borderId="0" xfId="82" applyFont="1" applyAlignment="1" applyProtection="1">
      <alignment horizontal="right"/>
    </xf>
    <xf numFmtId="168" fontId="34" fillId="0" borderId="0" xfId="82" applyFont="1" applyAlignment="1" applyProtection="1">
      <alignment horizontal="right"/>
    </xf>
    <xf numFmtId="168" fontId="3" fillId="0" borderId="0" xfId="82" applyFont="1" applyAlignment="1" applyProtection="1">
      <alignment horizontal="right"/>
    </xf>
    <xf numFmtId="0" fontId="7" fillId="0" borderId="0" xfId="88" applyFont="1" applyAlignment="1" applyProtection="1">
      <alignment horizontal="right"/>
      <protection hidden="1"/>
    </xf>
    <xf numFmtId="168" fontId="16" fillId="0" borderId="0" xfId="82" applyAlignment="1" applyProtection="1">
      <alignment horizontal="right"/>
    </xf>
    <xf numFmtId="0" fontId="192" fillId="0" borderId="0" xfId="0" applyFont="1"/>
    <xf numFmtId="0" fontId="5" fillId="0" borderId="0" xfId="81" applyFont="1"/>
    <xf numFmtId="0" fontId="127" fillId="0" borderId="0" xfId="101" applyFont="1"/>
    <xf numFmtId="0" fontId="4" fillId="0" borderId="0" xfId="115" applyFont="1" applyAlignment="1">
      <alignment vertical="center"/>
    </xf>
    <xf numFmtId="0" fontId="55" fillId="0" borderId="0" xfId="115" applyFont="1" applyAlignment="1">
      <alignment vertical="center"/>
    </xf>
    <xf numFmtId="164" fontId="5" fillId="0" borderId="0" xfId="99" applyNumberFormat="1" applyFont="1" applyAlignment="1">
      <alignment horizontal="left"/>
    </xf>
    <xf numFmtId="0" fontId="44" fillId="0" borderId="0" xfId="57" applyAlignment="1" applyProtection="1">
      <alignment vertical="center"/>
    </xf>
    <xf numFmtId="174" fontId="13" fillId="0" borderId="8" xfId="38" applyNumberFormat="1" applyFont="1" applyBorder="1" applyProtection="1">
      <protection locked="0"/>
    </xf>
    <xf numFmtId="0" fontId="16" fillId="0" borderId="8" xfId="0" applyFont="1" applyBorder="1" applyAlignment="1">
      <alignment vertical="top"/>
    </xf>
    <xf numFmtId="0" fontId="5" fillId="0" borderId="0" xfId="91" applyFont="1" applyAlignment="1">
      <alignment horizontal="center"/>
    </xf>
    <xf numFmtId="0" fontId="11" fillId="0" borderId="0" xfId="0" applyFont="1"/>
    <xf numFmtId="0" fontId="54" fillId="0" borderId="0" xfId="0" applyFont="1"/>
    <xf numFmtId="180" fontId="97" fillId="0" borderId="0" xfId="124" applyNumberFormat="1" applyFont="1" applyBorder="1" applyProtection="1"/>
    <xf numFmtId="166" fontId="156" fillId="0" borderId="0" xfId="0" applyNumberFormat="1" applyFont="1"/>
    <xf numFmtId="0" fontId="15" fillId="0" borderId="0" xfId="101" applyFont="1"/>
    <xf numFmtId="0" fontId="3" fillId="0" borderId="20" xfId="94" applyFont="1" applyBorder="1" applyAlignment="1" applyProtection="1">
      <alignment horizontal="left"/>
      <protection locked="0"/>
    </xf>
    <xf numFmtId="0" fontId="211" fillId="0" borderId="0" xfId="69" applyAlignment="1">
      <alignment horizontal="right"/>
    </xf>
    <xf numFmtId="0" fontId="54" fillId="0" borderId="0" xfId="115" applyFont="1" applyAlignment="1">
      <alignment horizontal="center"/>
    </xf>
    <xf numFmtId="0" fontId="54" fillId="0" borderId="0" xfId="115" applyFont="1"/>
    <xf numFmtId="176" fontId="3" fillId="0" borderId="1" xfId="122" applyNumberFormat="1" applyFont="1" applyBorder="1">
      <protection locked="0"/>
    </xf>
    <xf numFmtId="43" fontId="13" fillId="0" borderId="1" xfId="29" applyFont="1" applyBorder="1" applyProtection="1">
      <protection locked="0"/>
    </xf>
    <xf numFmtId="0" fontId="13" fillId="0" borderId="0" xfId="0" applyFont="1" applyAlignment="1" applyProtection="1">
      <alignment horizontal="center"/>
      <protection locked="0"/>
    </xf>
    <xf numFmtId="43" fontId="13" fillId="0" borderId="0" xfId="29" applyFont="1" applyAlignment="1" applyProtection="1">
      <alignment horizontal="center"/>
      <protection locked="0"/>
    </xf>
    <xf numFmtId="0" fontId="5" fillId="0" borderId="23" xfId="0" applyFont="1" applyBorder="1"/>
    <xf numFmtId="0" fontId="5" fillId="0" borderId="23" xfId="0" applyFont="1" applyBorder="1" applyAlignment="1">
      <alignment vertical="top"/>
    </xf>
    <xf numFmtId="0" fontId="5" fillId="0" borderId="12" xfId="0" applyFont="1" applyBorder="1"/>
    <xf numFmtId="0" fontId="5" fillId="0" borderId="33" xfId="0" applyFont="1" applyBorder="1"/>
    <xf numFmtId="0" fontId="0" fillId="0" borderId="1" xfId="0" applyBorder="1" applyAlignment="1">
      <alignment horizontal="left"/>
    </xf>
    <xf numFmtId="0" fontId="3" fillId="0" borderId="1" xfId="0" applyFont="1" applyBorder="1" applyAlignment="1">
      <alignment horizontal="left" vertical="top"/>
    </xf>
    <xf numFmtId="0" fontId="3" fillId="0" borderId="23" xfId="0" applyFont="1" applyBorder="1" applyAlignment="1">
      <alignment horizontal="left" vertical="top"/>
    </xf>
    <xf numFmtId="0" fontId="5" fillId="0" borderId="21" xfId="0" applyFont="1" applyBorder="1"/>
    <xf numFmtId="0" fontId="3" fillId="0" borderId="8" xfId="0" applyFont="1" applyBorder="1" applyAlignment="1">
      <alignment horizontal="left"/>
    </xf>
    <xf numFmtId="0" fontId="100" fillId="0" borderId="0" xfId="0" applyFont="1"/>
    <xf numFmtId="0" fontId="3" fillId="0" borderId="0" xfId="0" applyFont="1" applyAlignment="1">
      <alignment vertical="top" wrapText="1"/>
    </xf>
    <xf numFmtId="0" fontId="0" fillId="0" borderId="7" xfId="0" applyBorder="1"/>
    <xf numFmtId="0" fontId="31" fillId="0" borderId="0" xfId="84" applyFont="1"/>
    <xf numFmtId="0" fontId="193" fillId="0" borderId="0" xfId="0" applyFont="1"/>
    <xf numFmtId="0" fontId="3" fillId="0" borderId="2" xfId="92" applyFont="1" applyBorder="1" applyProtection="1">
      <protection locked="0"/>
    </xf>
    <xf numFmtId="0" fontId="44" fillId="0" borderId="15" xfId="57" applyBorder="1" applyAlignment="1" applyProtection="1"/>
    <xf numFmtId="0" fontId="44" fillId="0" borderId="15" xfId="57" applyBorder="1" applyAlignment="1" applyProtection="1">
      <alignment horizontal="center" shrinkToFit="1"/>
    </xf>
    <xf numFmtId="0" fontId="3" fillId="0" borderId="1" xfId="110" applyFont="1" applyBorder="1" applyAlignment="1" applyProtection="1">
      <alignment horizontal="center"/>
      <protection locked="0"/>
    </xf>
    <xf numFmtId="0" fontId="3" fillId="0" borderId="1" xfId="108" applyFont="1" applyBorder="1" applyAlignment="1" applyProtection="1">
      <alignment horizontal="center"/>
      <protection locked="0"/>
    </xf>
    <xf numFmtId="49" fontId="135" fillId="0" borderId="0" xfId="0" applyNumberFormat="1" applyFont="1"/>
    <xf numFmtId="43" fontId="13" fillId="0" borderId="4" xfId="29" applyFont="1" applyBorder="1" applyProtection="1">
      <protection locked="0"/>
    </xf>
    <xf numFmtId="49" fontId="3" fillId="0" borderId="0" xfId="0" applyNumberFormat="1" applyFont="1"/>
    <xf numFmtId="176" fontId="13" fillId="0" borderId="14" xfId="0" applyNumberFormat="1" applyFont="1" applyBorder="1"/>
    <xf numFmtId="14" fontId="194" fillId="9" borderId="0" xfId="0" applyNumberFormat="1" applyFont="1" applyFill="1" applyAlignment="1">
      <alignment horizontal="right" wrapText="1"/>
    </xf>
    <xf numFmtId="14" fontId="194" fillId="17" borderId="0" xfId="73" applyNumberFormat="1" applyFont="1" applyFill="1" applyAlignment="1">
      <alignment horizontal="right"/>
    </xf>
    <xf numFmtId="43" fontId="8" fillId="0" borderId="0" xfId="29" applyFont="1"/>
    <xf numFmtId="49" fontId="195" fillId="0" borderId="0" xfId="114" applyNumberFormat="1" applyFont="1" applyAlignment="1">
      <alignment horizontal="center"/>
    </xf>
    <xf numFmtId="180" fontId="166" fillId="0" borderId="0" xfId="0" applyNumberFormat="1" applyFont="1"/>
    <xf numFmtId="0" fontId="3" fillId="0" borderId="0" xfId="115" applyFont="1" applyAlignment="1" applyProtection="1">
      <alignment horizontal="center"/>
      <protection locked="0"/>
    </xf>
    <xf numFmtId="0" fontId="3" fillId="0" borderId="0" xfId="115" applyFont="1" applyAlignment="1">
      <alignment horizontal="left" indent="1"/>
    </xf>
    <xf numFmtId="49" fontId="3" fillId="0" borderId="0" xfId="115" applyNumberFormat="1" applyFont="1" applyAlignment="1">
      <alignment horizontal="center"/>
    </xf>
    <xf numFmtId="49" fontId="3" fillId="0" borderId="15" xfId="115" applyNumberFormat="1" applyFont="1" applyBorder="1" applyAlignment="1" applyProtection="1">
      <alignment horizontal="center"/>
      <protection locked="0"/>
    </xf>
    <xf numFmtId="0" fontId="5" fillId="8" borderId="0" xfId="94" applyFont="1" applyFill="1" applyProtection="1">
      <protection locked="0"/>
    </xf>
    <xf numFmtId="0" fontId="5" fillId="8" borderId="0" xfId="94" applyFont="1" applyFill="1" applyAlignment="1">
      <alignment horizontal="left"/>
    </xf>
    <xf numFmtId="0" fontId="4" fillId="8" borderId="0" xfId="94" applyFont="1" applyFill="1" applyAlignment="1">
      <alignment horizontal="left" vertical="top"/>
    </xf>
    <xf numFmtId="0" fontId="5" fillId="9" borderId="0" xfId="94" applyFont="1" applyFill="1"/>
    <xf numFmtId="0" fontId="63" fillId="0" borderId="0" xfId="94" applyFont="1"/>
    <xf numFmtId="0" fontId="36" fillId="5" borderId="15" xfId="0" applyFont="1" applyFill="1" applyBorder="1" applyAlignment="1">
      <alignment wrapText="1"/>
    </xf>
    <xf numFmtId="0" fontId="5" fillId="5" borderId="15" xfId="0" applyFont="1" applyFill="1" applyBorder="1"/>
    <xf numFmtId="0" fontId="0" fillId="0" borderId="15" xfId="0" applyBorder="1"/>
    <xf numFmtId="0" fontId="16" fillId="0" borderId="0" xfId="0" applyFont="1" applyAlignment="1">
      <alignment wrapText="1"/>
    </xf>
    <xf numFmtId="0" fontId="5" fillId="0" borderId="7" xfId="0" applyFont="1" applyBorder="1"/>
    <xf numFmtId="0" fontId="5" fillId="0" borderId="4" xfId="0" applyFont="1" applyBorder="1"/>
    <xf numFmtId="0" fontId="5" fillId="0" borderId="15" xfId="0" applyFont="1" applyBorder="1" applyAlignment="1">
      <alignment vertical="top"/>
    </xf>
    <xf numFmtId="0" fontId="16" fillId="0" borderId="0" xfId="0" applyFont="1" applyAlignment="1">
      <alignment vertical="top" wrapText="1"/>
    </xf>
    <xf numFmtId="0" fontId="3" fillId="5" borderId="15" xfId="0" applyFont="1" applyFill="1" applyBorder="1" applyAlignment="1">
      <alignment vertical="top" wrapText="1"/>
    </xf>
    <xf numFmtId="0" fontId="3" fillId="6" borderId="0" xfId="0" applyFont="1" applyFill="1" applyAlignment="1">
      <alignment wrapText="1"/>
    </xf>
    <xf numFmtId="0" fontId="16" fillId="5" borderId="15" xfId="0" applyFont="1" applyFill="1" applyBorder="1" applyAlignment="1">
      <alignment wrapText="1"/>
    </xf>
    <xf numFmtId="0" fontId="3" fillId="5" borderId="15" xfId="0" applyFont="1" applyFill="1" applyBorder="1" applyAlignment="1">
      <alignment wrapText="1"/>
    </xf>
    <xf numFmtId="0" fontId="3" fillId="6" borderId="4" xfId="0" applyFont="1" applyFill="1" applyBorder="1" applyAlignment="1">
      <alignment wrapText="1"/>
    </xf>
    <xf numFmtId="0" fontId="3" fillId="19" borderId="15" xfId="0" applyFont="1" applyFill="1" applyBorder="1" applyAlignment="1">
      <alignment wrapText="1"/>
    </xf>
    <xf numFmtId="0" fontId="0" fillId="0" borderId="9" xfId="0" applyBorder="1"/>
    <xf numFmtId="0" fontId="0" fillId="0" borderId="11" xfId="0" applyBorder="1" applyAlignment="1">
      <alignment vertical="top" wrapText="1"/>
    </xf>
    <xf numFmtId="0" fontId="0" fillId="0" borderId="13" xfId="0" applyBorder="1"/>
    <xf numFmtId="0" fontId="221" fillId="0" borderId="0" xfId="61" applyAlignment="1" applyProtection="1"/>
    <xf numFmtId="0" fontId="3" fillId="0" borderId="12" xfId="0" applyFont="1" applyBorder="1" applyAlignment="1">
      <alignment wrapText="1"/>
    </xf>
    <xf numFmtId="0" fontId="3" fillId="0" borderId="10" xfId="0" applyFont="1" applyBorder="1" applyAlignment="1">
      <alignment wrapText="1"/>
    </xf>
    <xf numFmtId="14" fontId="3" fillId="0" borderId="0" xfId="0" applyNumberFormat="1" applyFont="1" applyAlignment="1">
      <alignment wrapText="1"/>
    </xf>
    <xf numFmtId="0" fontId="3" fillId="0" borderId="0" xfId="0" applyFont="1" applyAlignment="1">
      <alignment vertical="center" wrapText="1"/>
    </xf>
    <xf numFmtId="0" fontId="3" fillId="0" borderId="4" xfId="0" applyFont="1" applyBorder="1" applyAlignment="1">
      <alignment wrapText="1"/>
    </xf>
    <xf numFmtId="0" fontId="152" fillId="0" borderId="0" xfId="0" applyFont="1"/>
    <xf numFmtId="0" fontId="36" fillId="5" borderId="15" xfId="0" applyFont="1" applyFill="1" applyBorder="1"/>
    <xf numFmtId="0" fontId="152" fillId="0" borderId="1" xfId="0" applyFont="1" applyBorder="1"/>
    <xf numFmtId="0" fontId="5" fillId="5" borderId="7" xfId="0" applyFont="1" applyFill="1" applyBorder="1"/>
    <xf numFmtId="0" fontId="0" fillId="0" borderId="12" xfId="0" applyBorder="1"/>
    <xf numFmtId="0" fontId="96" fillId="0" borderId="0" xfId="0" applyFont="1"/>
    <xf numFmtId="0" fontId="5" fillId="0" borderId="8" xfId="0" applyFont="1" applyBorder="1"/>
    <xf numFmtId="0" fontId="96" fillId="0" borderId="1" xfId="0" applyFont="1" applyBorder="1"/>
    <xf numFmtId="0" fontId="151" fillId="0" borderId="0" xfId="0" applyFont="1"/>
    <xf numFmtId="0" fontId="5" fillId="5" borderId="5" xfId="0" applyFont="1" applyFill="1" applyBorder="1"/>
    <xf numFmtId="0" fontId="151" fillId="5" borderId="15" xfId="0" applyFont="1" applyFill="1" applyBorder="1"/>
    <xf numFmtId="0" fontId="5" fillId="5" borderId="15" xfId="0" applyFont="1" applyFill="1" applyBorder="1" applyAlignment="1">
      <alignment vertical="top" wrapText="1"/>
    </xf>
    <xf numFmtId="0" fontId="5" fillId="5" borderId="0" xfId="0" applyFont="1" applyFill="1" applyAlignment="1">
      <alignment wrapText="1"/>
    </xf>
    <xf numFmtId="49" fontId="3" fillId="0" borderId="1" xfId="115" applyNumberFormat="1" applyFont="1" applyBorder="1" applyAlignment="1" applyProtection="1">
      <alignment horizontal="center"/>
      <protection locked="0"/>
    </xf>
    <xf numFmtId="0" fontId="43" fillId="0" borderId="0" xfId="81" applyFont="1" applyAlignment="1">
      <alignment horizontal="right"/>
    </xf>
    <xf numFmtId="0" fontId="16" fillId="7" borderId="29" xfId="0" applyFont="1" applyFill="1" applyBorder="1"/>
    <xf numFmtId="0" fontId="22" fillId="7" borderId="45" xfId="0" applyFont="1" applyFill="1" applyBorder="1"/>
    <xf numFmtId="49" fontId="3" fillId="0" borderId="4" xfId="115" applyNumberFormat="1" applyFont="1" applyBorder="1" applyAlignment="1" applyProtection="1">
      <alignment horizontal="center"/>
      <protection locked="0"/>
    </xf>
    <xf numFmtId="0" fontId="13" fillId="0" borderId="1" xfId="115" applyFont="1" applyBorder="1" applyAlignment="1" applyProtection="1">
      <alignment horizontal="center"/>
      <protection locked="0"/>
    </xf>
    <xf numFmtId="176" fontId="13" fillId="0" borderId="22" xfId="0" applyNumberFormat="1" applyFont="1" applyBorder="1" applyProtection="1">
      <protection locked="0"/>
    </xf>
    <xf numFmtId="39" fontId="3" fillId="0" borderId="2" xfId="92" applyNumberFormat="1" applyFont="1" applyBorder="1" applyAlignment="1" applyProtection="1">
      <alignment vertical="top" wrapText="1"/>
      <protection locked="0"/>
    </xf>
    <xf numFmtId="181" fontId="85" fillId="2" borderId="0" xfId="126" applyFont="1" applyFill="1" applyAlignment="1">
      <alignment horizontal="center"/>
    </xf>
    <xf numFmtId="180" fontId="197" fillId="18" borderId="46" xfId="0" applyNumberFormat="1" applyFont="1" applyFill="1" applyBorder="1"/>
    <xf numFmtId="0" fontId="197" fillId="18" borderId="16" xfId="0" applyFont="1" applyFill="1" applyBorder="1"/>
    <xf numFmtId="180" fontId="197" fillId="18" borderId="16" xfId="0" applyNumberFormat="1" applyFont="1" applyFill="1" applyBorder="1"/>
    <xf numFmtId="0" fontId="197" fillId="18" borderId="47" xfId="0" applyFont="1" applyFill="1" applyBorder="1"/>
    <xf numFmtId="0" fontId="198" fillId="18" borderId="5" xfId="0" applyFont="1" applyFill="1" applyBorder="1"/>
    <xf numFmtId="0" fontId="198" fillId="18" borderId="6" xfId="0" applyFont="1" applyFill="1" applyBorder="1"/>
    <xf numFmtId="0" fontId="198" fillId="18" borderId="7" xfId="0" applyFont="1" applyFill="1" applyBorder="1"/>
    <xf numFmtId="0" fontId="13" fillId="9" borderId="0" xfId="95" applyFill="1"/>
    <xf numFmtId="49" fontId="166" fillId="8" borderId="8" xfId="0" applyNumberFormat="1" applyFont="1" applyFill="1" applyBorder="1"/>
    <xf numFmtId="0" fontId="199" fillId="18" borderId="0" xfId="0" applyFont="1" applyFill="1" applyAlignment="1">
      <alignment horizontal="right"/>
    </xf>
    <xf numFmtId="0" fontId="200" fillId="18" borderId="0" xfId="57" applyFont="1" applyFill="1" applyAlignment="1" applyProtection="1">
      <alignment horizontal="center"/>
    </xf>
    <xf numFmtId="0" fontId="201" fillId="18" borderId="0" xfId="0" applyFont="1" applyFill="1" applyAlignment="1">
      <alignment horizontal="right"/>
    </xf>
    <xf numFmtId="0" fontId="200" fillId="18" borderId="0" xfId="0" applyFont="1" applyFill="1" applyAlignment="1">
      <alignment horizontal="center"/>
    </xf>
    <xf numFmtId="9" fontId="202" fillId="18" borderId="0" xfId="0" applyNumberFormat="1" applyFont="1" applyFill="1"/>
    <xf numFmtId="0" fontId="200" fillId="18" borderId="0" xfId="0" applyFont="1" applyFill="1" applyAlignment="1">
      <alignment horizontal="center" wrapText="1"/>
    </xf>
    <xf numFmtId="42" fontId="202" fillId="18" borderId="0" xfId="0" applyNumberFormat="1" applyFont="1" applyFill="1" applyAlignment="1">
      <alignment horizontal="right"/>
    </xf>
    <xf numFmtId="0" fontId="203" fillId="18" borderId="0" xfId="0" applyFont="1" applyFill="1" applyAlignment="1">
      <alignment horizontal="center"/>
    </xf>
    <xf numFmtId="0" fontId="202" fillId="18" borderId="0" xfId="0" applyFont="1" applyFill="1" applyAlignment="1">
      <alignment horizontal="right"/>
    </xf>
    <xf numFmtId="0" fontId="3" fillId="0" borderId="20" xfId="0" applyFont="1" applyBorder="1" applyAlignment="1" applyProtection="1">
      <alignment horizontal="center"/>
      <protection locked="0"/>
    </xf>
    <xf numFmtId="0" fontId="4" fillId="0" borderId="0" xfId="107" applyFont="1" applyAlignment="1">
      <alignment horizontal="right"/>
    </xf>
    <xf numFmtId="0" fontId="5" fillId="0" borderId="0" xfId="110" applyFont="1" applyAlignment="1">
      <alignment horizontal="right"/>
    </xf>
    <xf numFmtId="0" fontId="3" fillId="0" borderId="0" xfId="110" applyFont="1"/>
    <xf numFmtId="0" fontId="3" fillId="8" borderId="0" xfId="110" applyFont="1" applyFill="1"/>
    <xf numFmtId="176" fontId="3" fillId="0" borderId="0" xfId="110" applyNumberFormat="1" applyFont="1"/>
    <xf numFmtId="175" fontId="3" fillId="0" borderId="0" xfId="110" applyNumberFormat="1" applyFont="1"/>
    <xf numFmtId="0" fontId="3" fillId="0" borderId="0" xfId="110" applyFont="1" applyProtection="1">
      <protection hidden="1"/>
    </xf>
    <xf numFmtId="0" fontId="3" fillId="0" borderId="1" xfId="110" applyFont="1" applyBorder="1" applyAlignment="1">
      <alignment horizontal="center"/>
    </xf>
    <xf numFmtId="0" fontId="3" fillId="0" borderId="0" xfId="110" applyFont="1" applyAlignment="1">
      <alignment horizontal="center"/>
    </xf>
    <xf numFmtId="176" fontId="3" fillId="0" borderId="1" xfId="110" applyNumberFormat="1" applyFont="1" applyBorder="1" applyProtection="1">
      <protection locked="0"/>
    </xf>
    <xf numFmtId="176" fontId="3" fillId="0" borderId="2" xfId="110" applyNumberFormat="1" applyFont="1" applyBorder="1"/>
    <xf numFmtId="0" fontId="42" fillId="0" borderId="0" xfId="81" applyFont="1" applyAlignment="1">
      <alignment horizontal="left"/>
    </xf>
    <xf numFmtId="0" fontId="101" fillId="0" borderId="0" xfId="81" applyFont="1"/>
    <xf numFmtId="168" fontId="3" fillId="0" borderId="0" xfId="85" applyFont="1" applyAlignment="1" applyProtection="1">
      <alignment horizontal="right"/>
    </xf>
    <xf numFmtId="0" fontId="6" fillId="0" borderId="0" xfId="81" applyFont="1"/>
    <xf numFmtId="0" fontId="12" fillId="0" borderId="0" xfId="81" applyFont="1"/>
    <xf numFmtId="0" fontId="153" fillId="0" borderId="0" xfId="81" applyFont="1"/>
    <xf numFmtId="0" fontId="16" fillId="0" borderId="0" xfId="95" applyFont="1" applyAlignment="1">
      <alignment vertical="top"/>
    </xf>
    <xf numFmtId="180" fontId="0" fillId="0" borderId="3" xfId="0" applyNumberFormat="1" applyBorder="1"/>
    <xf numFmtId="0" fontId="151" fillId="4" borderId="20" xfId="0" applyFont="1" applyFill="1" applyBorder="1"/>
    <xf numFmtId="0" fontId="229" fillId="0" borderId="0" xfId="0" applyFont="1"/>
    <xf numFmtId="0" fontId="5" fillId="52" borderId="15" xfId="0" applyFont="1" applyFill="1" applyBorder="1"/>
    <xf numFmtId="0" fontId="230" fillId="0" borderId="0" xfId="0" applyFont="1"/>
    <xf numFmtId="0" fontId="5" fillId="53" borderId="15" xfId="0" applyFont="1" applyFill="1" applyBorder="1"/>
    <xf numFmtId="0" fontId="16" fillId="54" borderId="16" xfId="0" applyFont="1" applyFill="1" applyBorder="1" applyAlignment="1">
      <alignment horizontal="right"/>
    </xf>
    <xf numFmtId="180" fontId="97" fillId="54" borderId="16" xfId="0" applyNumberFormat="1" applyFont="1" applyFill="1" applyBorder="1" applyAlignment="1">
      <alignment horizontal="center"/>
    </xf>
    <xf numFmtId="180" fontId="97" fillId="54" borderId="47" xfId="0" applyNumberFormat="1" applyFont="1" applyFill="1" applyBorder="1" applyAlignment="1">
      <alignment horizontal="center"/>
    </xf>
    <xf numFmtId="49" fontId="40" fillId="0" borderId="0" xfId="89" applyNumberFormat="1" applyFont="1" applyAlignment="1" applyProtection="1">
      <alignment horizontal="left"/>
      <protection locked="0"/>
    </xf>
    <xf numFmtId="190" fontId="13" fillId="0" borderId="0" xfId="89" applyNumberFormat="1" applyAlignment="1" applyProtection="1">
      <alignment horizontal="right"/>
      <protection locked="0"/>
    </xf>
    <xf numFmtId="49" fontId="40" fillId="0" borderId="0" xfId="89" applyNumberFormat="1" applyFont="1" applyAlignment="1" applyProtection="1">
      <alignment horizontal="center"/>
      <protection locked="0"/>
    </xf>
    <xf numFmtId="0" fontId="3" fillId="0" borderId="0" xfId="101" applyFont="1" applyAlignment="1">
      <alignment horizontal="center"/>
    </xf>
    <xf numFmtId="0" fontId="27" fillId="0" borderId="2" xfId="101" applyFont="1" applyBorder="1" applyAlignment="1">
      <alignment horizontal="center"/>
    </xf>
    <xf numFmtId="0" fontId="64" fillId="0" borderId="0" xfId="101" applyFont="1"/>
    <xf numFmtId="0" fontId="64" fillId="0" borderId="0" xfId="101" applyFont="1" applyAlignment="1">
      <alignment horizontal="centerContinuous"/>
    </xf>
    <xf numFmtId="0" fontId="64" fillId="0" borderId="0" xfId="101" applyFont="1" applyAlignment="1">
      <alignment horizontal="center"/>
    </xf>
    <xf numFmtId="0" fontId="64" fillId="0" borderId="0" xfId="101" applyFont="1" applyAlignment="1">
      <alignment horizontal="left"/>
    </xf>
    <xf numFmtId="0" fontId="16" fillId="0" borderId="0" xfId="101" applyFont="1" applyAlignment="1">
      <alignment horizontal="center"/>
    </xf>
    <xf numFmtId="0" fontId="64" fillId="0" borderId="1" xfId="101" applyFont="1" applyBorder="1" applyAlignment="1">
      <alignment horizontal="centerContinuous"/>
    </xf>
    <xf numFmtId="14" fontId="64" fillId="0" borderId="1" xfId="101" applyNumberFormat="1" applyFont="1" applyBorder="1" applyAlignment="1">
      <alignment horizontal="center"/>
    </xf>
    <xf numFmtId="0" fontId="64" fillId="0" borderId="1" xfId="101" applyFont="1" applyBorder="1" applyAlignment="1">
      <alignment horizontal="center"/>
    </xf>
    <xf numFmtId="1" fontId="16" fillId="0" borderId="0" xfId="101" applyNumberFormat="1" applyFont="1" applyAlignment="1">
      <alignment horizontal="center"/>
    </xf>
    <xf numFmtId="0" fontId="15" fillId="0" borderId="0" xfId="101" applyFont="1" applyAlignment="1">
      <alignment horizontal="center"/>
    </xf>
    <xf numFmtId="176" fontId="16" fillId="0" borderId="0" xfId="101" applyNumberFormat="1" applyFont="1"/>
    <xf numFmtId="1" fontId="64" fillId="54" borderId="0" xfId="101" applyNumberFormat="1" applyFont="1" applyFill="1" applyAlignment="1">
      <alignment horizontal="center"/>
    </xf>
    <xf numFmtId="176" fontId="16" fillId="0" borderId="0" xfId="39" applyNumberFormat="1" applyFont="1"/>
    <xf numFmtId="176" fontId="3" fillId="3" borderId="1" xfId="84" applyNumberFormat="1" applyFont="1" applyFill="1" applyBorder="1"/>
    <xf numFmtId="176" fontId="16" fillId="0" borderId="0" xfId="39" applyNumberFormat="1" applyFont="1" applyProtection="1">
      <protection locked="0"/>
    </xf>
    <xf numFmtId="49" fontId="16" fillId="0" borderId="1" xfId="39" applyNumberFormat="1" applyFont="1" applyBorder="1" applyProtection="1">
      <protection locked="0"/>
    </xf>
    <xf numFmtId="176" fontId="16" fillId="0" borderId="4" xfId="39" applyNumberFormat="1" applyFont="1" applyBorder="1" applyProtection="1">
      <protection locked="0"/>
    </xf>
    <xf numFmtId="1" fontId="64" fillId="0" borderId="0" xfId="101" applyNumberFormat="1" applyFont="1" applyAlignment="1">
      <alignment horizontal="right"/>
    </xf>
    <xf numFmtId="0" fontId="5" fillId="0" borderId="0" xfId="88" applyFont="1" applyAlignment="1">
      <alignment horizontal="left"/>
    </xf>
    <xf numFmtId="49" fontId="16" fillId="0" borderId="0" xfId="39" applyNumberFormat="1" applyFont="1"/>
    <xf numFmtId="176" fontId="16" fillId="0" borderId="3" xfId="39" applyNumberFormat="1" applyFont="1" applyBorder="1"/>
    <xf numFmtId="0" fontId="16" fillId="0" borderId="0" xfId="101" applyFont="1" applyProtection="1">
      <protection hidden="1"/>
    </xf>
    <xf numFmtId="0" fontId="3" fillId="0" borderId="0" xfId="0" applyFont="1" applyAlignment="1">
      <alignment horizontal="left" vertical="center" indent="1"/>
    </xf>
    <xf numFmtId="0" fontId="231" fillId="0" borderId="0" xfId="0" applyFont="1"/>
    <xf numFmtId="176" fontId="3" fillId="3" borderId="0" xfId="84" applyNumberFormat="1" applyFont="1" applyFill="1"/>
    <xf numFmtId="168" fontId="3" fillId="0" borderId="0" xfId="83" applyFont="1" applyAlignment="1" applyProtection="1">
      <alignment horizontal="left"/>
    </xf>
    <xf numFmtId="0" fontId="138" fillId="0" borderId="15" xfId="119" applyFont="1" applyBorder="1" applyAlignment="1" applyProtection="1">
      <alignment horizontal="center"/>
      <protection locked="0"/>
    </xf>
    <xf numFmtId="176" fontId="3" fillId="0" borderId="8" xfId="81" applyNumberFormat="1" applyFont="1" applyBorder="1" applyProtection="1">
      <protection locked="0"/>
    </xf>
    <xf numFmtId="0" fontId="100" fillId="0" borderId="1" xfId="0" applyFont="1" applyBorder="1" applyAlignment="1" applyProtection="1">
      <alignment horizontal="center"/>
      <protection locked="0"/>
    </xf>
    <xf numFmtId="0" fontId="138" fillId="8" borderId="23" xfId="119" applyFont="1" applyFill="1" applyBorder="1" applyAlignment="1" applyProtection="1">
      <alignment horizontal="center"/>
      <protection locked="0"/>
    </xf>
    <xf numFmtId="0" fontId="123" fillId="54" borderId="0" xfId="119" applyFont="1" applyFill="1"/>
    <xf numFmtId="0" fontId="172" fillId="0" borderId="23" xfId="119" applyFont="1" applyBorder="1" applyAlignment="1">
      <alignment horizontal="center" vertical="top" wrapText="1"/>
    </xf>
    <xf numFmtId="0" fontId="169" fillId="0" borderId="0" xfId="119" applyFont="1" applyAlignment="1" applyProtection="1">
      <alignment vertical="top" wrapText="1"/>
      <protection locked="0"/>
    </xf>
    <xf numFmtId="0" fontId="173" fillId="0" borderId="15" xfId="57" applyFont="1" applyBorder="1" applyAlignment="1" applyProtection="1">
      <alignment horizontal="center" vertical="center" wrapText="1"/>
    </xf>
    <xf numFmtId="0" fontId="173" fillId="0" borderId="15" xfId="57" applyFont="1" applyBorder="1" applyAlignment="1" applyProtection="1">
      <alignment horizontal="center" vertical="center"/>
    </xf>
    <xf numFmtId="0" fontId="232" fillId="0" borderId="0" xfId="0" applyFont="1" applyAlignment="1">
      <alignment horizontal="center"/>
    </xf>
    <xf numFmtId="0" fontId="11" fillId="0" borderId="0" xfId="119" applyFont="1" applyProtection="1">
      <protection locked="0"/>
    </xf>
    <xf numFmtId="0" fontId="210" fillId="0" borderId="0" xfId="0" applyFont="1" applyProtection="1">
      <protection locked="0"/>
    </xf>
    <xf numFmtId="0" fontId="27" fillId="0" borderId="0" xfId="101" applyFont="1" applyAlignment="1" applyProtection="1">
      <alignment horizontal="center"/>
      <protection locked="0"/>
    </xf>
    <xf numFmtId="0" fontId="11" fillId="0" borderId="0" xfId="0" quotePrefix="1" applyFont="1" applyAlignment="1" applyProtection="1">
      <alignment horizontal="center"/>
      <protection hidden="1"/>
    </xf>
    <xf numFmtId="0" fontId="0" fillId="0" borderId="0" xfId="0" applyAlignment="1" applyProtection="1">
      <alignment wrapText="1"/>
      <protection locked="0"/>
    </xf>
    <xf numFmtId="0" fontId="138" fillId="0" borderId="15" xfId="119" applyFont="1" applyBorder="1" applyAlignment="1" applyProtection="1">
      <alignment horizontal="center" vertical="top" wrapText="1"/>
      <protection locked="0"/>
    </xf>
    <xf numFmtId="0" fontId="138" fillId="0" borderId="23" xfId="119" applyFont="1" applyBorder="1" applyAlignment="1" applyProtection="1">
      <alignment horizontal="center"/>
      <protection locked="0"/>
    </xf>
    <xf numFmtId="0" fontId="138" fillId="0" borderId="23" xfId="119" applyFont="1" applyBorder="1" applyAlignment="1" applyProtection="1">
      <alignment horizontal="center" vertical="top" wrapText="1"/>
      <protection locked="0"/>
    </xf>
    <xf numFmtId="0" fontId="210" fillId="0" borderId="0" xfId="0" applyFont="1" applyAlignment="1" applyProtection="1">
      <alignment horizontal="left"/>
      <protection locked="0"/>
    </xf>
    <xf numFmtId="195" fontId="210" fillId="0" borderId="0" xfId="0" applyNumberFormat="1" applyFont="1" applyAlignment="1" applyProtection="1">
      <alignment horizontal="center"/>
      <protection locked="0"/>
    </xf>
    <xf numFmtId="0" fontId="66" fillId="0" borderId="2" xfId="0" applyFont="1" applyBorder="1" applyAlignment="1" applyProtection="1">
      <alignment horizontal="center"/>
      <protection locked="0"/>
    </xf>
    <xf numFmtId="0" fontId="66" fillId="0" borderId="2" xfId="0" applyFont="1" applyBorder="1" applyAlignment="1" applyProtection="1">
      <alignment horizontal="center" wrapText="1"/>
      <protection locked="0"/>
    </xf>
    <xf numFmtId="49" fontId="210" fillId="0" borderId="0" xfId="0" applyNumberFormat="1" applyFont="1" applyAlignment="1" applyProtection="1">
      <alignment horizontal="center"/>
      <protection locked="0"/>
    </xf>
    <xf numFmtId="14" fontId="210" fillId="0" borderId="0" xfId="0" applyNumberFormat="1" applyFont="1" applyAlignment="1" applyProtection="1">
      <alignment horizontal="center"/>
      <protection locked="0"/>
    </xf>
    <xf numFmtId="0" fontId="210" fillId="0" borderId="0" xfId="0" applyFont="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0" fontId="0" fillId="0" borderId="0" xfId="0" applyAlignment="1" applyProtection="1">
      <alignment horizontal="center" wrapText="1"/>
      <protection locked="0"/>
    </xf>
    <xf numFmtId="14" fontId="0" fillId="0" borderId="0" xfId="0" applyNumberFormat="1" applyAlignment="1" applyProtection="1">
      <alignment horizontal="center" wrapText="1"/>
      <protection locked="0"/>
    </xf>
    <xf numFmtId="0" fontId="210" fillId="0" borderId="0" xfId="0" applyFont="1" applyAlignment="1" applyProtection="1">
      <alignment horizontal="center" wrapText="1"/>
      <protection locked="0"/>
    </xf>
    <xf numFmtId="0" fontId="210" fillId="0" borderId="0" xfId="0" applyFont="1" applyAlignment="1" applyProtection="1">
      <alignment horizontal="center" vertical="top" wrapText="1"/>
      <protection locked="0"/>
    </xf>
    <xf numFmtId="0" fontId="3" fillId="0" borderId="4" xfId="0" applyFont="1" applyBorder="1" applyAlignment="1" applyProtection="1">
      <alignment horizontal="center"/>
      <protection locked="0"/>
    </xf>
    <xf numFmtId="0" fontId="100" fillId="0" borderId="4" xfId="0" applyFont="1" applyBorder="1" applyAlignment="1" applyProtection="1">
      <alignment horizontal="center"/>
      <protection locked="0"/>
    </xf>
    <xf numFmtId="14" fontId="3" fillId="0" borderId="1" xfId="0" applyNumberFormat="1" applyFont="1" applyBorder="1" applyAlignment="1" applyProtection="1">
      <alignment horizontal="center"/>
      <protection locked="0"/>
    </xf>
    <xf numFmtId="49" fontId="100" fillId="4" borderId="32" xfId="0" applyNumberFormat="1" applyFont="1" applyFill="1" applyBorder="1" applyAlignment="1">
      <alignment vertical="top" wrapText="1"/>
    </xf>
    <xf numFmtId="0" fontId="0" fillId="0" borderId="0" xfId="0" applyAlignment="1">
      <alignment horizontal="center" vertical="top"/>
    </xf>
    <xf numFmtId="0" fontId="0" fillId="0" borderId="0" xfId="0" quotePrefix="1"/>
    <xf numFmtId="0" fontId="0" fillId="0" borderId="0" xfId="0" applyAlignment="1">
      <alignment horizontal="right"/>
    </xf>
    <xf numFmtId="196" fontId="0" fillId="0" borderId="0" xfId="0" applyNumberFormat="1"/>
    <xf numFmtId="0" fontId="83" fillId="0" borderId="15" xfId="57" applyFont="1" applyBorder="1" applyAlignment="1" applyProtection="1">
      <alignment horizontal="center"/>
    </xf>
    <xf numFmtId="5" fontId="0" fillId="0" borderId="0" xfId="0" applyNumberFormat="1"/>
    <xf numFmtId="164" fontId="3" fillId="0" borderId="0" xfId="106" applyNumberFormat="1" applyFont="1" applyAlignment="1">
      <alignment horizontal="center"/>
    </xf>
    <xf numFmtId="164" fontId="3" fillId="0" borderId="0" xfId="106" quotePrefix="1" applyNumberFormat="1" applyFont="1" applyAlignment="1">
      <alignment horizontal="center"/>
    </xf>
    <xf numFmtId="164" fontId="3" fillId="0" borderId="18" xfId="106" applyNumberFormat="1" applyFont="1" applyBorder="1" applyAlignment="1">
      <alignment horizontal="center"/>
    </xf>
    <xf numFmtId="176" fontId="3" fillId="0" borderId="1" xfId="104" applyNumberFormat="1" applyFont="1" applyBorder="1" applyProtection="1">
      <protection locked="0"/>
    </xf>
    <xf numFmtId="164" fontId="13" fillId="0" borderId="8" xfId="106" applyNumberFormat="1" applyFont="1" applyBorder="1" applyAlignment="1">
      <alignment horizontal="center"/>
    </xf>
    <xf numFmtId="164" fontId="13" fillId="0" borderId="8" xfId="106" applyNumberFormat="1" applyFont="1" applyBorder="1"/>
    <xf numFmtId="164" fontId="5" fillId="0" borderId="0" xfId="106" applyNumberFormat="1" applyFont="1" applyAlignment="1">
      <alignment horizontal="center"/>
    </xf>
    <xf numFmtId="164" fontId="13" fillId="0" borderId="2" xfId="106" applyNumberFormat="1" applyFont="1" applyBorder="1"/>
    <xf numFmtId="164" fontId="13" fillId="0" borderId="2" xfId="106" applyNumberFormat="1" applyFont="1" applyBorder="1" applyAlignment="1">
      <alignment horizontal="center"/>
    </xf>
    <xf numFmtId="164" fontId="13" fillId="0" borderId="0" xfId="106" applyNumberFormat="1" applyFont="1" applyAlignment="1">
      <alignment horizontal="center"/>
    </xf>
    <xf numFmtId="168" fontId="229" fillId="0" borderId="0" xfId="0" applyNumberFormat="1" applyFont="1"/>
    <xf numFmtId="0" fontId="3" fillId="0" borderId="0" xfId="91" applyFont="1" applyAlignment="1">
      <alignment horizontal="right"/>
    </xf>
    <xf numFmtId="0" fontId="3" fillId="0" borderId="0" xfId="91" applyFont="1"/>
    <xf numFmtId="49" fontId="11" fillId="55" borderId="0" xfId="0" applyNumberFormat="1" applyFont="1" applyFill="1" applyAlignment="1" applyProtection="1">
      <alignment horizontal="center"/>
      <protection hidden="1"/>
    </xf>
    <xf numFmtId="0" fontId="11" fillId="55" borderId="0" xfId="0" applyFont="1" applyFill="1" applyProtection="1">
      <protection hidden="1"/>
    </xf>
    <xf numFmtId="0" fontId="0" fillId="55" borderId="0" xfId="0" applyFill="1"/>
    <xf numFmtId="0" fontId="68" fillId="55" borderId="0" xfId="0" applyFont="1" applyFill="1" applyProtection="1">
      <protection hidden="1"/>
    </xf>
    <xf numFmtId="49" fontId="11" fillId="56" borderId="0" xfId="77" applyNumberFormat="1" applyFont="1" applyFill="1" applyAlignment="1" applyProtection="1">
      <alignment horizontal="center"/>
      <protection hidden="1"/>
    </xf>
    <xf numFmtId="168" fontId="68" fillId="56" borderId="0" xfId="77" applyFont="1" applyFill="1" applyProtection="1">
      <protection hidden="1"/>
    </xf>
    <xf numFmtId="168" fontId="11" fillId="56" borderId="0" xfId="77" applyFont="1" applyFill="1" applyProtection="1">
      <protection hidden="1"/>
    </xf>
    <xf numFmtId="0" fontId="0" fillId="56" borderId="0" xfId="0" applyFill="1"/>
    <xf numFmtId="49" fontId="11" fillId="56" borderId="0" xfId="135" applyNumberFormat="1" applyFont="1" applyFill="1" applyAlignment="1" applyProtection="1">
      <alignment horizontal="center"/>
      <protection hidden="1"/>
    </xf>
    <xf numFmtId="168" fontId="11" fillId="56" borderId="0" xfId="135" applyFont="1" applyFill="1" applyProtection="1">
      <protection hidden="1"/>
    </xf>
    <xf numFmtId="0" fontId="5" fillId="56" borderId="0" xfId="0" applyFont="1" applyFill="1"/>
    <xf numFmtId="0" fontId="0" fillId="55" borderId="2" xfId="0" applyFill="1" applyBorder="1"/>
    <xf numFmtId="49" fontId="11" fillId="55" borderId="2" xfId="0" applyNumberFormat="1" applyFont="1" applyFill="1" applyBorder="1" applyAlignment="1" applyProtection="1">
      <alignment horizontal="center"/>
      <protection hidden="1"/>
    </xf>
    <xf numFmtId="0" fontId="11" fillId="55" borderId="2" xfId="0" applyFont="1" applyFill="1" applyBorder="1" applyProtection="1">
      <protection hidden="1"/>
    </xf>
    <xf numFmtId="0" fontId="5" fillId="55" borderId="0" xfId="0" applyFont="1" applyFill="1"/>
    <xf numFmtId="0" fontId="7" fillId="0" borderId="0" xfId="136" applyFont="1"/>
    <xf numFmtId="0" fontId="3" fillId="0" borderId="0" xfId="136" applyFont="1"/>
    <xf numFmtId="0" fontId="5" fillId="0" borderId="0" xfId="136" applyFont="1" applyAlignment="1">
      <alignment horizontal="centerContinuous"/>
    </xf>
    <xf numFmtId="0" fontId="3" fillId="0" borderId="0" xfId="136" applyFont="1" applyAlignment="1">
      <alignment horizontal="centerContinuous"/>
    </xf>
    <xf numFmtId="0" fontId="4" fillId="0" borderId="0" xfId="136" applyFont="1" applyAlignment="1">
      <alignment horizontal="centerContinuous"/>
    </xf>
    <xf numFmtId="0" fontId="3" fillId="0" borderId="0" xfId="136" applyFont="1" applyAlignment="1">
      <alignment horizontal="left"/>
    </xf>
    <xf numFmtId="0" fontId="3" fillId="0" borderId="1" xfId="137" applyFont="1" applyBorder="1" applyAlignment="1">
      <alignment horizontal="left" shrinkToFit="1"/>
    </xf>
    <xf numFmtId="0" fontId="3" fillId="0" borderId="0" xfId="136" applyFont="1" applyAlignment="1">
      <alignment horizontal="right"/>
    </xf>
    <xf numFmtId="0" fontId="3" fillId="0" borderId="2" xfId="136" applyFont="1" applyBorder="1"/>
    <xf numFmtId="0" fontId="5" fillId="0" borderId="0" xfId="136" applyFont="1" applyAlignment="1">
      <alignment horizontal="center"/>
    </xf>
    <xf numFmtId="0" fontId="5" fillId="0" borderId="2" xfId="136" applyFont="1" applyBorder="1" applyAlignment="1">
      <alignment horizontal="center"/>
    </xf>
    <xf numFmtId="0" fontId="3" fillId="0" borderId="1" xfId="136" applyFont="1" applyBorder="1" applyProtection="1">
      <protection locked="0"/>
    </xf>
    <xf numFmtId="0" fontId="3" fillId="0" borderId="0" xfId="136" applyFont="1" applyAlignment="1">
      <alignment horizontal="center"/>
    </xf>
    <xf numFmtId="176" fontId="3" fillId="0" borderId="1" xfId="136" applyNumberFormat="1" applyFont="1" applyBorder="1" applyProtection="1">
      <protection locked="0"/>
    </xf>
    <xf numFmtId="0" fontId="3" fillId="0" borderId="0" xfId="107" applyFont="1" applyProtection="1">
      <protection hidden="1"/>
    </xf>
    <xf numFmtId="0" fontId="3" fillId="0" borderId="0" xfId="108" applyFont="1" applyProtection="1">
      <protection hidden="1"/>
    </xf>
    <xf numFmtId="0" fontId="9" fillId="0" borderId="0" xfId="139" applyProtection="1">
      <protection hidden="1"/>
    </xf>
    <xf numFmtId="0" fontId="53" fillId="0" borderId="0" xfId="136" applyFont="1"/>
    <xf numFmtId="0" fontId="9" fillId="0" borderId="0" xfId="136"/>
    <xf numFmtId="0" fontId="9" fillId="0" borderId="0" xfId="136" applyAlignment="1">
      <alignment horizontal="center"/>
    </xf>
    <xf numFmtId="0" fontId="53" fillId="0" borderId="0" xfId="136" applyFont="1" applyProtection="1">
      <protection hidden="1"/>
    </xf>
    <xf numFmtId="0" fontId="9" fillId="0" borderId="0" xfId="139" applyAlignment="1" applyProtection="1">
      <alignment vertical="center"/>
      <protection hidden="1"/>
    </xf>
    <xf numFmtId="0" fontId="54" fillId="0" borderId="0" xfId="139" applyFont="1"/>
    <xf numFmtId="0" fontId="9" fillId="0" borderId="1" xfId="139" applyBorder="1" applyProtection="1">
      <protection locked="0"/>
    </xf>
    <xf numFmtId="0" fontId="9" fillId="0" borderId="1" xfId="139" applyBorder="1"/>
    <xf numFmtId="0" fontId="9" fillId="0" borderId="0" xfId="139"/>
    <xf numFmtId="0" fontId="9" fillId="0" borderId="4" xfId="139" applyBorder="1"/>
    <xf numFmtId="0" fontId="9" fillId="0" borderId="4" xfId="139" applyBorder="1" applyProtection="1">
      <protection locked="0"/>
    </xf>
    <xf numFmtId="0" fontId="55" fillId="0" borderId="0" xfId="136" applyFont="1"/>
    <xf numFmtId="0" fontId="3" fillId="0" borderId="0" xfId="137" applyFont="1" applyAlignment="1" applyProtection="1">
      <alignment shrinkToFit="1"/>
      <protection locked="0"/>
    </xf>
    <xf numFmtId="0" fontId="53" fillId="0" borderId="0" xfId="139" applyFont="1"/>
    <xf numFmtId="0" fontId="4" fillId="0" borderId="0" xfId="139" applyFont="1" applyAlignment="1">
      <alignment horizontal="centerContinuous"/>
    </xf>
    <xf numFmtId="0" fontId="7" fillId="0" borderId="0" xfId="139" applyFont="1" applyAlignment="1">
      <alignment horizontal="centerContinuous"/>
    </xf>
    <xf numFmtId="0" fontId="7" fillId="0" borderId="0" xfId="139" applyFont="1"/>
    <xf numFmtId="0" fontId="66" fillId="0" borderId="0" xfId="112" applyFont="1" applyAlignment="1">
      <alignment horizontal="right"/>
    </xf>
    <xf numFmtId="0" fontId="3" fillId="0" borderId="0" xfId="139" applyFont="1"/>
    <xf numFmtId="0" fontId="3" fillId="0" borderId="0" xfId="138" applyFont="1" applyAlignment="1" applyProtection="1">
      <alignment shrinkToFit="1"/>
      <protection locked="0"/>
    </xf>
    <xf numFmtId="0" fontId="3" fillId="0" borderId="0" xfId="139" applyFont="1" applyAlignment="1" applyProtection="1">
      <alignment shrinkToFit="1"/>
      <protection locked="0"/>
    </xf>
    <xf numFmtId="0" fontId="3" fillId="0" borderId="0" xfId="139" applyFont="1" applyAlignment="1">
      <alignment horizontal="left" shrinkToFit="1"/>
    </xf>
    <xf numFmtId="0" fontId="3" fillId="0" borderId="0" xfId="139" applyFont="1" applyAlignment="1" applyProtection="1">
      <alignment horizontal="center" shrinkToFit="1"/>
      <protection locked="0"/>
    </xf>
    <xf numFmtId="0" fontId="3" fillId="0" borderId="2" xfId="139" applyFont="1" applyBorder="1"/>
    <xf numFmtId="0" fontId="3" fillId="0" borderId="2" xfId="139" applyFont="1" applyBorder="1" applyAlignment="1">
      <alignment horizontal="right"/>
    </xf>
    <xf numFmtId="0" fontId="3" fillId="0" borderId="0" xfId="139" applyFont="1" applyAlignment="1">
      <alignment horizontal="right"/>
    </xf>
    <xf numFmtId="0" fontId="5" fillId="0" borderId="0" xfId="139" applyFont="1" applyAlignment="1">
      <alignment horizontal="center"/>
    </xf>
    <xf numFmtId="0" fontId="5" fillId="0" borderId="0" xfId="139" applyFont="1"/>
    <xf numFmtId="0" fontId="54" fillId="0" borderId="0" xfId="139" applyFont="1" applyAlignment="1">
      <alignment horizontal="center"/>
    </xf>
    <xf numFmtId="49" fontId="3" fillId="0" borderId="1" xfId="139" quotePrefix="1" applyNumberFormat="1" applyFont="1" applyBorder="1" applyAlignment="1" applyProtection="1">
      <alignment horizontal="center"/>
      <protection locked="0"/>
    </xf>
    <xf numFmtId="0" fontId="3" fillId="0" borderId="0" xfId="139" applyFont="1" applyAlignment="1">
      <alignment horizontal="center"/>
    </xf>
    <xf numFmtId="0" fontId="3" fillId="0" borderId="1" xfId="139" applyFont="1" applyBorder="1" applyAlignment="1" applyProtection="1">
      <alignment horizontal="center"/>
      <protection locked="0"/>
    </xf>
    <xf numFmtId="176" fontId="3" fillId="0" borderId="1" xfId="139" applyNumberFormat="1" applyFont="1" applyBorder="1" applyProtection="1">
      <protection locked="0"/>
    </xf>
    <xf numFmtId="49" fontId="3" fillId="0" borderId="1" xfId="139" applyNumberFormat="1" applyFont="1" applyBorder="1" applyAlignment="1" applyProtection="1">
      <alignment horizontal="center"/>
      <protection locked="0"/>
    </xf>
    <xf numFmtId="0" fontId="3" fillId="0" borderId="0" xfId="139" applyFont="1" applyAlignment="1" applyProtection="1">
      <alignment horizontal="center"/>
      <protection locked="0"/>
    </xf>
    <xf numFmtId="176" fontId="3" fillId="0" borderId="0" xfId="139" applyNumberFormat="1" applyFont="1" applyProtection="1">
      <protection locked="0"/>
    </xf>
    <xf numFmtId="176" fontId="3" fillId="0" borderId="0" xfId="139" applyNumberFormat="1" applyFont="1"/>
    <xf numFmtId="0" fontId="3" fillId="0" borderId="0" xfId="139" applyFont="1" applyProtection="1">
      <protection hidden="1"/>
    </xf>
    <xf numFmtId="0" fontId="3" fillId="0" borderId="0" xfId="139" applyFont="1" applyAlignment="1" applyProtection="1">
      <alignment vertical="center"/>
      <protection hidden="1"/>
    </xf>
    <xf numFmtId="0" fontId="9" fillId="0" borderId="0" xfId="139" applyAlignment="1">
      <alignment vertical="center"/>
    </xf>
    <xf numFmtId="176" fontId="9" fillId="0" borderId="0" xfId="139" applyNumberFormat="1" applyAlignment="1">
      <alignment vertical="center"/>
    </xf>
    <xf numFmtId="0" fontId="44" fillId="0" borderId="0" xfId="57" applyAlignment="1" applyProtection="1">
      <protection hidden="1"/>
    </xf>
    <xf numFmtId="0" fontId="55" fillId="0" borderId="0" xfId="139" applyFont="1"/>
    <xf numFmtId="0" fontId="55" fillId="0" borderId="0" xfId="139" applyFont="1" applyAlignment="1">
      <alignment horizontal="center"/>
    </xf>
    <xf numFmtId="0" fontId="3" fillId="0" borderId="1" xfId="139" applyFont="1" applyBorder="1"/>
    <xf numFmtId="0" fontId="5" fillId="0" borderId="1" xfId="139" applyFont="1" applyBorder="1" applyAlignment="1">
      <alignment horizontal="center"/>
    </xf>
    <xf numFmtId="176" fontId="3" fillId="0" borderId="2" xfId="139" applyNumberFormat="1" applyFont="1" applyBorder="1"/>
    <xf numFmtId="0" fontId="3" fillId="0" borderId="0" xfId="139" applyFont="1" applyAlignment="1">
      <alignment vertical="center"/>
    </xf>
    <xf numFmtId="176" fontId="3" fillId="0" borderId="0" xfId="139" applyNumberFormat="1" applyFont="1" applyAlignment="1">
      <alignment vertical="center"/>
    </xf>
    <xf numFmtId="0" fontId="3" fillId="0" borderId="1" xfId="139" applyFont="1" applyBorder="1" applyProtection="1">
      <protection locked="0"/>
    </xf>
    <xf numFmtId="0" fontId="3" fillId="0" borderId="4" xfId="139" applyFont="1" applyBorder="1" applyProtection="1">
      <protection locked="0"/>
    </xf>
    <xf numFmtId="0" fontId="5" fillId="0" borderId="0" xfId="139" applyFont="1" applyAlignment="1">
      <alignment horizontal="centerContinuous"/>
    </xf>
    <xf numFmtId="0" fontId="3" fillId="0" borderId="0" xfId="139" applyFont="1" applyAlignment="1">
      <alignment horizontal="centerContinuous"/>
    </xf>
    <xf numFmtId="0" fontId="5" fillId="0" borderId="0" xfId="139" applyFont="1" applyAlignment="1">
      <alignment vertical="center"/>
    </xf>
    <xf numFmtId="0" fontId="138" fillId="8" borderId="23" xfId="119" applyFont="1" applyFill="1" applyBorder="1" applyAlignment="1">
      <alignment horizontal="center"/>
    </xf>
    <xf numFmtId="0" fontId="4" fillId="0" borderId="0" xfId="101" applyFont="1"/>
    <xf numFmtId="189" fontId="5" fillId="0" borderId="0" xfId="0" applyNumberFormat="1" applyFont="1" applyAlignment="1">
      <alignment horizontal="center"/>
    </xf>
    <xf numFmtId="176" fontId="3" fillId="0" borderId="1" xfId="81" applyNumberFormat="1" applyFont="1" applyBorder="1"/>
    <xf numFmtId="176" fontId="5" fillId="0" borderId="14" xfId="81" applyNumberFormat="1" applyFont="1" applyBorder="1"/>
    <xf numFmtId="176" fontId="3" fillId="0" borderId="3" xfId="81" applyNumberFormat="1" applyFont="1" applyBorder="1"/>
    <xf numFmtId="0" fontId="5" fillId="0" borderId="0" xfId="0" applyFont="1" applyProtection="1">
      <protection locked="0"/>
    </xf>
    <xf numFmtId="39" fontId="239" fillId="0" borderId="0" xfId="74" applyNumberFormat="1" applyFont="1" applyProtection="1">
      <protection hidden="1"/>
    </xf>
    <xf numFmtId="180" fontId="0" fillId="8" borderId="0" xfId="0" applyNumberFormat="1" applyFill="1"/>
    <xf numFmtId="180" fontId="3" fillId="0" borderId="1" xfId="75" applyNumberFormat="1" applyBorder="1"/>
    <xf numFmtId="185" fontId="3" fillId="0" borderId="0" xfId="0" applyNumberFormat="1" applyFont="1"/>
    <xf numFmtId="185" fontId="3" fillId="0" borderId="0" xfId="73" applyNumberFormat="1"/>
    <xf numFmtId="43" fontId="154" fillId="0" borderId="0" xfId="32"/>
    <xf numFmtId="180" fontId="3" fillId="0" borderId="1" xfId="73" applyNumberFormat="1" applyBorder="1"/>
    <xf numFmtId="43" fontId="0" fillId="0" borderId="0" xfId="29" applyFont="1"/>
    <xf numFmtId="14" fontId="3" fillId="0" borderId="0" xfId="0" applyNumberFormat="1" applyFont="1" applyAlignment="1" applyProtection="1">
      <alignment horizontal="center"/>
      <protection locked="0"/>
    </xf>
    <xf numFmtId="0" fontId="71" fillId="0" borderId="0" xfId="57" applyFont="1" applyAlignment="1" applyProtection="1">
      <alignment horizontal="left"/>
      <protection hidden="1"/>
    </xf>
    <xf numFmtId="0" fontId="10" fillId="0" borderId="0" xfId="0" applyFont="1" applyAlignment="1" applyProtection="1">
      <alignment horizontal="left"/>
      <protection hidden="1"/>
    </xf>
    <xf numFmtId="0" fontId="44" fillId="0" borderId="0" xfId="57" applyAlignment="1" applyProtection="1">
      <alignment horizontal="left"/>
      <protection hidden="1"/>
    </xf>
    <xf numFmtId="0" fontId="10" fillId="0" borderId="1" xfId="0" applyFont="1" applyBorder="1" applyAlignment="1" applyProtection="1">
      <alignment horizontal="left"/>
      <protection hidden="1"/>
    </xf>
    <xf numFmtId="0" fontId="240" fillId="0" borderId="0" xfId="0" applyFont="1"/>
    <xf numFmtId="0" fontId="15" fillId="0" borderId="0" xfId="0" applyFont="1" applyAlignment="1">
      <alignment vertical="top" wrapText="1"/>
    </xf>
    <xf numFmtId="0" fontId="3" fillId="53" borderId="0" xfId="0" applyFont="1" applyFill="1" applyAlignment="1">
      <alignment wrapText="1"/>
    </xf>
    <xf numFmtId="0" fontId="5" fillId="0" borderId="23" xfId="0" applyFont="1" applyBorder="1" applyAlignment="1">
      <alignment horizontal="left" vertical="top"/>
    </xf>
    <xf numFmtId="0" fontId="3" fillId="0" borderId="1" xfId="108" applyFont="1" applyBorder="1" applyProtection="1">
      <protection locked="0"/>
    </xf>
    <xf numFmtId="0" fontId="5" fillId="0" borderId="0" xfId="114" applyFont="1"/>
    <xf numFmtId="0" fontId="16" fillId="58" borderId="0" xfId="0" quotePrefix="1" applyFont="1" applyFill="1"/>
    <xf numFmtId="0" fontId="3" fillId="0" borderId="0" xfId="136" applyFont="1" applyProtection="1">
      <protection locked="0"/>
    </xf>
    <xf numFmtId="0" fontId="5" fillId="0" borderId="29" xfId="136" applyFont="1" applyBorder="1" applyAlignment="1">
      <alignment horizontal="center"/>
    </xf>
    <xf numFmtId="0" fontId="5" fillId="0" borderId="30" xfId="136" applyFont="1" applyBorder="1" applyAlignment="1">
      <alignment horizontal="center"/>
    </xf>
    <xf numFmtId="0" fontId="5" fillId="0" borderId="31" xfId="136" applyFont="1" applyBorder="1" applyAlignment="1">
      <alignment horizontal="center"/>
    </xf>
    <xf numFmtId="0" fontId="5" fillId="0" borderId="32" xfId="136" applyFont="1" applyBorder="1" applyAlignment="1">
      <alignment horizontal="center"/>
    </xf>
    <xf numFmtId="0" fontId="3" fillId="0" borderId="48" xfId="136" applyFont="1" applyBorder="1" applyAlignment="1" applyProtection="1">
      <alignment horizontal="center"/>
      <protection locked="0"/>
    </xf>
    <xf numFmtId="0" fontId="3" fillId="0" borderId="30" xfId="136" applyFont="1" applyBorder="1"/>
    <xf numFmtId="0" fontId="3" fillId="0" borderId="49" xfId="136" applyFont="1" applyBorder="1" applyProtection="1">
      <protection locked="0"/>
    </xf>
    <xf numFmtId="49" fontId="3" fillId="0" borderId="49" xfId="139" quotePrefix="1" applyNumberFormat="1" applyFont="1" applyBorder="1" applyAlignment="1" applyProtection="1">
      <alignment horizontal="center"/>
      <protection locked="0"/>
    </xf>
    <xf numFmtId="0" fontId="3" fillId="0" borderId="0" xfId="0" quotePrefix="1" applyFont="1" applyAlignment="1">
      <alignment horizontal="left" indent="1"/>
    </xf>
    <xf numFmtId="0" fontId="10" fillId="0" borderId="0" xfId="119" applyFont="1" applyProtection="1">
      <protection locked="0"/>
    </xf>
    <xf numFmtId="0" fontId="101" fillId="54" borderId="0" xfId="0" applyFont="1" applyFill="1"/>
    <xf numFmtId="0" fontId="0" fillId="54" borderId="0" xfId="0" applyFill="1"/>
    <xf numFmtId="0" fontId="11" fillId="0" borderId="0" xfId="0" applyFont="1" applyAlignment="1" applyProtection="1">
      <alignment horizontal="left" indent="2"/>
      <protection hidden="1"/>
    </xf>
    <xf numFmtId="0" fontId="16" fillId="58" borderId="0" xfId="0" applyFont="1" applyFill="1"/>
    <xf numFmtId="49" fontId="28" fillId="52" borderId="1" xfId="139" quotePrefix="1" applyNumberFormat="1" applyFont="1" applyFill="1" applyBorder="1" applyAlignment="1">
      <alignment horizontal="center"/>
    </xf>
    <xf numFmtId="0" fontId="28" fillId="0" borderId="0" xfId="139" applyFont="1" applyAlignment="1">
      <alignment horizontal="center"/>
    </xf>
    <xf numFmtId="0" fontId="28" fillId="52" borderId="1" xfId="139" applyFont="1" applyFill="1" applyBorder="1" applyAlignment="1">
      <alignment horizontal="center"/>
    </xf>
    <xf numFmtId="176" fontId="28" fillId="52" borderId="1" xfId="139" applyNumberFormat="1" applyFont="1" applyFill="1" applyBorder="1"/>
    <xf numFmtId="0" fontId="28" fillId="0" borderId="0" xfId="139" applyFont="1"/>
    <xf numFmtId="49" fontId="28" fillId="52" borderId="1" xfId="139" applyNumberFormat="1" applyFont="1" applyFill="1" applyBorder="1" applyAlignment="1">
      <alignment horizontal="center"/>
    </xf>
    <xf numFmtId="0" fontId="88" fillId="0" borderId="0" xfId="107" applyFont="1" applyAlignment="1">
      <alignment vertical="top"/>
    </xf>
    <xf numFmtId="0" fontId="3" fillId="0" borderId="0" xfId="108" applyFont="1"/>
    <xf numFmtId="0" fontId="241" fillId="0" borderId="0" xfId="139" applyFont="1"/>
    <xf numFmtId="49" fontId="28" fillId="52" borderId="1" xfId="139" quotePrefix="1" applyNumberFormat="1" applyFont="1" applyFill="1" applyBorder="1" applyAlignment="1" applyProtection="1">
      <alignment horizontal="center"/>
      <protection hidden="1"/>
    </xf>
    <xf numFmtId="0" fontId="28" fillId="0" borderId="0" xfId="139" applyFont="1" applyAlignment="1" applyProtection="1">
      <alignment horizontal="center"/>
      <protection hidden="1"/>
    </xf>
    <xf numFmtId="0" fontId="28" fillId="52" borderId="1" xfId="139" applyFont="1" applyFill="1" applyBorder="1" applyAlignment="1" applyProtection="1">
      <alignment horizontal="center"/>
      <protection hidden="1"/>
    </xf>
    <xf numFmtId="0" fontId="36" fillId="0" borderId="0" xfId="139" applyFont="1" applyAlignment="1" applyProtection="1">
      <alignment horizontal="center"/>
      <protection hidden="1"/>
    </xf>
    <xf numFmtId="176" fontId="28" fillId="52" borderId="1" xfId="139" applyNumberFormat="1" applyFont="1" applyFill="1" applyBorder="1" applyProtection="1">
      <protection hidden="1"/>
    </xf>
    <xf numFmtId="0" fontId="28" fillId="0" borderId="0" xfId="139" applyFont="1" applyProtection="1">
      <protection hidden="1"/>
    </xf>
    <xf numFmtId="49" fontId="28" fillId="52" borderId="1" xfId="139" applyNumberFormat="1" applyFont="1" applyFill="1" applyBorder="1" applyAlignment="1" applyProtection="1">
      <alignment horizontal="center"/>
      <protection hidden="1"/>
    </xf>
    <xf numFmtId="0" fontId="241" fillId="0" borderId="0" xfId="139" applyFont="1" applyProtection="1">
      <protection hidden="1"/>
    </xf>
    <xf numFmtId="49" fontId="3" fillId="0" borderId="1" xfId="139" applyNumberFormat="1" applyFont="1" applyBorder="1" applyProtection="1">
      <protection locked="0"/>
    </xf>
    <xf numFmtId="0" fontId="3" fillId="0" borderId="0" xfId="73"/>
    <xf numFmtId="14" fontId="210" fillId="0" borderId="27" xfId="0" applyNumberFormat="1" applyFont="1" applyBorder="1" applyAlignment="1">
      <alignment horizontal="center"/>
    </xf>
    <xf numFmtId="0" fontId="210" fillId="0" borderId="0" xfId="0" applyFont="1"/>
    <xf numFmtId="0" fontId="210" fillId="0" borderId="0" xfId="0" applyFont="1" applyAlignment="1">
      <alignment horizontal="center" wrapText="1"/>
    </xf>
    <xf numFmtId="49" fontId="210" fillId="0" borderId="0" xfId="0" applyNumberFormat="1" applyFont="1" applyAlignment="1">
      <alignment horizontal="left" wrapText="1"/>
    </xf>
    <xf numFmtId="14" fontId="210" fillId="0" borderId="0" xfId="0" applyNumberFormat="1" applyFont="1" applyAlignment="1">
      <alignment horizontal="center"/>
    </xf>
    <xf numFmtId="49" fontId="210" fillId="0" borderId="0" xfId="0" applyNumberFormat="1" applyFont="1" applyAlignment="1">
      <alignment horizontal="center"/>
    </xf>
    <xf numFmtId="0" fontId="210" fillId="0" borderId="0" xfId="0" applyFont="1" applyAlignment="1">
      <alignment wrapText="1"/>
    </xf>
    <xf numFmtId="1" fontId="5" fillId="59" borderId="0" xfId="0" applyNumberFormat="1" applyFont="1" applyFill="1" applyAlignment="1">
      <alignment horizontal="center"/>
    </xf>
    <xf numFmtId="180" fontId="5" fillId="59" borderId="0" xfId="0" applyNumberFormat="1" applyFont="1" applyFill="1" applyAlignment="1">
      <alignment horizontal="center"/>
    </xf>
    <xf numFmtId="1" fontId="6" fillId="59" borderId="0" xfId="0" applyNumberFormat="1" applyFont="1" applyFill="1" applyAlignment="1">
      <alignment horizontal="center"/>
    </xf>
    <xf numFmtId="180" fontId="96" fillId="0" borderId="0" xfId="0" applyNumberFormat="1" applyFont="1"/>
    <xf numFmtId="164" fontId="3" fillId="0" borderId="0" xfId="99" applyNumberFormat="1" applyAlignment="1">
      <alignment horizontal="centerContinuous"/>
    </xf>
    <xf numFmtId="168" fontId="3" fillId="0" borderId="0" xfId="82" applyFont="1" applyAlignment="1">
      <alignment shrinkToFit="1"/>
      <protection locked="0"/>
    </xf>
    <xf numFmtId="0" fontId="3" fillId="0" borderId="27" xfId="115" applyFont="1" applyBorder="1" applyAlignment="1">
      <alignment horizontal="centerContinuous"/>
    </xf>
    <xf numFmtId="0" fontId="40" fillId="0" borderId="0" xfId="115" applyFont="1"/>
    <xf numFmtId="0" fontId="3" fillId="0" borderId="0" xfId="115" applyFont="1" applyAlignment="1">
      <alignment horizontal="right"/>
    </xf>
    <xf numFmtId="0" fontId="3" fillId="0" borderId="1" xfId="115" applyFont="1" applyBorder="1" applyProtection="1">
      <protection locked="0"/>
    </xf>
    <xf numFmtId="0" fontId="3" fillId="0" borderId="8" xfId="115" applyFont="1" applyBorder="1"/>
    <xf numFmtId="0" fontId="3" fillId="0" borderId="0" xfId="115" applyFont="1" applyAlignment="1">
      <alignment horizontal="left"/>
    </xf>
    <xf numFmtId="0" fontId="5" fillId="0" borderId="0" xfId="99" applyFont="1" applyAlignment="1">
      <alignment horizontal="center"/>
    </xf>
    <xf numFmtId="0" fontId="3" fillId="0" borderId="0" xfId="99" applyAlignment="1">
      <alignment horizontal="right"/>
    </xf>
    <xf numFmtId="0" fontId="6" fillId="0" borderId="0" xfId="115" applyFont="1" applyAlignment="1">
      <alignment horizontal="center"/>
    </xf>
    <xf numFmtId="0" fontId="3" fillId="0" borderId="0" xfId="99" applyAlignment="1">
      <alignment horizontal="center"/>
    </xf>
    <xf numFmtId="0" fontId="3" fillId="0" borderId="1" xfId="99" applyBorder="1" applyAlignment="1" applyProtection="1">
      <alignment horizontal="right"/>
      <protection locked="0"/>
    </xf>
    <xf numFmtId="0" fontId="3" fillId="0" borderId="1" xfId="99" applyBorder="1" applyAlignment="1" applyProtection="1">
      <alignment horizontal="center"/>
      <protection locked="0"/>
    </xf>
    <xf numFmtId="0" fontId="3" fillId="0" borderId="1" xfId="99" applyBorder="1" applyProtection="1">
      <protection locked="0"/>
    </xf>
    <xf numFmtId="189" fontId="5" fillId="0" borderId="0" xfId="115" applyNumberFormat="1" applyFont="1" applyAlignment="1">
      <alignment horizontal="center"/>
    </xf>
    <xf numFmtId="189" fontId="6" fillId="0" borderId="0" xfId="115" applyNumberFormat="1" applyFont="1" applyAlignment="1">
      <alignment horizontal="center"/>
    </xf>
    <xf numFmtId="0" fontId="6" fillId="0" borderId="0" xfId="99" applyFont="1" applyAlignment="1">
      <alignment horizontal="center"/>
    </xf>
    <xf numFmtId="39" fontId="3" fillId="0" borderId="0" xfId="115" applyNumberFormat="1" applyFont="1"/>
    <xf numFmtId="39" fontId="3" fillId="0" borderId="1" xfId="115" applyNumberFormat="1" applyFont="1" applyBorder="1" applyProtection="1">
      <protection locked="0"/>
    </xf>
    <xf numFmtId="39" fontId="3" fillId="0" borderId="1" xfId="99" applyNumberFormat="1" applyBorder="1" applyAlignment="1" applyProtection="1">
      <alignment horizontal="center"/>
      <protection locked="0"/>
    </xf>
    <xf numFmtId="39" fontId="3" fillId="0" borderId="0" xfId="99" applyNumberFormat="1"/>
    <xf numFmtId="39" fontId="3" fillId="0" borderId="0" xfId="115" applyNumberFormat="1" applyFont="1" applyProtection="1">
      <protection locked="0"/>
    </xf>
    <xf numFmtId="39" fontId="3" fillId="0" borderId="0" xfId="99" applyNumberFormat="1" applyAlignment="1" applyProtection="1">
      <alignment horizontal="center"/>
      <protection locked="0"/>
    </xf>
    <xf numFmtId="0" fontId="3" fillId="0" borderId="0" xfId="115" applyFont="1" applyProtection="1">
      <protection locked="0"/>
    </xf>
    <xf numFmtId="39" fontId="6" fillId="0" borderId="0" xfId="115" applyNumberFormat="1" applyFont="1" applyAlignment="1" applyProtection="1">
      <alignment horizontal="center"/>
      <protection locked="0"/>
    </xf>
    <xf numFmtId="39" fontId="3" fillId="0" borderId="1" xfId="115" applyNumberFormat="1" applyFont="1" applyBorder="1"/>
    <xf numFmtId="39" fontId="3" fillId="0" borderId="1" xfId="99" applyNumberFormat="1" applyBorder="1"/>
    <xf numFmtId="0" fontId="5" fillId="5" borderId="0" xfId="115" applyFont="1" applyFill="1" applyAlignment="1">
      <alignment horizontal="center"/>
    </xf>
    <xf numFmtId="0" fontId="5" fillId="0" borderId="1" xfId="115" applyFont="1" applyBorder="1" applyAlignment="1" applyProtection="1">
      <alignment horizontal="center"/>
      <protection locked="0"/>
    </xf>
    <xf numFmtId="0" fontId="3" fillId="0" borderId="0" xfId="115" applyFont="1" applyAlignment="1">
      <alignment horizontal="center"/>
    </xf>
    <xf numFmtId="0" fontId="3" fillId="0" borderId="0" xfId="99" applyAlignment="1" applyProtection="1">
      <alignment horizontal="center"/>
      <protection locked="0"/>
    </xf>
    <xf numFmtId="39" fontId="3" fillId="0" borderId="0" xfId="99" applyNumberFormat="1" applyAlignment="1">
      <alignment horizontal="center"/>
    </xf>
    <xf numFmtId="0" fontId="242" fillId="0" borderId="15" xfId="57" applyFont="1" applyBorder="1" applyAlignment="1" applyProtection="1">
      <alignment horizontal="center"/>
    </xf>
    <xf numFmtId="164" fontId="97" fillId="0" borderId="0" xfId="57" applyNumberFormat="1" applyFont="1" applyAlignment="1" applyProtection="1">
      <alignment horizontal="centerContinuous"/>
    </xf>
    <xf numFmtId="0" fontId="9" fillId="0" borderId="0" xfId="115" applyAlignment="1">
      <alignment horizontal="centerContinuous"/>
    </xf>
    <xf numFmtId="164" fontId="5" fillId="0" borderId="0" xfId="96" applyNumberFormat="1" applyFont="1" applyAlignment="1">
      <alignment horizontal="centerContinuous"/>
    </xf>
    <xf numFmtId="0" fontId="3" fillId="0" borderId="0" xfId="99" applyAlignment="1">
      <alignment horizontal="centerContinuous"/>
    </xf>
    <xf numFmtId="164" fontId="5" fillId="0" borderId="2" xfId="99" applyNumberFormat="1" applyFont="1" applyBorder="1" applyAlignment="1">
      <alignment horizontal="centerContinuous"/>
    </xf>
    <xf numFmtId="0" fontId="9" fillId="0" borderId="1" xfId="115" applyBorder="1"/>
    <xf numFmtId="0" fontId="244" fillId="0" borderId="0" xfId="0" applyFont="1" applyAlignment="1">
      <alignment horizontal="center"/>
    </xf>
    <xf numFmtId="0" fontId="243" fillId="0" borderId="0" xfId="0" applyFont="1" applyAlignment="1">
      <alignment horizontal="center"/>
    </xf>
    <xf numFmtId="0" fontId="243" fillId="0" borderId="0" xfId="0" applyFont="1"/>
    <xf numFmtId="0" fontId="3" fillId="0" borderId="0" xfId="115" applyFont="1" applyAlignment="1" applyProtection="1">
      <alignment horizontal="left"/>
      <protection locked="0"/>
    </xf>
    <xf numFmtId="0" fontId="232" fillId="0" borderId="0" xfId="0" applyFont="1"/>
    <xf numFmtId="0" fontId="63" fillId="0" borderId="0" xfId="115" applyFont="1" applyAlignment="1">
      <alignment horizontal="centerContinuous"/>
    </xf>
    <xf numFmtId="0" fontId="3" fillId="0" borderId="0" xfId="115" applyFont="1" applyAlignment="1">
      <alignment horizontal="centerContinuous"/>
    </xf>
    <xf numFmtId="0" fontId="6" fillId="0" borderId="0" xfId="115" applyFont="1"/>
    <xf numFmtId="0" fontId="57" fillId="0" borderId="0" xfId="115" applyFont="1"/>
    <xf numFmtId="0" fontId="246" fillId="0" borderId="0" xfId="115" applyFont="1"/>
    <xf numFmtId="0" fontId="66" fillId="0" borderId="0" xfId="115" applyFont="1"/>
    <xf numFmtId="0" fontId="6" fillId="0" borderId="0" xfId="115" applyFont="1" applyProtection="1">
      <protection locked="0"/>
    </xf>
    <xf numFmtId="0" fontId="63" fillId="0" borderId="0" xfId="115" applyFont="1" applyProtection="1">
      <protection locked="0"/>
    </xf>
    <xf numFmtId="0" fontId="61" fillId="0" borderId="0" xfId="91" applyFont="1" applyAlignment="1">
      <alignment horizontal="left"/>
    </xf>
    <xf numFmtId="0" fontId="5" fillId="0" borderId="0" xfId="91" applyFont="1" applyAlignment="1">
      <alignment horizontal="left"/>
    </xf>
    <xf numFmtId="0" fontId="5" fillId="0" borderId="0" xfId="90" applyFont="1" applyAlignment="1">
      <alignment horizontal="left"/>
    </xf>
    <xf numFmtId="0" fontId="4" fillId="0" borderId="0" xfId="90" applyFont="1"/>
    <xf numFmtId="0" fontId="3" fillId="0" borderId="0" xfId="90" applyFont="1" applyAlignment="1">
      <alignment horizontal="left"/>
    </xf>
    <xf numFmtId="49" fontId="11" fillId="0" borderId="0" xfId="0" applyNumberFormat="1" applyFont="1" applyAlignment="1" applyProtection="1">
      <alignment horizontal="center"/>
      <protection hidden="1"/>
    </xf>
    <xf numFmtId="0" fontId="3" fillId="10" borderId="0" xfId="0" applyFont="1" applyFill="1" applyAlignment="1">
      <alignment horizontal="center"/>
    </xf>
    <xf numFmtId="0" fontId="3" fillId="0" borderId="16" xfId="104" applyFont="1" applyBorder="1" applyAlignment="1">
      <alignment horizontal="centerContinuous"/>
    </xf>
    <xf numFmtId="0" fontId="3" fillId="0" borderId="0" xfId="104" applyFont="1" applyAlignment="1">
      <alignment horizontal="centerContinuous"/>
    </xf>
    <xf numFmtId="0" fontId="3" fillId="0" borderId="0" xfId="104" applyFont="1"/>
    <xf numFmtId="0" fontId="3" fillId="52" borderId="49" xfId="136" quotePrefix="1" applyFont="1" applyFill="1" applyBorder="1" applyAlignment="1">
      <alignment horizontal="center"/>
    </xf>
    <xf numFmtId="0" fontId="3" fillId="52" borderId="48" xfId="136" applyFont="1" applyFill="1" applyBorder="1" applyAlignment="1">
      <alignment horizontal="center"/>
    </xf>
    <xf numFmtId="0" fontId="3" fillId="52" borderId="49" xfId="136" applyFont="1" applyFill="1" applyBorder="1"/>
    <xf numFmtId="176" fontId="3" fillId="52" borderId="1" xfId="136" applyNumberFormat="1" applyFont="1" applyFill="1" applyBorder="1"/>
    <xf numFmtId="0" fontId="3" fillId="52" borderId="1" xfId="136" applyFont="1" applyFill="1" applyBorder="1"/>
    <xf numFmtId="0" fontId="3" fillId="52" borderId="0" xfId="136" applyFont="1" applyFill="1"/>
    <xf numFmtId="0" fontId="3" fillId="52" borderId="22" xfId="136" applyFont="1" applyFill="1" applyBorder="1" applyAlignment="1">
      <alignment horizontal="center"/>
    </xf>
    <xf numFmtId="0" fontId="3" fillId="52" borderId="0" xfId="136" applyFont="1" applyFill="1" applyAlignment="1">
      <alignment horizontal="center"/>
    </xf>
    <xf numFmtId="0" fontId="53" fillId="0" borderId="31" xfId="136" applyFont="1" applyBorder="1"/>
    <xf numFmtId="0" fontId="53" fillId="0" borderId="2" xfId="136" applyFont="1" applyBorder="1"/>
    <xf numFmtId="0" fontId="9" fillId="0" borderId="32" xfId="136" applyBorder="1"/>
    <xf numFmtId="0" fontId="9" fillId="0" borderId="31" xfId="136" applyBorder="1"/>
    <xf numFmtId="0" fontId="9" fillId="0" borderId="2" xfId="136" applyBorder="1"/>
    <xf numFmtId="0" fontId="247" fillId="0" borderId="0" xfId="136" applyFont="1"/>
    <xf numFmtId="43" fontId="3" fillId="0" borderId="0" xfId="29"/>
    <xf numFmtId="0" fontId="16" fillId="8" borderId="0" xfId="0" applyFont="1" applyFill="1" applyAlignment="1">
      <alignment horizontal="right"/>
    </xf>
    <xf numFmtId="0" fontId="12" fillId="0" borderId="0" xfId="99" applyFont="1" applyAlignment="1">
      <alignment horizontal="center"/>
    </xf>
    <xf numFmtId="0" fontId="53" fillId="0" borderId="1" xfId="115" applyFont="1" applyBorder="1" applyAlignment="1" applyProtection="1">
      <alignment horizontal="center"/>
      <protection locked="0"/>
    </xf>
    <xf numFmtId="0" fontId="53" fillId="0" borderId="4" xfId="115" applyFont="1" applyBorder="1" applyAlignment="1" applyProtection="1">
      <alignment horizontal="center"/>
      <protection locked="0"/>
    </xf>
    <xf numFmtId="0" fontId="13" fillId="0" borderId="0" xfId="69" applyFont="1" applyProtection="1">
      <protection locked="0"/>
    </xf>
    <xf numFmtId="170" fontId="3" fillId="0" borderId="1" xfId="69" applyNumberFormat="1" applyFont="1" applyBorder="1" applyProtection="1">
      <protection locked="0"/>
    </xf>
    <xf numFmtId="0" fontId="3" fillId="0" borderId="1" xfId="136" applyFont="1" applyBorder="1" applyAlignment="1" applyProtection="1">
      <alignment horizontal="center"/>
      <protection locked="0"/>
    </xf>
    <xf numFmtId="0" fontId="3" fillId="0" borderId="0" xfId="136" applyFont="1" applyAlignment="1" applyProtection="1">
      <alignment horizontal="center"/>
      <protection locked="0"/>
    </xf>
    <xf numFmtId="0" fontId="3" fillId="0" borderId="4" xfId="136" applyFont="1" applyBorder="1" applyAlignment="1" applyProtection="1">
      <alignment horizontal="center"/>
      <protection locked="0"/>
    </xf>
    <xf numFmtId="0" fontId="243" fillId="0" borderId="1" xfId="0" applyFont="1" applyBorder="1" applyProtection="1">
      <protection locked="0"/>
    </xf>
    <xf numFmtId="0" fontId="3" fillId="0" borderId="0" xfId="0" applyFont="1" applyAlignment="1">
      <alignment horizontal="left" indent="2"/>
    </xf>
    <xf numFmtId="0" fontId="243" fillId="0" borderId="0" xfId="0" applyFont="1" applyProtection="1">
      <protection locked="0"/>
    </xf>
    <xf numFmtId="0" fontId="16" fillId="58" borderId="0" xfId="95" applyFont="1" applyFill="1"/>
    <xf numFmtId="0" fontId="16" fillId="58" borderId="2" xfId="95" applyFont="1" applyFill="1" applyBorder="1"/>
    <xf numFmtId="0" fontId="3" fillId="58" borderId="2" xfId="95" applyFont="1" applyFill="1" applyBorder="1" applyAlignment="1">
      <alignment horizontal="right"/>
    </xf>
    <xf numFmtId="0" fontId="16" fillId="58" borderId="2" xfId="95" applyFont="1" applyFill="1" applyBorder="1" applyAlignment="1">
      <alignment horizontal="center" shrinkToFit="1"/>
    </xf>
    <xf numFmtId="0" fontId="243" fillId="58" borderId="0" xfId="0" applyFont="1" applyFill="1"/>
    <xf numFmtId="0" fontId="245" fillId="58" borderId="0" xfId="0" applyFont="1" applyFill="1"/>
    <xf numFmtId="0" fontId="0" fillId="58" borderId="0" xfId="0" applyFill="1"/>
    <xf numFmtId="0" fontId="3" fillId="0" borderId="0" xfId="92" applyFont="1" applyProtection="1">
      <protection locked="0"/>
    </xf>
    <xf numFmtId="39" fontId="3" fillId="0" borderId="0" xfId="92" applyNumberFormat="1" applyFont="1" applyAlignment="1" applyProtection="1">
      <alignment vertical="top" wrapText="1"/>
      <protection locked="0"/>
    </xf>
    <xf numFmtId="43" fontId="3" fillId="0" borderId="0" xfId="29" applyFont="1"/>
    <xf numFmtId="43" fontId="3" fillId="0" borderId="0" xfId="0" applyNumberFormat="1" applyFont="1"/>
    <xf numFmtId="0" fontId="3" fillId="14" borderId="0" xfId="0" applyFont="1" applyFill="1"/>
    <xf numFmtId="43" fontId="3" fillId="61" borderId="0" xfId="0" applyNumberFormat="1" applyFont="1" applyFill="1"/>
    <xf numFmtId="180" fontId="3" fillId="61" borderId="0" xfId="0" applyNumberFormat="1" applyFont="1" applyFill="1"/>
    <xf numFmtId="180" fontId="3" fillId="61" borderId="0" xfId="75" applyNumberFormat="1" applyFill="1"/>
    <xf numFmtId="180" fontId="248" fillId="0" borderId="0" xfId="0" applyNumberFormat="1" applyFont="1" applyAlignment="1">
      <alignment horizontal="center"/>
    </xf>
    <xf numFmtId="180" fontId="3" fillId="52" borderId="0" xfId="75" applyNumberFormat="1" applyFill="1"/>
    <xf numFmtId="180" fontId="0" fillId="61" borderId="0" xfId="0" applyNumberFormat="1" applyFill="1"/>
    <xf numFmtId="43" fontId="0" fillId="61" borderId="0" xfId="29" applyFont="1" applyFill="1"/>
    <xf numFmtId="0" fontId="3" fillId="0" borderId="8" xfId="0" applyFont="1" applyBorder="1" applyProtection="1">
      <protection locked="0"/>
    </xf>
    <xf numFmtId="176" fontId="3" fillId="0" borderId="18" xfId="81" applyNumberFormat="1" applyFont="1" applyBorder="1"/>
    <xf numFmtId="0" fontId="0" fillId="62" borderId="0" xfId="0" applyFill="1"/>
    <xf numFmtId="0" fontId="16" fillId="61" borderId="0" xfId="0" applyFont="1" applyFill="1"/>
    <xf numFmtId="0" fontId="249" fillId="0" borderId="0" xfId="0" applyFont="1"/>
    <xf numFmtId="0" fontId="250" fillId="0" borderId="0" xfId="0" applyFont="1"/>
    <xf numFmtId="0" fontId="229" fillId="0" borderId="0" xfId="114" applyFont="1"/>
    <xf numFmtId="0" fontId="13" fillId="0" borderId="0" xfId="69" applyFont="1" applyAlignment="1">
      <alignment horizontal="left" indent="1"/>
    </xf>
    <xf numFmtId="0" fontId="3" fillId="0" borderId="11" xfId="0" applyFont="1" applyBorder="1" applyAlignment="1">
      <alignment vertical="top" wrapText="1"/>
    </xf>
    <xf numFmtId="0" fontId="3" fillId="0" borderId="2" xfId="81" applyFont="1" applyBorder="1" applyAlignment="1">
      <alignment horizontal="center"/>
    </xf>
    <xf numFmtId="0" fontId="3" fillId="0" borderId="1" xfId="81" applyFont="1" applyBorder="1"/>
    <xf numFmtId="16" fontId="3" fillId="0" borderId="0" xfId="81" applyNumberFormat="1" applyFont="1"/>
    <xf numFmtId="189" fontId="3" fillId="0" borderId="0" xfId="81" applyNumberFormat="1" applyFont="1"/>
    <xf numFmtId="176" fontId="3" fillId="0" borderId="0" xfId="81" applyNumberFormat="1" applyFont="1" applyAlignment="1" applyProtection="1">
      <alignment horizontal="center"/>
      <protection locked="0"/>
    </xf>
    <xf numFmtId="0" fontId="3" fillId="0" borderId="4" xfId="81" applyFont="1" applyBorder="1" applyAlignment="1" applyProtection="1">
      <alignment horizontal="center"/>
      <protection locked="0"/>
    </xf>
    <xf numFmtId="39" fontId="3" fillId="0" borderId="0" xfId="81" applyNumberFormat="1" applyFont="1"/>
    <xf numFmtId="0" fontId="5" fillId="0" borderId="0" xfId="91" applyFont="1" applyAlignment="1">
      <alignment horizontal="right"/>
    </xf>
    <xf numFmtId="0" fontId="44" fillId="0" borderId="0" xfId="57" applyFill="1" applyAlignment="1" applyProtection="1">
      <alignment horizontal="left"/>
      <protection hidden="1"/>
    </xf>
    <xf numFmtId="0" fontId="11" fillId="58" borderId="0" xfId="0" applyFont="1" applyFill="1" applyAlignment="1" applyProtection="1">
      <alignment horizontal="left"/>
      <protection hidden="1"/>
    </xf>
    <xf numFmtId="176" fontId="3" fillId="0" borderId="1" xfId="94" applyNumberFormat="1" applyFont="1" applyBorder="1" applyProtection="1">
      <protection locked="0"/>
    </xf>
    <xf numFmtId="49" fontId="13" fillId="0" borderId="4" xfId="106" applyNumberFormat="1" applyFont="1" applyBorder="1" applyAlignment="1" applyProtection="1">
      <alignment horizontal="center"/>
      <protection locked="0"/>
    </xf>
    <xf numFmtId="49" fontId="13" fillId="0" borderId="1" xfId="106" applyNumberFormat="1" applyFont="1" applyBorder="1" applyAlignment="1" applyProtection="1">
      <alignment horizontal="center"/>
      <protection locked="0"/>
    </xf>
    <xf numFmtId="0" fontId="210" fillId="0" borderId="0" xfId="0" applyFont="1" applyAlignment="1">
      <alignment horizontal="left" vertical="center"/>
    </xf>
    <xf numFmtId="49" fontId="210" fillId="0" borderId="0" xfId="0" applyNumberFormat="1" applyFont="1" applyAlignment="1">
      <alignment horizontal="left" vertical="center" wrapText="1"/>
    </xf>
    <xf numFmtId="0" fontId="0" fillId="0" borderId="0" xfId="0" applyAlignment="1" applyProtection="1">
      <alignment horizontal="left" vertical="center"/>
      <protection locked="0"/>
    </xf>
    <xf numFmtId="0" fontId="6" fillId="0" borderId="0" xfId="69" applyFont="1" applyAlignment="1">
      <alignment horizontal="center"/>
    </xf>
    <xf numFmtId="14" fontId="5" fillId="0" borderId="1" xfId="69" applyNumberFormat="1" applyFont="1" applyBorder="1" applyAlignment="1">
      <alignment horizontal="center"/>
    </xf>
    <xf numFmtId="191" fontId="3" fillId="0" borderId="1" xfId="81" applyNumberFormat="1" applyFont="1" applyBorder="1" applyAlignment="1" applyProtection="1">
      <alignment horizontal="center"/>
      <protection locked="0"/>
    </xf>
    <xf numFmtId="176" fontId="5" fillId="0" borderId="0" xfId="81" applyNumberFormat="1" applyFont="1" applyAlignment="1" applyProtection="1">
      <alignment horizontal="center"/>
      <protection locked="0"/>
    </xf>
    <xf numFmtId="1" fontId="3" fillId="0" borderId="1" xfId="81" applyNumberFormat="1" applyFont="1" applyBorder="1" applyAlignment="1" applyProtection="1">
      <alignment horizontal="center"/>
      <protection locked="0"/>
    </xf>
    <xf numFmtId="176" fontId="3" fillId="0" borderId="1" xfId="84" applyNumberFormat="1" applyFont="1" applyBorder="1" applyProtection="1">
      <protection locked="0"/>
    </xf>
    <xf numFmtId="176" fontId="3" fillId="0" borderId="0" xfId="84" applyNumberFormat="1" applyFont="1" applyProtection="1">
      <protection locked="0"/>
    </xf>
    <xf numFmtId="14" fontId="5" fillId="0" borderId="0" xfId="69" applyNumberFormat="1" applyFont="1" applyAlignment="1">
      <alignment horizontal="center"/>
    </xf>
    <xf numFmtId="191" fontId="35" fillId="0" borderId="0" xfId="81" applyNumberFormat="1" applyFont="1" applyAlignment="1" applyProtection="1">
      <alignment horizontal="left"/>
      <protection locked="0"/>
    </xf>
    <xf numFmtId="39" fontId="35" fillId="0" borderId="0" xfId="81" applyNumberFormat="1" applyFont="1" applyProtection="1">
      <protection locked="0"/>
    </xf>
    <xf numFmtId="0" fontId="35" fillId="0" borderId="0" xfId="81" applyFont="1" applyProtection="1">
      <protection locked="0"/>
    </xf>
    <xf numFmtId="176" fontId="43" fillId="0" borderId="0" xfId="81" applyNumberFormat="1" applyFont="1" applyProtection="1">
      <protection locked="0"/>
    </xf>
    <xf numFmtId="0" fontId="5" fillId="59" borderId="0" xfId="0" applyFont="1" applyFill="1" applyAlignment="1">
      <alignment horizontal="left"/>
    </xf>
    <xf numFmtId="0" fontId="243" fillId="0" borderId="0" xfId="69" applyFont="1"/>
    <xf numFmtId="0" fontId="66" fillId="0" borderId="0" xfId="81" applyFont="1" applyAlignment="1">
      <alignment horizontal="left"/>
    </xf>
    <xf numFmtId="0" fontId="210" fillId="0" borderId="0" xfId="0" applyFont="1" applyAlignment="1">
      <alignment horizontal="center" vertical="center" wrapText="1"/>
    </xf>
    <xf numFmtId="14" fontId="210" fillId="0" borderId="0" xfId="0" applyNumberFormat="1" applyFont="1" applyAlignment="1">
      <alignment horizontal="center" vertical="center"/>
    </xf>
    <xf numFmtId="39" fontId="243" fillId="58" borderId="0" xfId="0" applyNumberFormat="1" applyFont="1" applyFill="1" applyProtection="1">
      <protection locked="0"/>
    </xf>
    <xf numFmtId="43" fontId="0" fillId="52" borderId="0" xfId="29" applyFont="1" applyFill="1"/>
    <xf numFmtId="0" fontId="3" fillId="0" borderId="29" xfId="136" applyFont="1" applyBorder="1"/>
    <xf numFmtId="0" fontId="0" fillId="0" borderId="0" xfId="57" applyFont="1" applyAlignment="1" applyProtection="1"/>
    <xf numFmtId="43" fontId="3" fillId="0" borderId="0" xfId="29" applyAlignment="1">
      <alignment horizontal="center"/>
    </xf>
    <xf numFmtId="43" fontId="3" fillId="0" borderId="1" xfId="29" applyBorder="1" applyAlignment="1">
      <alignment horizontal="center"/>
    </xf>
    <xf numFmtId="43" fontId="0" fillId="0" borderId="4" xfId="0" applyNumberFormat="1" applyBorder="1"/>
    <xf numFmtId="44" fontId="0" fillId="0" borderId="3" xfId="40" applyFont="1" applyBorder="1"/>
    <xf numFmtId="0" fontId="6" fillId="0" borderId="0" xfId="57" applyFont="1" applyAlignment="1" applyProtection="1">
      <alignment vertical="center"/>
    </xf>
    <xf numFmtId="0" fontId="142" fillId="0" borderId="0" xfId="0" applyFont="1" applyAlignment="1">
      <alignment horizontal="left" vertical="center" indent="4"/>
    </xf>
    <xf numFmtId="0" fontId="5" fillId="0" borderId="8" xfId="115" applyFont="1" applyBorder="1"/>
    <xf numFmtId="0" fontId="5" fillId="0" borderId="8" xfId="115" applyFont="1" applyBorder="1" applyAlignment="1">
      <alignment horizontal="center"/>
    </xf>
    <xf numFmtId="0" fontId="3" fillId="0" borderId="8" xfId="115" applyFont="1" applyBorder="1" applyAlignment="1" applyProtection="1">
      <alignment horizontal="center"/>
      <protection locked="0"/>
    </xf>
    <xf numFmtId="0" fontId="9" fillId="0" borderId="8" xfId="115" applyBorder="1"/>
    <xf numFmtId="0" fontId="3" fillId="0" borderId="1" xfId="85" applyNumberFormat="1" applyFont="1" applyBorder="1" applyAlignment="1" applyProtection="1">
      <alignment horizontal="center"/>
    </xf>
    <xf numFmtId="0" fontId="100" fillId="4" borderId="44" xfId="0" applyFont="1" applyFill="1" applyBorder="1"/>
    <xf numFmtId="0" fontId="253" fillId="0" borderId="0" xfId="0" applyFont="1" applyProtection="1">
      <protection hidden="1"/>
    </xf>
    <xf numFmtId="0" fontId="257" fillId="0" borderId="0" xfId="88" applyFont="1" applyAlignment="1">
      <alignment horizontal="right"/>
    </xf>
    <xf numFmtId="0" fontId="257" fillId="0" borderId="0" xfId="88" applyFont="1" applyAlignment="1">
      <alignment horizontal="center"/>
    </xf>
    <xf numFmtId="168" fontId="258" fillId="0" borderId="0" xfId="82" applyFont="1" applyAlignment="1" applyProtection="1">
      <alignment horizontal="center"/>
    </xf>
    <xf numFmtId="168" fontId="258" fillId="0" borderId="0" xfId="82" applyFont="1" applyAlignment="1" applyProtection="1">
      <alignment horizontal="center" wrapText="1"/>
    </xf>
    <xf numFmtId="172" fontId="258" fillId="0" borderId="0" xfId="82" applyNumberFormat="1" applyFont="1" applyAlignment="1" applyProtection="1">
      <alignment horizontal="center"/>
    </xf>
    <xf numFmtId="168" fontId="257" fillId="0" borderId="0" xfId="82" applyFont="1" applyProtection="1"/>
    <xf numFmtId="0" fontId="34" fillId="0" borderId="0" xfId="82" applyNumberFormat="1" applyFont="1" applyAlignment="1" applyProtection="1">
      <alignment horizontal="center"/>
    </xf>
    <xf numFmtId="168" fontId="259" fillId="0" borderId="0" xfId="82" applyFont="1" applyProtection="1"/>
    <xf numFmtId="168" fontId="3" fillId="0" borderId="0" xfId="82" applyFont="1" applyProtection="1"/>
    <xf numFmtId="0" fontId="257" fillId="0" borderId="0" xfId="82" applyNumberFormat="1" applyFont="1" applyProtection="1"/>
    <xf numFmtId="168" fontId="260" fillId="0" borderId="0" xfId="82" applyFont="1" applyProtection="1"/>
    <xf numFmtId="168" fontId="3" fillId="0" borderId="0" xfId="85" applyFont="1" applyProtection="1"/>
    <xf numFmtId="168" fontId="3" fillId="8" borderId="0" xfId="85" applyFont="1" applyFill="1" applyProtection="1"/>
    <xf numFmtId="168" fontId="257" fillId="58" borderId="0" xfId="85" applyFont="1" applyFill="1" applyProtection="1"/>
    <xf numFmtId="168" fontId="257" fillId="0" borderId="0" xfId="85" applyFont="1" applyProtection="1"/>
    <xf numFmtId="168" fontId="261" fillId="0" borderId="0" xfId="85" applyFont="1" applyProtection="1"/>
    <xf numFmtId="168" fontId="257" fillId="0" borderId="0" xfId="82" applyFont="1" applyAlignment="1" applyProtection="1">
      <alignment horizontal="center"/>
    </xf>
    <xf numFmtId="168" fontId="257" fillId="0" borderId="0" xfId="82" applyFont="1" applyAlignment="1" applyProtection="1">
      <alignment horizontal="center" shrinkToFit="1"/>
    </xf>
    <xf numFmtId="168" fontId="258" fillId="0" borderId="0" xfId="85" applyFont="1" applyAlignment="1" applyProtection="1">
      <alignment horizontal="center"/>
    </xf>
    <xf numFmtId="0" fontId="257" fillId="58" borderId="0" xfId="85" applyNumberFormat="1" applyFont="1" applyFill="1" applyProtection="1"/>
    <xf numFmtId="168" fontId="262" fillId="0" borderId="0" xfId="85" applyFont="1" applyProtection="1"/>
    <xf numFmtId="0" fontId="263" fillId="0" borderId="0" xfId="86" applyFont="1"/>
    <xf numFmtId="0" fontId="264" fillId="0" borderId="0" xfId="0" applyFont="1"/>
    <xf numFmtId="0" fontId="265" fillId="0" borderId="0" xfId="95" applyFont="1"/>
    <xf numFmtId="0" fontId="265" fillId="0" borderId="0" xfId="0" applyFont="1"/>
    <xf numFmtId="179" fontId="265" fillId="0" borderId="0" xfId="0" applyNumberFormat="1" applyFont="1"/>
    <xf numFmtId="0" fontId="257" fillId="0" borderId="0" xfId="0" applyFont="1"/>
    <xf numFmtId="0" fontId="257" fillId="6" borderId="0" xfId="0" applyFont="1" applyFill="1"/>
    <xf numFmtId="0" fontId="257" fillId="0" borderId="0" xfId="86" applyFont="1"/>
    <xf numFmtId="0" fontId="261" fillId="0" borderId="0" xfId="86" applyFont="1"/>
    <xf numFmtId="0" fontId="266" fillId="0" borderId="0" xfId="86" applyFont="1"/>
    <xf numFmtId="172" fontId="5" fillId="0" borderId="0" xfId="84" applyNumberFormat="1" applyFont="1" applyAlignment="1">
      <alignment horizontal="center"/>
    </xf>
    <xf numFmtId="0" fontId="257" fillId="0" borderId="0" xfId="84" applyFont="1" applyAlignment="1">
      <alignment horizontal="center"/>
    </xf>
    <xf numFmtId="0" fontId="267" fillId="0" borderId="0" xfId="84" applyFont="1" applyAlignment="1">
      <alignment horizontal="center"/>
    </xf>
    <xf numFmtId="172" fontId="267" fillId="0" borderId="0" xfId="84" applyNumberFormat="1" applyFont="1" applyAlignment="1">
      <alignment horizontal="center"/>
    </xf>
    <xf numFmtId="0" fontId="257" fillId="0" borderId="0" xfId="84" applyFont="1"/>
    <xf numFmtId="0" fontId="257" fillId="0" borderId="0" xfId="88" applyFont="1"/>
    <xf numFmtId="176" fontId="3" fillId="0" borderId="0" xfId="88" applyNumberFormat="1" applyFont="1"/>
    <xf numFmtId="0" fontId="263" fillId="0" borderId="0" xfId="88" applyFont="1"/>
    <xf numFmtId="0" fontId="265" fillId="0" borderId="0" xfId="88" applyFont="1"/>
    <xf numFmtId="0" fontId="265" fillId="0" borderId="0" xfId="88" applyFont="1" applyAlignment="1">
      <alignment horizontal="center"/>
    </xf>
    <xf numFmtId="0" fontId="261" fillId="0" borderId="0" xfId="88" applyFont="1"/>
    <xf numFmtId="0" fontId="268" fillId="0" borderId="0" xfId="88" applyFont="1"/>
    <xf numFmtId="0" fontId="260" fillId="0" borderId="0" xfId="88" applyFont="1"/>
    <xf numFmtId="0" fontId="7" fillId="0" borderId="0" xfId="88" applyFont="1"/>
    <xf numFmtId="0" fontId="269" fillId="0" borderId="0" xfId="88" applyFont="1"/>
    <xf numFmtId="0" fontId="259" fillId="0" borderId="0" xfId="94" applyFont="1"/>
    <xf numFmtId="0" fontId="257" fillId="0" borderId="0" xfId="94" applyFont="1"/>
    <xf numFmtId="0" fontId="266" fillId="0" borderId="0" xfId="94" applyFont="1"/>
    <xf numFmtId="0" fontId="261" fillId="0" borderId="0" xfId="89" applyFont="1"/>
    <xf numFmtId="0" fontId="257" fillId="0" borderId="0" xfId="89" applyFont="1"/>
    <xf numFmtId="0" fontId="257" fillId="0" borderId="0" xfId="89" applyFont="1" applyAlignment="1">
      <alignment horizontal="center"/>
    </xf>
    <xf numFmtId="0" fontId="260" fillId="0" borderId="0" xfId="89" applyFont="1"/>
    <xf numFmtId="0" fontId="257" fillId="0" borderId="0" xfId="102" applyFont="1"/>
    <xf numFmtId="0" fontId="270" fillId="0" borderId="0" xfId="89" applyFont="1"/>
    <xf numFmtId="0" fontId="270" fillId="0" borderId="0" xfId="88" applyFont="1"/>
    <xf numFmtId="0" fontId="271" fillId="0" borderId="0" xfId="69" applyFont="1"/>
    <xf numFmtId="0" fontId="272" fillId="0" borderId="0" xfId="69" applyFont="1"/>
    <xf numFmtId="0" fontId="273" fillId="0" borderId="0" xfId="101" applyFont="1" applyAlignment="1">
      <alignment horizontal="center"/>
    </xf>
    <xf numFmtId="0" fontId="273" fillId="0" borderId="0" xfId="101" applyFont="1" applyAlignment="1">
      <alignment horizontal="left"/>
    </xf>
    <xf numFmtId="0" fontId="12" fillId="0" borderId="0" xfId="98" applyFont="1" applyAlignment="1">
      <alignment horizontal="center"/>
    </xf>
    <xf numFmtId="0" fontId="28" fillId="0" borderId="0" xfId="98" applyFont="1"/>
    <xf numFmtId="0" fontId="266" fillId="0" borderId="0" xfId="98" applyFont="1"/>
    <xf numFmtId="0" fontId="274" fillId="0" borderId="0" xfId="0" applyFont="1"/>
    <xf numFmtId="0" fontId="275" fillId="0" borderId="0" xfId="0" applyFont="1"/>
    <xf numFmtId="0" fontId="266" fillId="0" borderId="0" xfId="101" applyFont="1"/>
    <xf numFmtId="0" fontId="71" fillId="0" borderId="0" xfId="57" applyFont="1" applyAlignment="1" applyProtection="1">
      <alignment horizontal="center" vertical="center"/>
    </xf>
    <xf numFmtId="0" fontId="138" fillId="64" borderId="15" xfId="0" applyFont="1" applyFill="1" applyBorder="1"/>
    <xf numFmtId="0" fontId="276" fillId="0" borderId="0" xfId="114" applyFont="1" applyAlignment="1">
      <alignment horizontal="center"/>
    </xf>
    <xf numFmtId="0" fontId="265" fillId="0" borderId="0" xfId="0" applyFont="1" applyAlignment="1">
      <alignment horizontal="center"/>
    </xf>
    <xf numFmtId="0" fontId="265" fillId="0" borderId="0" xfId="114" applyFont="1" applyAlignment="1">
      <alignment horizontal="center"/>
    </xf>
    <xf numFmtId="0" fontId="265" fillId="0" borderId="0" xfId="114" applyFont="1" applyAlignment="1">
      <alignment horizontal="center" shrinkToFit="1"/>
    </xf>
    <xf numFmtId="0" fontId="265" fillId="0" borderId="0" xfId="95" applyFont="1" applyAlignment="1">
      <alignment horizontal="center"/>
    </xf>
    <xf numFmtId="0" fontId="265" fillId="0" borderId="0" xfId="0" quotePrefix="1" applyFont="1" applyAlignment="1">
      <alignment horizontal="center"/>
    </xf>
    <xf numFmtId="0" fontId="19" fillId="0" borderId="0" xfId="114" applyFont="1" applyAlignment="1">
      <alignment horizontal="center" vertical="center"/>
    </xf>
    <xf numFmtId="0" fontId="0" fillId="0" borderId="0" xfId="0" applyAlignment="1">
      <alignment horizontal="center" vertical="center"/>
    </xf>
    <xf numFmtId="0" fontId="3" fillId="0" borderId="0" xfId="114" applyFont="1" applyAlignment="1">
      <alignment horizontal="center" vertical="center"/>
    </xf>
    <xf numFmtId="0" fontId="3" fillId="0" borderId="0" xfId="114" applyFont="1" applyAlignment="1">
      <alignment horizontal="center" vertical="center" shrinkToFit="1"/>
    </xf>
    <xf numFmtId="0" fontId="3" fillId="0" borderId="0" xfId="95" applyFont="1" applyAlignment="1">
      <alignment horizontal="center" vertical="center"/>
    </xf>
    <xf numFmtId="0" fontId="138" fillId="64" borderId="15" xfId="0" applyFont="1" applyFill="1" applyBorder="1" applyAlignment="1">
      <alignment horizontal="left"/>
    </xf>
    <xf numFmtId="0" fontId="265" fillId="0" borderId="0" xfId="0" quotePrefix="1" applyFont="1" applyAlignment="1">
      <alignment horizontal="center" vertical="center"/>
    </xf>
    <xf numFmtId="0" fontId="265" fillId="0" borderId="0" xfId="0" applyFont="1" applyAlignment="1">
      <alignment horizontal="center" vertical="center"/>
    </xf>
    <xf numFmtId="0" fontId="229" fillId="0" borderId="0" xfId="0" applyFont="1" applyAlignment="1">
      <alignment horizontal="center"/>
    </xf>
    <xf numFmtId="0" fontId="265" fillId="63" borderId="0" xfId="0" applyFont="1" applyFill="1" applyAlignment="1">
      <alignment horizontal="center" vertical="center"/>
    </xf>
    <xf numFmtId="0" fontId="229" fillId="0" borderId="0" xfId="0" applyFont="1" applyAlignment="1">
      <alignment horizontal="center" vertical="center"/>
    </xf>
    <xf numFmtId="0" fontId="265" fillId="63" borderId="0" xfId="0" applyFont="1" applyFill="1"/>
    <xf numFmtId="0" fontId="265" fillId="0" borderId="0" xfId="0" applyFont="1" applyAlignment="1">
      <alignment horizontal="right"/>
    </xf>
    <xf numFmtId="0" fontId="265" fillId="0" borderId="0" xfId="0" quotePrefix="1" applyFont="1"/>
    <xf numFmtId="0" fontId="276" fillId="0" borderId="0" xfId="114" applyFont="1"/>
    <xf numFmtId="0" fontId="265" fillId="0" borderId="0" xfId="114" applyFont="1"/>
    <xf numFmtId="0" fontId="265" fillId="0" borderId="0" xfId="114" applyFont="1" applyAlignment="1">
      <alignment shrinkToFit="1"/>
    </xf>
    <xf numFmtId="0" fontId="277" fillId="8" borderId="0" xfId="95" applyFont="1" applyFill="1" applyAlignment="1">
      <alignment horizontal="center"/>
    </xf>
    <xf numFmtId="0" fontId="257" fillId="0" borderId="0" xfId="88" applyFont="1" applyAlignment="1" applyProtection="1">
      <alignment horizontal="center"/>
      <protection locked="0"/>
    </xf>
    <xf numFmtId="0" fontId="3" fillId="0" borderId="0" xfId="0" applyFont="1" applyProtection="1">
      <protection hidden="1"/>
    </xf>
    <xf numFmtId="0" fontId="278" fillId="0" borderId="0" xfId="110" applyFont="1"/>
    <xf numFmtId="0" fontId="4" fillId="0" borderId="0" xfId="91" applyFont="1"/>
    <xf numFmtId="0" fontId="3" fillId="0" borderId="0" xfId="91" applyFont="1" applyAlignment="1">
      <alignment horizontal="center" shrinkToFit="1"/>
    </xf>
    <xf numFmtId="49" fontId="11" fillId="0" borderId="0" xfId="0" applyNumberFormat="1" applyFont="1" applyProtection="1">
      <protection hidden="1"/>
    </xf>
    <xf numFmtId="0" fontId="11" fillId="0" borderId="0" xfId="0" quotePrefix="1" applyFont="1" applyProtection="1">
      <protection hidden="1"/>
    </xf>
    <xf numFmtId="0" fontId="257" fillId="0" borderId="0" xfId="85" applyNumberFormat="1" applyFont="1" applyProtection="1"/>
    <xf numFmtId="0" fontId="268" fillId="0" borderId="0" xfId="88" applyFont="1" applyProtection="1">
      <protection locked="0"/>
    </xf>
    <xf numFmtId="170" fontId="3" fillId="0" borderId="14" xfId="69" applyNumberFormat="1" applyFont="1" applyBorder="1"/>
    <xf numFmtId="0" fontId="3" fillId="0" borderId="1" xfId="94" applyFont="1" applyBorder="1" applyAlignment="1" applyProtection="1">
      <alignment horizontal="center"/>
      <protection locked="0"/>
    </xf>
    <xf numFmtId="176" fontId="104" fillId="0" borderId="2" xfId="116" applyNumberFormat="1" applyBorder="1"/>
    <xf numFmtId="0" fontId="54" fillId="0" borderId="0" xfId="116" applyFont="1" applyAlignment="1">
      <alignment horizontal="left"/>
    </xf>
    <xf numFmtId="0" fontId="107" fillId="0" borderId="0" xfId="116" applyFont="1" applyAlignment="1">
      <alignment horizontal="center"/>
    </xf>
    <xf numFmtId="0" fontId="104" fillId="0" borderId="0" xfId="116" applyAlignment="1">
      <alignment horizontal="centerContinuous"/>
    </xf>
    <xf numFmtId="0" fontId="5" fillId="0" borderId="0" xfId="109" applyFont="1" applyAlignment="1">
      <alignment horizontal="center"/>
    </xf>
    <xf numFmtId="0" fontId="5" fillId="0" borderId="2" xfId="109" applyFont="1" applyBorder="1" applyAlignment="1">
      <alignment horizontal="center"/>
    </xf>
    <xf numFmtId="0" fontId="16" fillId="0" borderId="2" xfId="109" applyFont="1" applyBorder="1"/>
    <xf numFmtId="0" fontId="16" fillId="0" borderId="0" xfId="109" applyFont="1"/>
    <xf numFmtId="0" fontId="63" fillId="0" borderId="0" xfId="0" applyFont="1" applyAlignment="1">
      <alignment horizontal="center"/>
    </xf>
    <xf numFmtId="0" fontId="265" fillId="54" borderId="0" xfId="0" applyFont="1" applyFill="1"/>
    <xf numFmtId="0" fontId="3" fillId="0" borderId="15" xfId="0" applyFont="1" applyBorder="1"/>
    <xf numFmtId="0" fontId="3" fillId="0" borderId="0" xfId="0" applyFont="1" applyAlignment="1" applyProtection="1">
      <alignment horizontal="center" wrapText="1"/>
      <protection locked="0"/>
    </xf>
    <xf numFmtId="0" fontId="104" fillId="0" borderId="0" xfId="116" applyAlignment="1" applyProtection="1">
      <alignment horizontal="center"/>
      <protection locked="0"/>
    </xf>
    <xf numFmtId="0" fontId="0" fillId="0" borderId="45" xfId="0" applyBorder="1"/>
    <xf numFmtId="0" fontId="0" fillId="0" borderId="29" xfId="0" applyBorder="1"/>
    <xf numFmtId="0" fontId="0" fillId="0" borderId="31" xfId="0" applyBorder="1"/>
    <xf numFmtId="0" fontId="0" fillId="0" borderId="27" xfId="0" applyBorder="1"/>
    <xf numFmtId="0" fontId="66" fillId="0" borderId="0" xfId="0" applyFont="1"/>
    <xf numFmtId="0" fontId="279" fillId="0" borderId="0" xfId="0" applyFont="1"/>
    <xf numFmtId="0" fontId="0" fillId="0" borderId="28" xfId="0" applyBorder="1"/>
    <xf numFmtId="0" fontId="0" fillId="0" borderId="30" xfId="0" applyBorder="1"/>
    <xf numFmtId="0" fontId="5" fillId="0" borderId="32" xfId="0" applyFont="1" applyBorder="1" applyAlignment="1">
      <alignment horizontal="center"/>
    </xf>
    <xf numFmtId="0" fontId="0" fillId="0" borderId="32" xfId="0" applyBorder="1"/>
    <xf numFmtId="0" fontId="5" fillId="0" borderId="30" xfId="0" applyFont="1" applyBorder="1"/>
    <xf numFmtId="0" fontId="4" fillId="0" borderId="0" xfId="0" applyFont="1"/>
    <xf numFmtId="0" fontId="248" fillId="0" borderId="30" xfId="0" applyFont="1" applyBorder="1"/>
    <xf numFmtId="180" fontId="97" fillId="0" borderId="30" xfId="0" applyNumberFormat="1" applyFont="1" applyBorder="1" applyAlignment="1">
      <alignment horizontal="left"/>
    </xf>
    <xf numFmtId="168" fontId="229" fillId="0" borderId="0" xfId="82" applyFont="1" applyProtection="1"/>
    <xf numFmtId="168" fontId="240" fillId="0" borderId="0" xfId="85" applyFont="1" applyProtection="1"/>
    <xf numFmtId="168" fontId="240" fillId="0" borderId="0" xfId="82" applyFont="1" applyProtection="1"/>
    <xf numFmtId="0" fontId="36" fillId="0" borderId="0" xfId="0" applyFont="1"/>
    <xf numFmtId="0" fontId="28" fillId="0" borderId="0" xfId="0" applyFont="1" applyAlignment="1">
      <alignment horizontal="center"/>
    </xf>
    <xf numFmtId="0" fontId="283" fillId="0" borderId="0" xfId="0" applyFont="1"/>
    <xf numFmtId="0" fontId="28" fillId="0" borderId="0" xfId="86" applyFont="1"/>
    <xf numFmtId="0" fontId="284" fillId="0" borderId="0" xfId="86" applyFont="1"/>
    <xf numFmtId="0" fontId="63" fillId="0" borderId="0" xfId="86" applyFont="1"/>
    <xf numFmtId="0" fontId="30" fillId="0" borderId="0" xfId="86" applyFont="1"/>
    <xf numFmtId="0" fontId="265" fillId="54" borderId="0" xfId="0" applyFont="1" applyFill="1" applyAlignment="1">
      <alignment horizontal="center" vertical="center"/>
    </xf>
    <xf numFmtId="0" fontId="35" fillId="58" borderId="0" xfId="81" applyFont="1" applyFill="1"/>
    <xf numFmtId="0" fontId="43" fillId="58" borderId="0" xfId="81" applyFont="1" applyFill="1" applyAlignment="1">
      <alignment horizontal="left"/>
    </xf>
    <xf numFmtId="0" fontId="66" fillId="58" borderId="0" xfId="81" applyFont="1" applyFill="1" applyAlignment="1">
      <alignment horizontal="left"/>
    </xf>
    <xf numFmtId="0" fontId="35" fillId="58" borderId="0" xfId="81" applyFont="1" applyFill="1" applyAlignment="1">
      <alignment horizontal="center"/>
    </xf>
    <xf numFmtId="0" fontId="35" fillId="58" borderId="0" xfId="81" applyFont="1" applyFill="1" applyAlignment="1">
      <alignment horizontal="left"/>
    </xf>
    <xf numFmtId="164" fontId="3" fillId="58" borderId="4" xfId="69" applyNumberFormat="1" applyFont="1" applyFill="1" applyBorder="1" applyAlignment="1" applyProtection="1">
      <alignment horizontal="center" shrinkToFit="1"/>
      <protection locked="0"/>
    </xf>
    <xf numFmtId="0" fontId="35" fillId="58" borderId="0" xfId="81" applyFont="1" applyFill="1" applyAlignment="1" applyProtection="1">
      <alignment horizontal="center"/>
      <protection locked="0"/>
    </xf>
    <xf numFmtId="0" fontId="35" fillId="58" borderId="2" xfId="81" applyFont="1" applyFill="1" applyBorder="1"/>
    <xf numFmtId="0" fontId="5" fillId="58" borderId="0" xfId="115" applyFont="1" applyFill="1" applyAlignment="1">
      <alignment horizontal="right"/>
    </xf>
    <xf numFmtId="0" fontId="3" fillId="58" borderId="0" xfId="101" applyFont="1" applyFill="1"/>
    <xf numFmtId="0" fontId="3" fillId="58" borderId="15" xfId="115" applyFont="1" applyFill="1" applyBorder="1" applyAlignment="1" applyProtection="1">
      <alignment horizontal="center"/>
      <protection locked="0"/>
    </xf>
    <xf numFmtId="0" fontId="5" fillId="58" borderId="10" xfId="0" applyFont="1" applyFill="1" applyBorder="1" applyAlignment="1">
      <alignment horizontal="left"/>
    </xf>
    <xf numFmtId="0" fontId="3" fillId="58" borderId="0" xfId="115" applyFont="1" applyFill="1"/>
    <xf numFmtId="0" fontId="3" fillId="58" borderId="0" xfId="115" applyFont="1" applyFill="1" applyAlignment="1" applyProtection="1">
      <alignment horizontal="center"/>
      <protection locked="0"/>
    </xf>
    <xf numFmtId="0" fontId="3" fillId="58" borderId="0" xfId="0" applyFont="1" applyFill="1" applyAlignment="1">
      <alignment horizontal="left" indent="1"/>
    </xf>
    <xf numFmtId="0" fontId="3" fillId="58" borderId="0" xfId="81" applyFont="1" applyFill="1"/>
    <xf numFmtId="0" fontId="5" fillId="58" borderId="0" xfId="69" applyFont="1" applyFill="1" applyAlignment="1">
      <alignment horizontal="center"/>
    </xf>
    <xf numFmtId="0" fontId="5" fillId="58" borderId="1" xfId="69" applyFont="1" applyFill="1" applyBorder="1" applyAlignment="1">
      <alignment horizontal="center"/>
    </xf>
    <xf numFmtId="0" fontId="243" fillId="58" borderId="0" xfId="69" applyFont="1" applyFill="1"/>
    <xf numFmtId="14" fontId="5" fillId="58" borderId="1" xfId="69" applyNumberFormat="1" applyFont="1" applyFill="1" applyBorder="1" applyAlignment="1">
      <alignment horizontal="center"/>
    </xf>
    <xf numFmtId="191" fontId="3" fillId="58" borderId="1" xfId="81" applyNumberFormat="1" applyFont="1" applyFill="1" applyBorder="1" applyAlignment="1" applyProtection="1">
      <alignment horizontal="center"/>
      <protection locked="0"/>
    </xf>
    <xf numFmtId="176" fontId="3" fillId="58" borderId="0" xfId="81" applyNumberFormat="1" applyFont="1" applyFill="1" applyAlignment="1" applyProtection="1">
      <alignment horizontal="center"/>
      <protection locked="0"/>
    </xf>
    <xf numFmtId="0" fontId="3" fillId="58" borderId="1" xfId="81" applyFont="1" applyFill="1" applyBorder="1" applyAlignment="1" applyProtection="1">
      <alignment horizontal="center"/>
      <protection locked="0"/>
    </xf>
    <xf numFmtId="176" fontId="5" fillId="58" borderId="0" xfId="81" applyNumberFormat="1" applyFont="1" applyFill="1" applyAlignment="1" applyProtection="1">
      <alignment horizontal="center"/>
      <protection locked="0"/>
    </xf>
    <xf numFmtId="1" fontId="3" fillId="58" borderId="1" xfId="81" applyNumberFormat="1" applyFont="1" applyFill="1" applyBorder="1" applyAlignment="1" applyProtection="1">
      <alignment horizontal="center"/>
      <protection locked="0"/>
    </xf>
    <xf numFmtId="0" fontId="3" fillId="58" borderId="0" xfId="81" applyFont="1" applyFill="1" applyAlignment="1" applyProtection="1">
      <alignment horizontal="center"/>
      <protection locked="0"/>
    </xf>
    <xf numFmtId="0" fontId="3" fillId="58" borderId="0" xfId="81" applyFont="1" applyFill="1" applyAlignment="1" applyProtection="1">
      <alignment horizontal="left"/>
      <protection locked="0"/>
    </xf>
    <xf numFmtId="176" fontId="3" fillId="58" borderId="1" xfId="84" applyNumberFormat="1" applyFont="1" applyFill="1" applyBorder="1" applyProtection="1">
      <protection locked="0"/>
    </xf>
    <xf numFmtId="176" fontId="3" fillId="58" borderId="0" xfId="84" applyNumberFormat="1" applyFont="1" applyFill="1" applyProtection="1">
      <protection locked="0"/>
    </xf>
    <xf numFmtId="0" fontId="6" fillId="58" borderId="0" xfId="69" applyFont="1" applyFill="1"/>
    <xf numFmtId="0" fontId="3" fillId="58" borderId="0" xfId="69" applyFont="1" applyFill="1"/>
    <xf numFmtId="176" fontId="3" fillId="58" borderId="0" xfId="84" applyNumberFormat="1" applyFont="1" applyFill="1"/>
    <xf numFmtId="0" fontId="5" fillId="58" borderId="0" xfId="88" applyFont="1" applyFill="1" applyAlignment="1">
      <alignment horizontal="center"/>
    </xf>
    <xf numFmtId="191" fontId="3" fillId="58" borderId="0" xfId="81" applyNumberFormat="1" applyFont="1" applyFill="1" applyAlignment="1" applyProtection="1">
      <alignment horizontal="center"/>
      <protection locked="0"/>
    </xf>
    <xf numFmtId="1" fontId="3" fillId="58" borderId="0" xfId="81" applyNumberFormat="1" applyFont="1" applyFill="1" applyAlignment="1" applyProtection="1">
      <alignment horizontal="center"/>
      <protection locked="0"/>
    </xf>
    <xf numFmtId="191" fontId="35" fillId="58" borderId="0" xfId="81" applyNumberFormat="1" applyFont="1" applyFill="1" applyAlignment="1" applyProtection="1">
      <alignment horizontal="left"/>
      <protection locked="0"/>
    </xf>
    <xf numFmtId="176" fontId="35" fillId="58" borderId="0" xfId="81" applyNumberFormat="1" applyFont="1" applyFill="1" applyProtection="1">
      <protection locked="0"/>
    </xf>
    <xf numFmtId="39" fontId="35" fillId="58" borderId="0" xfId="81" applyNumberFormat="1" applyFont="1" applyFill="1" applyProtection="1">
      <protection locked="0"/>
    </xf>
    <xf numFmtId="0" fontId="35" fillId="58" borderId="0" xfId="81" applyFont="1" applyFill="1" applyProtection="1">
      <protection locked="0"/>
    </xf>
    <xf numFmtId="176" fontId="43" fillId="58" borderId="0" xfId="81" applyNumberFormat="1" applyFont="1" applyFill="1" applyProtection="1">
      <protection locked="0"/>
    </xf>
    <xf numFmtId="0" fontId="42" fillId="58" borderId="0" xfId="81" applyFont="1" applyFill="1"/>
    <xf numFmtId="0" fontId="41" fillId="58" borderId="0" xfId="81" applyFont="1" applyFill="1"/>
    <xf numFmtId="0" fontId="211" fillId="58" borderId="0" xfId="69" applyFill="1"/>
    <xf numFmtId="0" fontId="243" fillId="0" borderId="0" xfId="0" applyFont="1" applyAlignment="1" applyProtection="1">
      <alignment horizontal="center"/>
      <protection locked="0"/>
    </xf>
    <xf numFmtId="0" fontId="5" fillId="0" borderId="0" xfId="115" applyFont="1" applyAlignment="1" applyProtection="1">
      <alignment horizontal="left"/>
      <protection locked="0"/>
    </xf>
    <xf numFmtId="0" fontId="5" fillId="0" borderId="0" xfId="115" applyFont="1" applyProtection="1">
      <protection locked="0"/>
    </xf>
    <xf numFmtId="4" fontId="5" fillId="0" borderId="0" xfId="115" applyNumberFormat="1" applyFont="1" applyAlignment="1" applyProtection="1">
      <alignment horizontal="center"/>
      <protection locked="0"/>
    </xf>
    <xf numFmtId="0" fontId="285" fillId="0" borderId="0" xfId="0" applyFont="1"/>
    <xf numFmtId="0" fontId="257" fillId="0" borderId="0" xfId="57" applyFont="1" applyAlignment="1" applyProtection="1"/>
    <xf numFmtId="6" fontId="13" fillId="0" borderId="0" xfId="115" applyNumberFormat="1" applyFont="1" applyProtection="1">
      <protection locked="0"/>
    </xf>
    <xf numFmtId="0" fontId="13" fillId="0" borderId="0" xfId="99" applyFont="1"/>
    <xf numFmtId="0" fontId="13" fillId="0" borderId="0" xfId="115" applyFont="1" applyProtection="1">
      <protection locked="0"/>
    </xf>
    <xf numFmtId="0" fontId="257" fillId="0" borderId="0" xfId="0" applyFont="1" applyAlignment="1">
      <alignment horizontal="right"/>
    </xf>
    <xf numFmtId="0" fontId="257" fillId="0" borderId="0" xfId="0" applyFont="1" applyAlignment="1">
      <alignment horizontal="left"/>
    </xf>
    <xf numFmtId="0" fontId="286" fillId="0" borderId="0" xfId="0" applyFont="1"/>
    <xf numFmtId="0" fontId="114" fillId="0" borderId="0" xfId="0" applyFont="1" applyProtection="1">
      <protection hidden="1"/>
    </xf>
    <xf numFmtId="0" fontId="265" fillId="54" borderId="0" xfId="0" applyFont="1" applyFill="1" applyAlignment="1">
      <alignment horizontal="center"/>
    </xf>
    <xf numFmtId="49" fontId="254" fillId="54" borderId="0" xfId="0" applyNumberFormat="1" applyFont="1" applyFill="1"/>
    <xf numFmtId="43" fontId="5" fillId="61" borderId="0" xfId="0" applyNumberFormat="1" applyFont="1" applyFill="1"/>
    <xf numFmtId="180" fontId="5" fillId="8" borderId="0" xfId="0" applyNumberFormat="1" applyFont="1" applyFill="1"/>
    <xf numFmtId="180" fontId="5" fillId="0" borderId="0" xfId="0" applyNumberFormat="1" applyFont="1"/>
    <xf numFmtId="0" fontId="30" fillId="0" borderId="0" xfId="115" applyFont="1"/>
    <xf numFmtId="49" fontId="3" fillId="0" borderId="0" xfId="0" quotePrefix="1" applyNumberFormat="1" applyFont="1" applyAlignment="1">
      <alignment horizontal="left"/>
    </xf>
    <xf numFmtId="49" fontId="3" fillId="0" borderId="0" xfId="0" applyNumberFormat="1" applyFont="1" applyAlignment="1">
      <alignment horizontal="left"/>
    </xf>
    <xf numFmtId="49" fontId="3" fillId="0" borderId="0" xfId="0" quotePrefix="1" applyNumberFormat="1" applyFont="1"/>
    <xf numFmtId="0" fontId="55" fillId="58" borderId="0" xfId="115" applyFont="1" applyFill="1" applyAlignment="1">
      <alignment horizontal="center" vertical="center"/>
    </xf>
    <xf numFmtId="0" fontId="3" fillId="0" borderId="1" xfId="107" applyFont="1" applyBorder="1" applyAlignment="1" applyProtection="1">
      <alignment horizontal="center"/>
      <protection locked="0"/>
    </xf>
    <xf numFmtId="0" fontId="9" fillId="0" borderId="1" xfId="116" applyFont="1" applyBorder="1" applyProtection="1">
      <protection locked="0"/>
    </xf>
    <xf numFmtId="190" fontId="9" fillId="0" borderId="1" xfId="116" applyNumberFormat="1" applyFont="1" applyBorder="1" applyProtection="1">
      <protection locked="0"/>
    </xf>
    <xf numFmtId="195" fontId="3" fillId="0" borderId="1" xfId="108" applyNumberFormat="1" applyFont="1" applyBorder="1" applyProtection="1">
      <protection locked="0"/>
    </xf>
    <xf numFmtId="175" fontId="3" fillId="0" borderId="1" xfId="108" applyNumberFormat="1" applyFont="1" applyBorder="1" applyProtection="1">
      <protection locked="0"/>
    </xf>
    <xf numFmtId="0" fontId="229" fillId="0" borderId="0" xfId="0" applyFont="1" applyAlignment="1">
      <alignment wrapText="1"/>
    </xf>
    <xf numFmtId="0" fontId="3" fillId="5" borderId="7" xfId="0" applyFont="1" applyFill="1" applyBorder="1"/>
    <xf numFmtId="0" fontId="3" fillId="5" borderId="15" xfId="0" applyFont="1" applyFill="1" applyBorder="1"/>
    <xf numFmtId="43" fontId="3" fillId="0" borderId="0" xfId="29" applyBorder="1" applyAlignment="1" applyProtection="1">
      <alignment horizontal="center"/>
      <protection locked="0"/>
    </xf>
    <xf numFmtId="44" fontId="3" fillId="0" borderId="14" xfId="40" applyBorder="1" applyAlignment="1" applyProtection="1">
      <alignment horizontal="center"/>
    </xf>
    <xf numFmtId="43" fontId="3" fillId="0" borderId="4" xfId="29" applyBorder="1" applyAlignment="1" applyProtection="1">
      <alignment horizontal="center"/>
    </xf>
    <xf numFmtId="43" fontId="0" fillId="0" borderId="0" xfId="0" applyNumberFormat="1" applyProtection="1">
      <protection locked="0"/>
    </xf>
    <xf numFmtId="43" fontId="0" fillId="0" borderId="1" xfId="0" applyNumberFormat="1" applyBorder="1" applyProtection="1">
      <protection locked="0"/>
    </xf>
    <xf numFmtId="0" fontId="27" fillId="0" borderId="0" xfId="86" applyFont="1" applyAlignment="1">
      <alignment horizontal="right"/>
    </xf>
    <xf numFmtId="0" fontId="27" fillId="0" borderId="0" xfId="86" applyFont="1" applyAlignment="1">
      <alignment horizontal="left"/>
    </xf>
    <xf numFmtId="0" fontId="243" fillId="0" borderId="1" xfId="0" applyFont="1" applyBorder="1" applyAlignment="1" applyProtection="1">
      <alignment horizontal="left"/>
      <protection locked="0"/>
    </xf>
    <xf numFmtId="0" fontId="27" fillId="0" borderId="1" xfId="86" applyFont="1" applyBorder="1" applyProtection="1">
      <protection locked="0"/>
    </xf>
    <xf numFmtId="3" fontId="210" fillId="0" borderId="0" xfId="0" applyNumberFormat="1" applyFont="1" applyAlignment="1">
      <alignment horizontal="center" vertical="center" wrapText="1"/>
    </xf>
    <xf numFmtId="0" fontId="11" fillId="0" borderId="0" xfId="57" applyFont="1" applyAlignment="1" applyProtection="1">
      <protection hidden="1"/>
    </xf>
    <xf numFmtId="0" fontId="289" fillId="0" borderId="0" xfId="57" applyFont="1" applyAlignment="1" applyProtection="1"/>
    <xf numFmtId="0" fontId="290" fillId="0" borderId="0" xfId="57" applyFont="1" applyAlignment="1" applyProtection="1"/>
    <xf numFmtId="0" fontId="291" fillId="0" borderId="0" xfId="0" applyFont="1"/>
    <xf numFmtId="0" fontId="291" fillId="0" borderId="0" xfId="57" applyFont="1" applyAlignment="1" applyProtection="1"/>
    <xf numFmtId="0" fontId="11" fillId="0" borderId="0" xfId="57" applyFont="1" applyFill="1" applyAlignment="1" applyProtection="1">
      <alignment horizontal="left"/>
      <protection hidden="1"/>
    </xf>
    <xf numFmtId="0" fontId="231" fillId="0" borderId="0" xfId="57" applyFont="1" applyAlignment="1" applyProtection="1"/>
    <xf numFmtId="0" fontId="11" fillId="0" borderId="0" xfId="57" applyFont="1" applyFill="1" applyAlignment="1" applyProtection="1">
      <protection hidden="1"/>
    </xf>
    <xf numFmtId="0" fontId="11" fillId="0" borderId="0" xfId="57" applyFont="1" applyAlignment="1" applyProtection="1">
      <alignment wrapText="1"/>
      <protection hidden="1"/>
    </xf>
    <xf numFmtId="0" fontId="210" fillId="0" borderId="0" xfId="0" applyFont="1" applyAlignment="1">
      <alignmen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138" fillId="0" borderId="0" xfId="0" applyFont="1"/>
    <xf numFmtId="0" fontId="138" fillId="0" borderId="0" xfId="0" applyFont="1" applyProtection="1">
      <protection locked="0"/>
    </xf>
    <xf numFmtId="0" fontId="138" fillId="0" borderId="0" xfId="0" applyFont="1" applyAlignment="1">
      <alignment horizontal="center"/>
    </xf>
    <xf numFmtId="0" fontId="138" fillId="0" borderId="0" xfId="0" applyFont="1" applyProtection="1">
      <protection hidden="1"/>
    </xf>
    <xf numFmtId="175" fontId="138" fillId="0" borderId="0" xfId="0" applyNumberFormat="1" applyFont="1"/>
    <xf numFmtId="0" fontId="138" fillId="0" borderId="0" xfId="119" applyFont="1" applyProtection="1">
      <protection locked="0"/>
    </xf>
    <xf numFmtId="0" fontId="138" fillId="8" borderId="15" xfId="119" applyFont="1" applyFill="1" applyBorder="1" applyAlignment="1">
      <alignment horizontal="center"/>
    </xf>
    <xf numFmtId="0" fontId="138" fillId="3" borderId="15" xfId="119" applyFont="1" applyFill="1" applyBorder="1" applyAlignment="1">
      <alignment horizontal="center" vertical="center" wrapText="1"/>
    </xf>
    <xf numFmtId="0" fontId="138" fillId="0" borderId="0" xfId="119" applyFont="1" applyAlignment="1" applyProtection="1">
      <alignment vertical="top" wrapText="1"/>
      <protection locked="0"/>
    </xf>
    <xf numFmtId="0" fontId="142" fillId="0" borderId="15" xfId="119" applyFont="1" applyBorder="1" applyAlignment="1">
      <alignment horizontal="center" vertical="center" wrapText="1"/>
    </xf>
    <xf numFmtId="0" fontId="138" fillId="8" borderId="23" xfId="119" applyFont="1" applyFill="1" applyBorder="1" applyAlignment="1">
      <alignment horizontal="center" vertical="center" wrapText="1"/>
    </xf>
    <xf numFmtId="182" fontId="138" fillId="0" borderId="0" xfId="0" applyNumberFormat="1" applyFont="1"/>
    <xf numFmtId="49" fontId="138" fillId="0" borderId="0" xfId="0" applyNumberFormat="1" applyFont="1"/>
    <xf numFmtId="49" fontId="138" fillId="0" borderId="0" xfId="0" applyNumberFormat="1" applyFont="1" applyProtection="1">
      <protection locked="0"/>
    </xf>
    <xf numFmtId="0" fontId="13" fillId="0" borderId="0" xfId="115" applyFont="1" applyAlignment="1">
      <alignment horizontal="right"/>
    </xf>
    <xf numFmtId="0" fontId="13" fillId="0" borderId="4" xfId="115" applyFont="1" applyBorder="1" applyAlignment="1" applyProtection="1">
      <alignment horizontal="center"/>
      <protection locked="0"/>
    </xf>
    <xf numFmtId="0" fontId="13" fillId="0" borderId="0" xfId="99" applyFont="1" applyAlignment="1" applyProtection="1">
      <alignment horizontal="center"/>
      <protection locked="0"/>
    </xf>
    <xf numFmtId="0" fontId="3" fillId="0" borderId="0" xfId="95" applyFont="1" applyAlignment="1">
      <alignment horizontal="left"/>
    </xf>
    <xf numFmtId="0" fontId="3" fillId="0" borderId="0" xfId="95" applyFont="1" applyAlignment="1">
      <alignment horizontal="centerContinuous"/>
    </xf>
    <xf numFmtId="0" fontId="3" fillId="0" borderId="0" xfId="95" applyFont="1" applyAlignment="1">
      <alignment horizontal="center"/>
    </xf>
    <xf numFmtId="0" fontId="3" fillId="0" borderId="0" xfId="95" applyFont="1" applyAlignment="1">
      <alignment horizontal="right"/>
    </xf>
    <xf numFmtId="0" fontId="3" fillId="0" borderId="1" xfId="95" applyFont="1" applyBorder="1" applyAlignment="1">
      <alignment horizontal="center" shrinkToFit="1"/>
    </xf>
    <xf numFmtId="0" fontId="3" fillId="0" borderId="1" xfId="95" applyFont="1" applyBorder="1" applyAlignment="1" applyProtection="1">
      <alignment horizontal="center" shrinkToFit="1"/>
      <protection locked="0"/>
    </xf>
    <xf numFmtId="164" fontId="3" fillId="0" borderId="1" xfId="95" applyNumberFormat="1" applyFont="1" applyBorder="1" applyAlignment="1" applyProtection="1">
      <alignment horizontal="center" shrinkToFit="1"/>
      <protection locked="0"/>
    </xf>
    <xf numFmtId="164" fontId="3" fillId="0" borderId="0" xfId="96" applyNumberFormat="1" applyAlignment="1">
      <alignment shrinkToFit="1"/>
    </xf>
    <xf numFmtId="0" fontId="3" fillId="0" borderId="2" xfId="95" applyFont="1" applyBorder="1"/>
    <xf numFmtId="179" fontId="16" fillId="0" borderId="1" xfId="0" applyNumberFormat="1" applyFont="1" applyBorder="1" applyProtection="1">
      <protection locked="0"/>
    </xf>
    <xf numFmtId="10" fontId="16" fillId="0" borderId="4" xfId="130" applyNumberFormat="1" applyFont="1" applyBorder="1" applyProtection="1">
      <protection locked="0"/>
    </xf>
    <xf numFmtId="3" fontId="16" fillId="0" borderId="0" xfId="0" applyNumberFormat="1" applyFont="1"/>
    <xf numFmtId="9" fontId="16" fillId="0" borderId="1" xfId="130" applyFont="1" applyBorder="1" applyProtection="1">
      <protection locked="0"/>
    </xf>
    <xf numFmtId="10" fontId="16" fillId="0" borderId="0" xfId="130" applyNumberFormat="1" applyFont="1"/>
    <xf numFmtId="10" fontId="16" fillId="0" borderId="1" xfId="130" applyNumberFormat="1" applyFont="1" applyBorder="1" applyProtection="1">
      <protection locked="0"/>
    </xf>
    <xf numFmtId="1" fontId="3" fillId="0" borderId="0" xfId="82" applyNumberFormat="1" applyFont="1" applyAlignment="1" applyProtection="1">
      <alignment horizontal="center"/>
    </xf>
    <xf numFmtId="1" fontId="3" fillId="0" borderId="1" xfId="82" applyNumberFormat="1" applyFont="1" applyBorder="1" applyAlignment="1" applyProtection="1">
      <alignment horizontal="center" shrinkToFit="1"/>
    </xf>
    <xf numFmtId="168" fontId="3" fillId="0" borderId="0" xfId="82" applyFont="1" applyAlignment="1" applyProtection="1">
      <alignment horizontal="center" shrinkToFit="1"/>
    </xf>
    <xf numFmtId="0" fontId="3" fillId="0" borderId="1" xfId="82" applyNumberFormat="1" applyFont="1" applyBorder="1" applyAlignment="1">
      <alignment horizontal="center"/>
      <protection locked="0"/>
    </xf>
    <xf numFmtId="0" fontId="3" fillId="0" borderId="0" xfId="82" applyNumberFormat="1" applyFont="1" applyAlignment="1">
      <alignment horizontal="center"/>
      <protection locked="0"/>
    </xf>
    <xf numFmtId="168" fontId="3" fillId="0" borderId="2" xfId="82" applyFont="1" applyBorder="1" applyProtection="1"/>
    <xf numFmtId="168" fontId="3" fillId="8" borderId="0" xfId="82" applyFont="1" applyFill="1" applyProtection="1"/>
    <xf numFmtId="176" fontId="3" fillId="0" borderId="0" xfId="82" applyNumberFormat="1" applyFont="1" applyProtection="1"/>
    <xf numFmtId="176" fontId="3" fillId="0" borderId="1" xfId="122" applyNumberFormat="1" applyFont="1" applyBorder="1" applyProtection="1"/>
    <xf numFmtId="176" fontId="3" fillId="0" borderId="4" xfId="122" applyNumberFormat="1" applyFont="1" applyBorder="1">
      <protection locked="0"/>
    </xf>
    <xf numFmtId="176" fontId="3" fillId="0" borderId="0" xfId="122" applyNumberFormat="1" applyFont="1" applyProtection="1"/>
    <xf numFmtId="176" fontId="3" fillId="0" borderId="0" xfId="122" applyNumberFormat="1" applyFont="1">
      <protection locked="0"/>
    </xf>
    <xf numFmtId="176" fontId="3" fillId="0" borderId="3" xfId="122" applyNumberFormat="1" applyFont="1" applyBorder="1" applyProtection="1"/>
    <xf numFmtId="168" fontId="3" fillId="0" borderId="0" xfId="82" applyFont="1">
      <protection locked="0"/>
    </xf>
    <xf numFmtId="1" fontId="3" fillId="0" borderId="0" xfId="85" applyNumberFormat="1" applyFont="1" applyAlignment="1" applyProtection="1">
      <alignment horizontal="center"/>
    </xf>
    <xf numFmtId="168" fontId="3" fillId="0" borderId="0" xfId="82" applyFont="1" applyAlignment="1" applyProtection="1">
      <alignment horizontal="center"/>
    </xf>
    <xf numFmtId="0" fontId="3" fillId="0" borderId="1" xfId="85" applyNumberFormat="1" applyFont="1" applyBorder="1" applyAlignment="1">
      <alignment horizontal="center"/>
      <protection locked="0"/>
    </xf>
    <xf numFmtId="168" fontId="3" fillId="0" borderId="2" xfId="85" applyFont="1" applyBorder="1" applyProtection="1"/>
    <xf numFmtId="176" fontId="3" fillId="0" borderId="0" xfId="85" applyNumberFormat="1" applyFont="1" applyProtection="1"/>
    <xf numFmtId="168" fontId="3" fillId="0" borderId="0" xfId="85" applyFont="1" applyAlignment="1" applyProtection="1">
      <alignment horizontal="center"/>
    </xf>
    <xf numFmtId="176" fontId="3" fillId="0" borderId="1" xfId="85" applyNumberFormat="1" applyFont="1" applyBorder="1">
      <protection locked="0"/>
    </xf>
    <xf numFmtId="176" fontId="3" fillId="0" borderId="4" xfId="85" applyNumberFormat="1" applyFont="1" applyBorder="1">
      <protection locked="0"/>
    </xf>
    <xf numFmtId="176" fontId="3" fillId="0" borderId="0" xfId="85" applyNumberFormat="1" applyFont="1">
      <protection locked="0"/>
    </xf>
    <xf numFmtId="168" fontId="3" fillId="0" borderId="0" xfId="85" applyFont="1" applyAlignment="1" applyProtection="1">
      <alignment horizontal="left"/>
    </xf>
    <xf numFmtId="0" fontId="3" fillId="0" borderId="0" xfId="89" applyFont="1" applyAlignment="1">
      <alignment horizontal="right"/>
    </xf>
    <xf numFmtId="0" fontId="3" fillId="0" borderId="1" xfId="89" applyFont="1" applyBorder="1"/>
    <xf numFmtId="0" fontId="3" fillId="0" borderId="2" xfId="89" applyFont="1" applyBorder="1"/>
    <xf numFmtId="49" fontId="3" fillId="0" borderId="0" xfId="89" applyNumberFormat="1" applyFont="1"/>
    <xf numFmtId="39" fontId="3" fillId="0" borderId="0" xfId="89" applyNumberFormat="1" applyFont="1"/>
    <xf numFmtId="176" fontId="3" fillId="0" borderId="1" xfId="89" applyNumberFormat="1" applyFont="1" applyBorder="1" applyProtection="1">
      <protection locked="0"/>
    </xf>
    <xf numFmtId="176" fontId="3" fillId="0" borderId="4" xfId="89" applyNumberFormat="1" applyFont="1" applyBorder="1" applyProtection="1">
      <protection locked="0"/>
    </xf>
    <xf numFmtId="176" fontId="3" fillId="0" borderId="3" xfId="89" applyNumberFormat="1" applyFont="1" applyBorder="1"/>
    <xf numFmtId="49" fontId="3" fillId="0" borderId="0" xfId="0" applyNumberFormat="1" applyFont="1" applyAlignment="1">
      <alignment horizontal="left" indent="1"/>
    </xf>
    <xf numFmtId="49" fontId="36" fillId="0" borderId="0" xfId="0" applyNumberFormat="1" applyFont="1" applyAlignment="1">
      <alignment horizontal="left"/>
    </xf>
    <xf numFmtId="176" fontId="3" fillId="0" borderId="0" xfId="89" applyNumberFormat="1" applyFont="1" applyProtection="1">
      <protection locked="0"/>
    </xf>
    <xf numFmtId="0" fontId="17" fillId="0" borderId="0" xfId="0" applyFont="1"/>
    <xf numFmtId="0" fontId="3" fillId="0" borderId="2" xfId="86" applyFont="1" applyBorder="1"/>
    <xf numFmtId="170" fontId="3" fillId="0" borderId="0" xfId="29" applyNumberFormat="1" applyFont="1"/>
    <xf numFmtId="170" fontId="3" fillId="0" borderId="1" xfId="29" applyNumberFormat="1" applyFont="1" applyBorder="1" applyProtection="1">
      <protection locked="0"/>
    </xf>
    <xf numFmtId="170" fontId="3" fillId="0" borderId="0" xfId="86" applyNumberFormat="1" applyFont="1"/>
    <xf numFmtId="171" fontId="3" fillId="0" borderId="0" xfId="0" applyNumberFormat="1" applyFont="1"/>
    <xf numFmtId="0" fontId="3" fillId="0" borderId="0" xfId="0" quotePrefix="1" applyFont="1" applyAlignment="1">
      <alignment horizontal="center"/>
    </xf>
    <xf numFmtId="170" fontId="3" fillId="0" borderId="4" xfId="29" applyNumberFormat="1" applyFont="1" applyBorder="1" applyProtection="1">
      <protection locked="0"/>
    </xf>
    <xf numFmtId="170" fontId="3" fillId="0" borderId="2" xfId="29" applyNumberFormat="1" applyFont="1" applyBorder="1" applyProtection="1">
      <protection locked="0"/>
    </xf>
    <xf numFmtId="170" fontId="3" fillId="0" borderId="14" xfId="29" applyNumberFormat="1" applyFont="1" applyBorder="1"/>
    <xf numFmtId="0" fontId="3" fillId="0" borderId="0" xfId="88" applyFont="1" applyAlignment="1">
      <alignment horizontal="right"/>
    </xf>
    <xf numFmtId="0" fontId="3" fillId="0" borderId="0" xfId="87" applyFont="1" applyAlignment="1">
      <alignment horizontal="center" shrinkToFit="1"/>
    </xf>
    <xf numFmtId="0" fontId="3" fillId="0" borderId="2" xfId="88" applyFont="1" applyBorder="1"/>
    <xf numFmtId="0" fontId="12" fillId="0" borderId="0" xfId="84" applyFont="1" applyAlignment="1">
      <alignment horizontal="center"/>
    </xf>
    <xf numFmtId="0" fontId="36" fillId="0" borderId="0" xfId="84" applyFont="1"/>
    <xf numFmtId="0" fontId="3" fillId="0" borderId="0" xfId="84" applyFont="1" applyAlignment="1">
      <alignment horizontal="center"/>
    </xf>
    <xf numFmtId="176" fontId="3" fillId="0" borderId="1" xfId="84" applyNumberFormat="1" applyFont="1" applyBorder="1"/>
    <xf numFmtId="176" fontId="3" fillId="0" borderId="18" xfId="84" applyNumberFormat="1" applyFont="1" applyBorder="1" applyProtection="1">
      <protection locked="0"/>
    </xf>
    <xf numFmtId="176" fontId="3" fillId="0" borderId="18" xfId="84" applyNumberFormat="1" applyFont="1" applyBorder="1"/>
    <xf numFmtId="176" fontId="3" fillId="3" borderId="18" xfId="84" applyNumberFormat="1" applyFont="1" applyFill="1" applyBorder="1"/>
    <xf numFmtId="1" fontId="3" fillId="0" borderId="0" xfId="84" applyNumberFormat="1" applyFont="1" applyAlignment="1">
      <alignment horizontal="center"/>
    </xf>
    <xf numFmtId="176" fontId="3" fillId="0" borderId="4" xfId="84" applyNumberFormat="1" applyFont="1" applyBorder="1" applyProtection="1">
      <protection locked="0"/>
    </xf>
    <xf numFmtId="176" fontId="3" fillId="0" borderId="8" xfId="84" applyNumberFormat="1" applyFont="1" applyBorder="1" applyProtection="1">
      <protection locked="0"/>
    </xf>
    <xf numFmtId="176" fontId="3" fillId="0" borderId="22" xfId="84" applyNumberFormat="1" applyFont="1" applyBorder="1" applyProtection="1">
      <protection locked="0"/>
    </xf>
    <xf numFmtId="176" fontId="3" fillId="3" borderId="4" xfId="84" applyNumberFormat="1" applyFont="1" applyFill="1" applyBorder="1"/>
    <xf numFmtId="0" fontId="3" fillId="0" borderId="1" xfId="88" applyFont="1" applyBorder="1" applyAlignment="1" applyProtection="1">
      <alignment horizontal="center"/>
      <protection locked="0"/>
    </xf>
    <xf numFmtId="0" fontId="3" fillId="0" borderId="1" xfId="88" applyFont="1" applyBorder="1" applyAlignment="1">
      <alignment horizontal="center"/>
    </xf>
    <xf numFmtId="0" fontId="3" fillId="0" borderId="0" xfId="0" applyFont="1" applyAlignment="1" applyProtection="1">
      <alignment horizontal="center"/>
      <protection hidden="1"/>
    </xf>
    <xf numFmtId="176" fontId="3" fillId="0" borderId="0" xfId="0" applyNumberFormat="1" applyFont="1" applyProtection="1">
      <protection hidden="1"/>
    </xf>
    <xf numFmtId="176" fontId="3" fillId="0" borderId="3" xfId="0" applyNumberFormat="1" applyFont="1" applyBorder="1"/>
    <xf numFmtId="0" fontId="16" fillId="0" borderId="2" xfId="0" applyFont="1" applyBorder="1"/>
    <xf numFmtId="0" fontId="3" fillId="0" borderId="0" xfId="93" applyFont="1" applyAlignment="1">
      <alignment horizontal="center" shrinkToFit="1"/>
    </xf>
    <xf numFmtId="164" fontId="3" fillId="0" borderId="0" xfId="0" applyNumberFormat="1" applyFont="1" applyAlignment="1" applyProtection="1">
      <alignment horizontal="center" shrinkToFit="1"/>
      <protection locked="0"/>
    </xf>
    <xf numFmtId="164" fontId="3" fillId="0" borderId="0" xfId="93" applyNumberFormat="1" applyFont="1" applyAlignment="1" applyProtection="1">
      <alignment horizontal="center" shrinkToFit="1"/>
      <protection locked="0"/>
    </xf>
    <xf numFmtId="44" fontId="3" fillId="0" borderId="1" xfId="89" applyNumberFormat="1" applyFont="1" applyBorder="1" applyProtection="1">
      <protection locked="0"/>
    </xf>
    <xf numFmtId="43" fontId="3" fillId="0" borderId="4" xfId="89" applyNumberFormat="1" applyFont="1" applyBorder="1" applyProtection="1">
      <protection locked="0"/>
    </xf>
    <xf numFmtId="0" fontId="100" fillId="0" borderId="0" xfId="0" applyFont="1" applyAlignment="1">
      <alignment horizontal="left" indent="2"/>
    </xf>
    <xf numFmtId="44" fontId="3" fillId="0" borderId="3" xfId="89" applyNumberFormat="1" applyFont="1" applyBorder="1"/>
    <xf numFmtId="44" fontId="3" fillId="0" borderId="0" xfId="89" applyNumberFormat="1" applyFont="1"/>
    <xf numFmtId="0" fontId="100" fillId="0" borderId="0" xfId="0" applyFont="1" applyAlignment="1">
      <alignment horizontal="center"/>
    </xf>
    <xf numFmtId="0" fontId="100" fillId="0" borderId="0" xfId="0" applyFont="1" applyAlignment="1">
      <alignment horizontal="left" indent="1"/>
    </xf>
    <xf numFmtId="0" fontId="100" fillId="0" borderId="0" xfId="0" quotePrefix="1" applyFont="1" applyAlignment="1">
      <alignment horizontal="center"/>
    </xf>
    <xf numFmtId="0" fontId="3" fillId="0" borderId="0" xfId="94" applyFont="1" applyAlignment="1">
      <alignment horizontal="right"/>
    </xf>
    <xf numFmtId="0" fontId="3" fillId="0" borderId="1" xfId="94" applyFont="1" applyBorder="1"/>
    <xf numFmtId="0" fontId="3" fillId="0" borderId="0" xfId="94" applyFont="1" applyAlignment="1" applyProtection="1">
      <alignment horizontal="center"/>
      <protection locked="0"/>
    </xf>
    <xf numFmtId="0" fontId="3" fillId="0" borderId="2" xfId="94" applyFont="1" applyBorder="1"/>
    <xf numFmtId="176" fontId="3" fillId="0" borderId="0" xfId="94" applyNumberFormat="1" applyFont="1"/>
    <xf numFmtId="0" fontId="3" fillId="0" borderId="4" xfId="94" applyFont="1" applyBorder="1" applyProtection="1">
      <protection locked="0"/>
    </xf>
    <xf numFmtId="0" fontId="3" fillId="8" borderId="0" xfId="94" applyFont="1" applyFill="1"/>
    <xf numFmtId="176" fontId="3" fillId="8" borderId="0" xfId="94" applyNumberFormat="1" applyFont="1" applyFill="1"/>
    <xf numFmtId="0" fontId="3" fillId="8" borderId="0" xfId="94" applyFont="1" applyFill="1" applyAlignment="1">
      <alignment horizontal="center"/>
    </xf>
    <xf numFmtId="0" fontId="128" fillId="8" borderId="0" xfId="0" applyFont="1" applyFill="1" applyAlignment="1">
      <alignment horizontal="left" vertical="top"/>
    </xf>
    <xf numFmtId="0" fontId="3" fillId="9" borderId="0" xfId="94" applyFont="1" applyFill="1"/>
    <xf numFmtId="3" fontId="3" fillId="0" borderId="1" xfId="0" applyNumberFormat="1" applyFont="1" applyBorder="1" applyProtection="1">
      <protection locked="0"/>
    </xf>
    <xf numFmtId="0" fontId="3" fillId="0" borderId="0" xfId="93" applyFont="1" applyAlignment="1">
      <alignment horizontal="center"/>
    </xf>
    <xf numFmtId="164" fontId="3" fillId="0" borderId="0" xfId="0" applyNumberFormat="1" applyFont="1" applyAlignment="1" applyProtection="1">
      <alignment horizontal="center"/>
      <protection locked="0"/>
    </xf>
    <xf numFmtId="164" fontId="3" fillId="0" borderId="0" xfId="93" applyNumberFormat="1" applyFont="1" applyAlignment="1" applyProtection="1">
      <alignment horizontal="center"/>
      <protection locked="0"/>
    </xf>
    <xf numFmtId="189" fontId="3" fillId="0" borderId="1" xfId="89" applyNumberFormat="1" applyFont="1" applyBorder="1" applyAlignment="1">
      <alignment horizontal="center"/>
    </xf>
    <xf numFmtId="176" fontId="3" fillId="0" borderId="14" xfId="84" applyNumberFormat="1" applyFont="1" applyBorder="1"/>
    <xf numFmtId="49" fontId="100" fillId="0" borderId="0" xfId="0" applyNumberFormat="1" applyFont="1" applyAlignment="1">
      <alignment horizontal="center"/>
    </xf>
    <xf numFmtId="0" fontId="100" fillId="0" borderId="0" xfId="0" applyFont="1" applyAlignment="1" applyProtection="1">
      <alignment horizontal="center"/>
      <protection locked="0"/>
    </xf>
    <xf numFmtId="49" fontId="3" fillId="0" borderId="0" xfId="84" applyNumberFormat="1" applyFont="1" applyProtection="1">
      <protection locked="0"/>
    </xf>
    <xf numFmtId="176" fontId="3" fillId="4" borderId="1" xfId="84" applyNumberFormat="1" applyFont="1" applyFill="1" applyBorder="1"/>
    <xf numFmtId="0" fontId="3" fillId="0" borderId="0" xfId="89" applyFont="1" applyProtection="1">
      <protection locked="0"/>
    </xf>
    <xf numFmtId="164" fontId="3" fillId="0" borderId="0" xfId="0" applyNumberFormat="1" applyFont="1"/>
    <xf numFmtId="164" fontId="3" fillId="0" borderId="0" xfId="0" applyNumberFormat="1" applyFont="1" applyAlignment="1">
      <alignment horizontal="right"/>
    </xf>
    <xf numFmtId="0" fontId="7" fillId="0" borderId="0" xfId="95" applyFont="1"/>
    <xf numFmtId="0" fontId="49" fillId="0" borderId="0" xfId="95" applyFont="1" applyAlignment="1">
      <alignment horizontal="center"/>
    </xf>
    <xf numFmtId="0" fontId="3" fillId="0" borderId="1" xfId="95" applyFont="1" applyBorder="1" applyAlignment="1">
      <alignment horizontal="center"/>
    </xf>
    <xf numFmtId="0" fontId="3" fillId="6" borderId="38" xfId="95" applyFont="1" applyFill="1" applyBorder="1"/>
    <xf numFmtId="0" fontId="5" fillId="6" borderId="38" xfId="95" applyFont="1" applyFill="1" applyBorder="1"/>
    <xf numFmtId="0" fontId="5" fillId="6" borderId="39" xfId="95" applyFont="1" applyFill="1" applyBorder="1"/>
    <xf numFmtId="0" fontId="3" fillId="6" borderId="0" xfId="95" applyFont="1" applyFill="1"/>
    <xf numFmtId="0" fontId="5" fillId="6" borderId="0" xfId="95" applyFont="1" applyFill="1"/>
    <xf numFmtId="0" fontId="5" fillId="6" borderId="41" xfId="95" applyFont="1" applyFill="1" applyBorder="1"/>
    <xf numFmtId="0" fontId="3" fillId="6" borderId="14" xfId="95" applyFont="1" applyFill="1" applyBorder="1"/>
    <xf numFmtId="0" fontId="3" fillId="6" borderId="43" xfId="95" applyFont="1" applyFill="1" applyBorder="1"/>
    <xf numFmtId="0" fontId="5" fillId="0" borderId="3" xfId="95" applyFont="1" applyBorder="1"/>
    <xf numFmtId="0" fontId="5" fillId="0" borderId="0" xfId="95" applyFont="1" applyAlignment="1">
      <alignment horizontal="center"/>
    </xf>
    <xf numFmtId="170" fontId="3" fillId="0" borderId="1" xfId="95" applyNumberFormat="1" applyFont="1" applyBorder="1" applyProtection="1">
      <protection locked="0"/>
    </xf>
    <xf numFmtId="170" fontId="3" fillId="0" borderId="0" xfId="95" applyNumberFormat="1" applyFont="1" applyProtection="1">
      <protection locked="0"/>
    </xf>
    <xf numFmtId="170" fontId="3" fillId="0" borderId="19" xfId="95" applyNumberFormat="1" applyFont="1" applyBorder="1"/>
    <xf numFmtId="0" fontId="3" fillId="0" borderId="2" xfId="0" applyFont="1" applyBorder="1"/>
    <xf numFmtId="0" fontId="3" fillId="0" borderId="0" xfId="91" applyFont="1" applyAlignment="1">
      <alignment horizontal="center"/>
    </xf>
    <xf numFmtId="0" fontId="3" fillId="0" borderId="1" xfId="91" applyFont="1" applyBorder="1" applyAlignment="1">
      <alignment horizontal="center"/>
    </xf>
    <xf numFmtId="0" fontId="3" fillId="0" borderId="2" xfId="91" applyFont="1" applyBorder="1"/>
    <xf numFmtId="0" fontId="3" fillId="0" borderId="0" xfId="69" applyFont="1" applyAlignment="1">
      <alignment vertical="top" wrapText="1"/>
    </xf>
    <xf numFmtId="176" fontId="3" fillId="0" borderId="7" xfId="91" applyNumberFormat="1" applyFont="1" applyBorder="1" applyProtection="1">
      <protection locked="0"/>
    </xf>
    <xf numFmtId="176" fontId="3" fillId="5" borderId="15" xfId="69" applyNumberFormat="1" applyFont="1" applyFill="1" applyBorder="1"/>
    <xf numFmtId="176" fontId="3" fillId="0" borderId="6" xfId="69" applyNumberFormat="1" applyFont="1" applyBorder="1" applyProtection="1">
      <protection locked="0"/>
    </xf>
    <xf numFmtId="176" fontId="3" fillId="0" borderId="24" xfId="69" applyNumberFormat="1" applyFont="1" applyBorder="1"/>
    <xf numFmtId="0" fontId="3" fillId="0" borderId="0" xfId="69" applyFont="1" applyAlignment="1">
      <alignment horizontal="left" indent="1"/>
    </xf>
    <xf numFmtId="170" fontId="3" fillId="6" borderId="26" xfId="91" applyNumberFormat="1" applyFont="1" applyFill="1" applyBorder="1"/>
    <xf numFmtId="176" fontId="3" fillId="0" borderId="0" xfId="69" applyNumberFormat="1" applyFont="1" applyProtection="1">
      <protection locked="0"/>
    </xf>
    <xf numFmtId="0" fontId="3" fillId="0" borderId="6" xfId="91" applyFont="1" applyBorder="1" applyAlignment="1" applyProtection="1">
      <alignment horizontal="center"/>
      <protection locked="0"/>
    </xf>
    <xf numFmtId="0" fontId="3" fillId="0" borderId="13" xfId="91" applyFont="1" applyBorder="1" applyAlignment="1" applyProtection="1">
      <alignment horizontal="center"/>
      <protection locked="0"/>
    </xf>
    <xf numFmtId="0" fontId="3" fillId="0" borderId="0" xfId="91" applyFont="1" applyAlignment="1" applyProtection="1">
      <alignment horizontal="center"/>
      <protection locked="0"/>
    </xf>
    <xf numFmtId="176" fontId="3" fillId="0" borderId="0" xfId="91" applyNumberFormat="1" applyFont="1" applyProtection="1">
      <protection locked="0"/>
    </xf>
    <xf numFmtId="176" fontId="3" fillId="0" borderId="12" xfId="91" applyNumberFormat="1" applyFont="1" applyBorder="1" applyProtection="1">
      <protection locked="0"/>
    </xf>
    <xf numFmtId="176" fontId="3" fillId="0" borderId="15" xfId="91" applyNumberFormat="1" applyFont="1" applyBorder="1" applyProtection="1">
      <protection locked="0"/>
    </xf>
    <xf numFmtId="176" fontId="3" fillId="5" borderId="23" xfId="69" applyNumberFormat="1" applyFont="1" applyFill="1" applyBorder="1"/>
    <xf numFmtId="176" fontId="3" fillId="0" borderId="0" xfId="69" applyNumberFormat="1" applyFont="1"/>
    <xf numFmtId="170" fontId="3" fillId="6" borderId="0" xfId="91" applyNumberFormat="1" applyFont="1" applyFill="1"/>
    <xf numFmtId="194" fontId="147" fillId="0" borderId="1" xfId="40" applyNumberFormat="1" applyFont="1" applyBorder="1" applyProtection="1">
      <protection locked="0"/>
    </xf>
    <xf numFmtId="0" fontId="3" fillId="0" borderId="0" xfId="90" applyFont="1" applyAlignment="1">
      <alignment horizontal="right"/>
    </xf>
    <xf numFmtId="0" fontId="3" fillId="0" borderId="0" xfId="90" applyFont="1" applyAlignment="1">
      <alignment horizontal="center" shrinkToFit="1"/>
    </xf>
    <xf numFmtId="176" fontId="3" fillId="5" borderId="5" xfId="91" applyNumberFormat="1" applyFont="1" applyFill="1" applyBorder="1"/>
    <xf numFmtId="164" fontId="3" fillId="0" borderId="0" xfId="115" applyNumberFormat="1" applyFont="1"/>
    <xf numFmtId="164" fontId="3" fillId="0" borderId="0" xfId="115" applyNumberFormat="1" applyFont="1" applyAlignment="1">
      <alignment horizontal="right"/>
    </xf>
    <xf numFmtId="164" fontId="3" fillId="0" borderId="0" xfId="115" applyNumberFormat="1" applyFont="1" applyAlignment="1">
      <alignment horizontal="center"/>
    </xf>
    <xf numFmtId="0" fontId="128" fillId="0" borderId="0" xfId="0" applyFont="1"/>
    <xf numFmtId="0" fontId="128" fillId="0" borderId="0" xfId="0" applyFont="1" applyAlignment="1">
      <alignment vertical="top" wrapText="1"/>
    </xf>
    <xf numFmtId="0" fontId="128" fillId="0" borderId="0" xfId="0" applyFont="1" applyAlignment="1">
      <alignment horizontal="right"/>
    </xf>
    <xf numFmtId="0" fontId="56" fillId="0" borderId="0" xfId="81" applyFont="1" applyAlignment="1">
      <alignment horizontal="center"/>
    </xf>
    <xf numFmtId="0" fontId="128" fillId="0" borderId="0" xfId="81" applyFont="1" applyAlignment="1" applyProtection="1">
      <alignment horizontal="left"/>
      <protection locked="0"/>
    </xf>
    <xf numFmtId="0" fontId="15" fillId="0" borderId="2" xfId="107" applyFont="1" applyBorder="1" applyAlignment="1">
      <alignment horizontal="center"/>
    </xf>
    <xf numFmtId="186" fontId="3" fillId="0" borderId="1" xfId="107" applyNumberFormat="1" applyFont="1" applyBorder="1" applyAlignment="1" applyProtection="1">
      <alignment horizontal="center"/>
      <protection locked="0"/>
    </xf>
    <xf numFmtId="176" fontId="3" fillId="0" borderId="1" xfId="107" applyNumberFormat="1" applyFont="1" applyBorder="1" applyProtection="1">
      <protection locked="0"/>
    </xf>
    <xf numFmtId="0" fontId="3" fillId="0" borderId="0" xfId="107" applyFont="1" applyAlignment="1" applyProtection="1">
      <alignment horizontal="center"/>
      <protection locked="0"/>
    </xf>
    <xf numFmtId="186" fontId="3" fillId="0" borderId="1" xfId="107" applyNumberFormat="1" applyFont="1" applyBorder="1" applyAlignment="1">
      <alignment horizontal="center"/>
    </xf>
    <xf numFmtId="176" fontId="3" fillId="0" borderId="1" xfId="107" applyNumberFormat="1" applyFont="1" applyBorder="1"/>
    <xf numFmtId="186" fontId="3" fillId="0" borderId="0" xfId="107" applyNumberFormat="1" applyFont="1"/>
    <xf numFmtId="176" fontId="3" fillId="0" borderId="0" xfId="107" applyNumberFormat="1" applyFont="1"/>
    <xf numFmtId="176" fontId="3" fillId="0" borderId="2" xfId="107" applyNumberFormat="1" applyFont="1" applyBorder="1"/>
    <xf numFmtId="176" fontId="3" fillId="0" borderId="0" xfId="107" applyNumberFormat="1" applyFont="1" applyProtection="1">
      <protection hidden="1"/>
    </xf>
    <xf numFmtId="0" fontId="54" fillId="0" borderId="0" xfId="108" applyFont="1"/>
    <xf numFmtId="0" fontId="53" fillId="0" borderId="0" xfId="116" applyFont="1" applyProtection="1">
      <protection locked="0"/>
    </xf>
    <xf numFmtId="0" fontId="3" fillId="0" borderId="0" xfId="108" applyFont="1" applyAlignment="1">
      <alignment horizontal="centerContinuous"/>
    </xf>
    <xf numFmtId="0" fontId="3" fillId="0" borderId="0" xfId="108" applyFont="1" applyAlignment="1">
      <alignment horizontal="left"/>
    </xf>
    <xf numFmtId="0" fontId="3" fillId="0" borderId="0" xfId="108" applyFont="1" applyAlignment="1">
      <alignment shrinkToFit="1"/>
    </xf>
    <xf numFmtId="0" fontId="3" fillId="0" borderId="0" xfId="108" applyFont="1" applyAlignment="1">
      <alignment horizontal="right"/>
    </xf>
    <xf numFmtId="0" fontId="3" fillId="0" borderId="0" xfId="116" applyFont="1" applyProtection="1">
      <protection locked="0"/>
    </xf>
    <xf numFmtId="0" fontId="54" fillId="0" borderId="2" xfId="116" applyFont="1" applyBorder="1" applyAlignment="1" applyProtection="1">
      <alignment horizontal="centerContinuous"/>
      <protection locked="0"/>
    </xf>
    <xf numFmtId="0" fontId="54" fillId="0" borderId="0" xfId="116" applyFont="1" applyAlignment="1" applyProtection="1">
      <alignment horizontal="centerContinuous"/>
      <protection locked="0"/>
    </xf>
    <xf numFmtId="0" fontId="54" fillId="0" borderId="2" xfId="116" applyFont="1" applyBorder="1" applyAlignment="1" applyProtection="1">
      <alignment horizontal="center"/>
      <protection locked="0"/>
    </xf>
    <xf numFmtId="0" fontId="54" fillId="0" borderId="0" xfId="116" applyFont="1" applyAlignment="1">
      <alignment horizontal="centerContinuous"/>
    </xf>
    <xf numFmtId="0" fontId="54" fillId="0" borderId="0" xfId="116" applyFont="1" applyAlignment="1">
      <alignment horizontal="center"/>
    </xf>
    <xf numFmtId="0" fontId="3" fillId="0" borderId="0" xfId="109" applyFont="1"/>
    <xf numFmtId="0" fontId="107" fillId="0" borderId="2" xfId="116" applyFont="1" applyBorder="1" applyAlignment="1">
      <alignment horizontal="center"/>
    </xf>
    <xf numFmtId="0" fontId="55" fillId="0" borderId="0" xfId="116" applyFont="1" applyAlignment="1" applyProtection="1">
      <alignment horizontal="center"/>
      <protection locked="0"/>
    </xf>
    <xf numFmtId="0" fontId="53" fillId="0" borderId="0" xfId="116" applyFont="1"/>
    <xf numFmtId="0" fontId="54" fillId="0" borderId="0" xfId="116" applyFont="1" applyProtection="1">
      <protection locked="0"/>
    </xf>
    <xf numFmtId="0" fontId="55" fillId="0" borderId="0" xfId="116" applyFont="1" applyProtection="1">
      <protection locked="0"/>
    </xf>
    <xf numFmtId="0" fontId="3" fillId="0" borderId="0" xfId="110" applyFont="1" applyAlignment="1">
      <alignment horizontal="centerContinuous"/>
    </xf>
    <xf numFmtId="0" fontId="3" fillId="0" borderId="0" xfId="110" applyFont="1" applyAlignment="1">
      <alignment horizontal="left"/>
    </xf>
    <xf numFmtId="0" fontId="3" fillId="0" borderId="0" xfId="110" applyFont="1" applyAlignment="1">
      <alignment horizontal="right"/>
    </xf>
    <xf numFmtId="0" fontId="3" fillId="0" borderId="1" xfId="108" applyFont="1" applyBorder="1" applyAlignment="1" applyProtection="1">
      <alignment horizontal="center" shrinkToFit="1"/>
      <protection locked="0"/>
    </xf>
    <xf numFmtId="0" fontId="3" fillId="0" borderId="1" xfId="110" applyFont="1" applyBorder="1" applyProtection="1">
      <protection locked="0"/>
    </xf>
    <xf numFmtId="0" fontId="3" fillId="0" borderId="2" xfId="110" applyFont="1" applyBorder="1"/>
    <xf numFmtId="0" fontId="3" fillId="0" borderId="2" xfId="110" applyFont="1" applyBorder="1" applyAlignment="1">
      <alignment horizontal="right"/>
    </xf>
    <xf numFmtId="0" fontId="16" fillId="0" borderId="0" xfId="108" applyFont="1"/>
    <xf numFmtId="0" fontId="3" fillId="0" borderId="0" xfId="108" applyFont="1" applyAlignment="1">
      <alignment horizontal="center"/>
    </xf>
    <xf numFmtId="176" fontId="3" fillId="0" borderId="1" xfId="108" applyNumberFormat="1" applyFont="1" applyBorder="1" applyProtection="1">
      <protection locked="0"/>
    </xf>
    <xf numFmtId="0" fontId="3" fillId="0" borderId="0" xfId="110" applyFont="1" applyProtection="1">
      <protection locked="0"/>
    </xf>
    <xf numFmtId="0" fontId="3" fillId="0" borderId="0" xfId="108" applyFont="1" applyProtection="1">
      <protection locked="0"/>
    </xf>
    <xf numFmtId="175" fontId="3" fillId="0" borderId="0" xfId="108" applyNumberFormat="1" applyFont="1" applyProtection="1">
      <protection locked="0"/>
    </xf>
    <xf numFmtId="0" fontId="3" fillId="0" borderId="0" xfId="108" applyFont="1" applyAlignment="1" applyProtection="1">
      <alignment horizontal="center"/>
      <protection locked="0"/>
    </xf>
    <xf numFmtId="175" fontId="3" fillId="0" borderId="1" xfId="110" applyNumberFormat="1" applyFont="1" applyBorder="1" applyProtection="1">
      <protection locked="0"/>
    </xf>
    <xf numFmtId="175" fontId="3" fillId="0" borderId="0" xfId="110" applyNumberFormat="1" applyFont="1" applyProtection="1">
      <protection locked="0"/>
    </xf>
    <xf numFmtId="0" fontId="3" fillId="0" borderId="1" xfId="108" applyFont="1" applyBorder="1" applyAlignment="1">
      <alignment shrinkToFit="1"/>
    </xf>
    <xf numFmtId="0" fontId="3" fillId="0" borderId="0" xfId="112" applyFont="1" applyAlignment="1">
      <alignment horizontal="left"/>
    </xf>
    <xf numFmtId="0" fontId="3" fillId="0" borderId="0" xfId="112" applyFont="1"/>
    <xf numFmtId="0" fontId="3" fillId="0" borderId="0" xfId="112" applyFont="1" applyAlignment="1">
      <alignment horizontal="center"/>
    </xf>
    <xf numFmtId="0" fontId="3" fillId="0" borderId="2" xfId="104" applyFont="1" applyBorder="1"/>
    <xf numFmtId="0" fontId="3" fillId="0" borderId="2" xfId="104" applyFont="1" applyBorder="1" applyAlignment="1">
      <alignment horizontal="right"/>
    </xf>
    <xf numFmtId="0" fontId="15" fillId="0" borderId="2" xfId="104" applyFont="1" applyBorder="1" applyAlignment="1">
      <alignment horizontal="center"/>
    </xf>
    <xf numFmtId="0" fontId="3" fillId="0" borderId="1" xfId="104" applyFont="1" applyBorder="1" applyAlignment="1" applyProtection="1">
      <alignment horizontal="center"/>
      <protection locked="0"/>
    </xf>
    <xf numFmtId="0" fontId="3" fillId="0" borderId="4" xfId="104" applyFont="1" applyBorder="1" applyAlignment="1" applyProtection="1">
      <alignment horizontal="center"/>
      <protection locked="0"/>
    </xf>
    <xf numFmtId="0" fontId="3" fillId="0" borderId="0" xfId="104" applyFont="1" applyAlignment="1" applyProtection="1">
      <alignment horizontal="center"/>
      <protection locked="0"/>
    </xf>
    <xf numFmtId="0" fontId="3" fillId="0" borderId="0" xfId="92" applyFont="1" applyAlignment="1">
      <alignment horizontal="left"/>
    </xf>
    <xf numFmtId="0" fontId="3" fillId="0" borderId="0" xfId="92" applyFont="1" applyAlignment="1">
      <alignment horizontal="right"/>
    </xf>
    <xf numFmtId="0" fontId="3" fillId="0" borderId="2" xfId="92" applyFont="1" applyBorder="1"/>
    <xf numFmtId="5" fontId="3" fillId="0" borderId="0" xfId="92" applyNumberFormat="1" applyFont="1"/>
    <xf numFmtId="176" fontId="3" fillId="0" borderId="0" xfId="92" applyNumberFormat="1" applyFont="1" applyProtection="1">
      <protection locked="0"/>
    </xf>
    <xf numFmtId="176" fontId="3" fillId="0" borderId="0" xfId="92" applyNumberFormat="1" applyFont="1"/>
    <xf numFmtId="10" fontId="3" fillId="0" borderId="0" xfId="130" applyNumberFormat="1" applyFont="1"/>
    <xf numFmtId="0" fontId="3" fillId="0" borderId="0" xfId="92" applyFont="1" applyAlignment="1">
      <alignment horizontal="center" vertical="top" shrinkToFit="1"/>
    </xf>
    <xf numFmtId="0" fontId="3" fillId="0" borderId="2" xfId="90" applyFont="1" applyBorder="1" applyAlignment="1">
      <alignment horizontal="right"/>
    </xf>
    <xf numFmtId="0" fontId="3" fillId="0" borderId="2" xfId="90" applyFont="1" applyBorder="1" applyAlignment="1">
      <alignment horizontal="center" shrinkToFit="1"/>
    </xf>
    <xf numFmtId="0" fontId="3" fillId="0" borderId="4" xfId="90" applyFont="1" applyBorder="1" applyAlignment="1">
      <alignment horizontal="right"/>
    </xf>
    <xf numFmtId="0" fontId="3" fillId="0" borderId="33" xfId="90" applyFont="1" applyBorder="1" applyAlignment="1">
      <alignment horizontal="center" shrinkToFit="1"/>
    </xf>
    <xf numFmtId="0" fontId="3" fillId="0" borderId="8" xfId="0" applyFont="1" applyBorder="1"/>
    <xf numFmtId="176" fontId="3" fillId="0" borderId="8" xfId="0" applyNumberFormat="1" applyFont="1" applyBorder="1"/>
    <xf numFmtId="0" fontId="9" fillId="0" borderId="0" xfId="106" applyAlignment="1">
      <alignment horizontal="right" shrinkToFit="1"/>
    </xf>
    <xf numFmtId="164" fontId="5" fillId="0" borderId="2" xfId="106" applyNumberFormat="1" applyFont="1" applyBorder="1"/>
    <xf numFmtId="49" fontId="13" fillId="0" borderId="0" xfId="106" applyNumberFormat="1" applyFont="1" applyAlignment="1">
      <alignment horizontal="center"/>
    </xf>
    <xf numFmtId="168" fontId="3" fillId="0" borderId="0" xfId="83" applyFont="1" applyAlignment="1" applyProtection="1">
      <alignment horizontal="right"/>
    </xf>
    <xf numFmtId="168" fontId="3" fillId="0" borderId="2" xfId="83" applyFont="1" applyBorder="1" applyProtection="1"/>
    <xf numFmtId="176" fontId="3" fillId="0" borderId="0" xfId="83" applyNumberFormat="1" applyFont="1" applyProtection="1"/>
    <xf numFmtId="176" fontId="3" fillId="0" borderId="14" xfId="122" applyNumberFormat="1" applyFont="1" applyBorder="1" applyProtection="1"/>
    <xf numFmtId="0" fontId="3" fillId="0" borderId="0" xfId="113" applyFont="1" applyAlignment="1">
      <alignment horizontal="center" shrinkToFit="1"/>
    </xf>
    <xf numFmtId="0" fontId="3" fillId="0" borderId="2" xfId="113" applyFont="1" applyBorder="1" applyAlignment="1">
      <alignment horizontal="center" shrinkToFit="1"/>
    </xf>
    <xf numFmtId="0" fontId="3" fillId="0" borderId="2" xfId="113" applyFont="1" applyBorder="1"/>
    <xf numFmtId="37" fontId="3" fillId="0" borderId="0" xfId="113" applyNumberFormat="1" applyFont="1"/>
    <xf numFmtId="176" fontId="3" fillId="0" borderId="4" xfId="113" applyNumberFormat="1" applyFont="1" applyBorder="1" applyProtection="1">
      <protection locked="0"/>
    </xf>
    <xf numFmtId="176" fontId="3" fillId="0" borderId="1" xfId="113" applyNumberFormat="1" applyFont="1" applyBorder="1" applyProtection="1">
      <protection locked="0"/>
    </xf>
    <xf numFmtId="176" fontId="3" fillId="0" borderId="1" xfId="105" applyNumberFormat="1" applyFont="1" applyBorder="1"/>
    <xf numFmtId="0" fontId="3" fillId="0" borderId="0" xfId="105" applyFont="1"/>
    <xf numFmtId="9" fontId="3" fillId="0" borderId="1" xfId="130" applyFont="1" applyBorder="1" applyAlignment="1">
      <alignment horizontal="right"/>
    </xf>
    <xf numFmtId="164" fontId="3" fillId="0" borderId="0" xfId="100" applyNumberFormat="1" applyAlignment="1">
      <alignment horizontal="left"/>
    </xf>
    <xf numFmtId="164" fontId="3" fillId="0" borderId="0" xfId="100" applyNumberFormat="1" applyAlignment="1">
      <alignment horizontal="right"/>
    </xf>
    <xf numFmtId="164" fontId="3" fillId="0" borderId="0" xfId="97" applyNumberFormat="1" applyAlignment="1">
      <alignment horizontal="center" shrinkToFit="1"/>
    </xf>
    <xf numFmtId="164" fontId="3" fillId="0" borderId="0" xfId="100" applyNumberFormat="1"/>
    <xf numFmtId="180" fontId="16" fillId="0" borderId="1" xfId="0" applyNumberFormat="1" applyFont="1" applyBorder="1" applyProtection="1">
      <protection locked="0"/>
    </xf>
    <xf numFmtId="180" fontId="16" fillId="8" borderId="1" xfId="0" applyNumberFormat="1" applyFont="1" applyFill="1" applyBorder="1"/>
    <xf numFmtId="179" fontId="16" fillId="0" borderId="0" xfId="0" applyNumberFormat="1" applyFont="1"/>
    <xf numFmtId="180" fontId="16" fillId="8" borderId="4" xfId="0" applyNumberFormat="1" applyFont="1" applyFill="1" applyBorder="1"/>
    <xf numFmtId="180" fontId="16" fillId="0" borderId="0" xfId="0" applyNumberFormat="1" applyFont="1" applyProtection="1">
      <protection locked="0"/>
    </xf>
    <xf numFmtId="180" fontId="16" fillId="8" borderId="3" xfId="0" applyNumberFormat="1" applyFont="1" applyFill="1" applyBorder="1"/>
    <xf numFmtId="178" fontId="13" fillId="0" borderId="0" xfId="0" applyNumberFormat="1" applyFont="1"/>
    <xf numFmtId="179" fontId="13" fillId="0" borderId="0" xfId="0" applyNumberFormat="1" applyFont="1"/>
    <xf numFmtId="0" fontId="3" fillId="0" borderId="0" xfId="98" applyFont="1" applyAlignment="1">
      <alignment horizontal="centerContinuous"/>
    </xf>
    <xf numFmtId="0" fontId="31" fillId="0" borderId="8" xfId="98" applyFont="1" applyBorder="1" applyAlignment="1">
      <alignment horizontal="center"/>
    </xf>
    <xf numFmtId="176" fontId="16" fillId="0" borderId="1" xfId="39" applyNumberFormat="1" applyFont="1" applyBorder="1"/>
    <xf numFmtId="176" fontId="16" fillId="0" borderId="18" xfId="39" applyNumberFormat="1" applyFont="1" applyBorder="1" applyProtection="1">
      <protection locked="0"/>
    </xf>
    <xf numFmtId="176" fontId="16" fillId="0" borderId="2" xfId="39" applyNumberFormat="1" applyFont="1" applyBorder="1"/>
    <xf numFmtId="176" fontId="15" fillId="0" borderId="0" xfId="39" applyNumberFormat="1" applyFont="1"/>
    <xf numFmtId="40" fontId="15" fillId="0" borderId="0" xfId="39" applyFont="1"/>
    <xf numFmtId="176" fontId="16" fillId="0" borderId="14" xfId="39" applyNumberFormat="1" applyFont="1" applyBorder="1"/>
    <xf numFmtId="0" fontId="87" fillId="0" borderId="0" xfId="0" applyFont="1" applyAlignment="1">
      <alignment horizontal="left" indent="1"/>
    </xf>
    <xf numFmtId="0" fontId="87" fillId="0" borderId="0" xfId="0" applyFont="1"/>
    <xf numFmtId="0" fontId="112" fillId="0" borderId="0" xfId="0" applyFont="1" applyAlignment="1">
      <alignment horizontal="center"/>
    </xf>
    <xf numFmtId="0" fontId="64" fillId="0" borderId="1" xfId="0" applyFont="1" applyBorder="1"/>
    <xf numFmtId="0" fontId="64" fillId="0" borderId="3" xfId="0" applyFont="1" applyBorder="1"/>
    <xf numFmtId="0" fontId="81" fillId="0" borderId="0" xfId="0" quotePrefix="1" applyFont="1" applyAlignment="1">
      <alignment horizontal="left"/>
    </xf>
    <xf numFmtId="0" fontId="16" fillId="54" borderId="46" xfId="0" applyFont="1" applyFill="1" applyBorder="1"/>
    <xf numFmtId="180" fontId="96" fillId="0" borderId="0" xfId="0" applyNumberFormat="1" applyFont="1" applyProtection="1">
      <protection locked="0"/>
    </xf>
    <xf numFmtId="180" fontId="96" fillId="0" borderId="1" xfId="0" applyNumberFormat="1" applyFont="1" applyBorder="1" applyProtection="1">
      <protection locked="0"/>
    </xf>
    <xf numFmtId="0" fontId="100" fillId="4" borderId="35" xfId="0" applyFont="1" applyFill="1" applyBorder="1"/>
    <xf numFmtId="0" fontId="151" fillId="0" borderId="0" xfId="0" applyFont="1" applyAlignment="1">
      <alignment vertical="center"/>
    </xf>
    <xf numFmtId="0" fontId="100" fillId="0" borderId="0" xfId="0" applyFont="1" applyAlignment="1">
      <alignment vertical="center" wrapText="1"/>
    </xf>
    <xf numFmtId="0" fontId="100" fillId="4" borderId="30" xfId="0" applyFont="1" applyFill="1" applyBorder="1"/>
    <xf numFmtId="0" fontId="100" fillId="4" borderId="32" xfId="0" applyFont="1" applyFill="1" applyBorder="1"/>
    <xf numFmtId="0" fontId="55" fillId="0" borderId="0" xfId="115" applyFont="1" applyAlignment="1" applyProtection="1">
      <alignment vertical="center"/>
      <protection locked="0"/>
    </xf>
    <xf numFmtId="173" fontId="16" fillId="0" borderId="0" xfId="118" applyNumberFormat="1" applyProtection="1"/>
    <xf numFmtId="188" fontId="16" fillId="0" borderId="0" xfId="123" applyNumberFormat="1">
      <protection locked="0"/>
    </xf>
    <xf numFmtId="173" fontId="16" fillId="0" borderId="0" xfId="0" applyNumberFormat="1" applyFont="1"/>
    <xf numFmtId="165" fontId="16" fillId="0" borderId="0" xfId="0" applyNumberFormat="1" applyFont="1"/>
    <xf numFmtId="0" fontId="3" fillId="0" borderId="0" xfId="89" quotePrefix="1" applyFont="1"/>
    <xf numFmtId="0" fontId="87" fillId="0" borderId="0" xfId="95" applyFont="1"/>
    <xf numFmtId="180" fontId="96" fillId="0" borderId="0" xfId="73" applyNumberFormat="1" applyFont="1"/>
    <xf numFmtId="180" fontId="96" fillId="0" borderId="1" xfId="0" applyNumberFormat="1" applyFont="1" applyBorder="1"/>
    <xf numFmtId="0" fontId="3" fillId="0" borderId="2" xfId="95" applyFont="1" applyBorder="1" applyProtection="1">
      <protection locked="0"/>
    </xf>
    <xf numFmtId="173" fontId="16" fillId="0" borderId="0" xfId="0" applyNumberFormat="1" applyFont="1" applyProtection="1">
      <protection locked="0"/>
    </xf>
    <xf numFmtId="15" fontId="11" fillId="0" borderId="0" xfId="0" applyNumberFormat="1" applyFont="1" applyAlignment="1" applyProtection="1">
      <alignment horizontal="center"/>
      <protection hidden="1"/>
    </xf>
    <xf numFmtId="0" fontId="10" fillId="0" borderId="0" xfId="0" applyFont="1"/>
    <xf numFmtId="0" fontId="11" fillId="0" borderId="15" xfId="0" applyFont="1" applyBorder="1" applyAlignment="1" applyProtection="1">
      <alignment horizontal="center"/>
      <protection hidden="1"/>
    </xf>
    <xf numFmtId="0" fontId="11" fillId="0" borderId="0" xfId="0" applyFont="1" applyAlignment="1" applyProtection="1">
      <alignment horizontal="center"/>
      <protection hidden="1"/>
    </xf>
    <xf numFmtId="0" fontId="3" fillId="60" borderId="0" xfId="81" applyFont="1" applyFill="1" applyAlignment="1">
      <alignment horizontal="center"/>
    </xf>
    <xf numFmtId="168" fontId="66" fillId="0" borderId="0" xfId="82" applyFont="1" applyAlignment="1" applyProtection="1">
      <alignment horizontal="centerContinuous"/>
    </xf>
    <xf numFmtId="0" fontId="210" fillId="0" borderId="0" xfId="108" applyFont="1" applyAlignment="1">
      <alignment horizontal="centerContinuous"/>
    </xf>
    <xf numFmtId="0" fontId="210" fillId="0" borderId="0" xfId="110" applyFont="1" applyAlignment="1">
      <alignment horizontal="centerContinuous"/>
    </xf>
    <xf numFmtId="0" fontId="66" fillId="0" borderId="0" xfId="110" applyFont="1" applyAlignment="1">
      <alignment horizontal="right"/>
    </xf>
    <xf numFmtId="0" fontId="3" fillId="54" borderId="0" xfId="0" applyFont="1" applyFill="1"/>
    <xf numFmtId="39" fontId="0" fillId="0" borderId="0" xfId="0" applyNumberFormat="1"/>
    <xf numFmtId="176" fontId="0" fillId="0" borderId="1" xfId="122" applyNumberFormat="1" applyFont="1" applyBorder="1">
      <protection locked="0"/>
    </xf>
    <xf numFmtId="176" fontId="0" fillId="0" borderId="1" xfId="85" applyNumberFormat="1" applyFont="1" applyBorder="1">
      <protection locked="0"/>
    </xf>
    <xf numFmtId="176" fontId="0" fillId="0" borderId="1" xfId="122" applyNumberFormat="1" applyFont="1" applyBorder="1" applyProtection="1"/>
    <xf numFmtId="0" fontId="3" fillId="0" borderId="0" xfId="0" applyFont="1" applyAlignment="1">
      <alignment horizontal="right"/>
    </xf>
    <xf numFmtId="4" fontId="0" fillId="65" borderId="61" xfId="0" applyNumberFormat="1" applyFill="1" applyBorder="1" applyProtection="1">
      <protection locked="0"/>
    </xf>
    <xf numFmtId="180" fontId="229" fillId="0" borderId="0" xfId="0" applyNumberFormat="1" applyFont="1"/>
    <xf numFmtId="0" fontId="0" fillId="0" borderId="0" xfId="0" applyAlignment="1">
      <alignment horizontal="left" vertical="center"/>
    </xf>
    <xf numFmtId="0" fontId="0" fillId="0" borderId="0" xfId="0" applyAlignment="1">
      <alignment horizontal="left" vertical="top" wrapText="1"/>
    </xf>
    <xf numFmtId="0" fontId="0" fillId="0" borderId="0" xfId="89" applyFont="1"/>
    <xf numFmtId="0" fontId="0" fillId="0" borderId="0" xfId="89" applyFont="1" applyAlignment="1">
      <alignment horizontal="left" indent="1"/>
    </xf>
    <xf numFmtId="0" fontId="293" fillId="0" borderId="0" xfId="57" applyFont="1" applyAlignment="1" applyProtection="1"/>
    <xf numFmtId="0" fontId="229" fillId="54" borderId="0" xfId="0" applyFont="1" applyFill="1"/>
    <xf numFmtId="0" fontId="240" fillId="54" borderId="0" xfId="0" applyFont="1" applyFill="1"/>
    <xf numFmtId="0" fontId="9" fillId="0" borderId="15" xfId="0" applyFont="1" applyBorder="1" applyAlignment="1">
      <alignment horizontal="center"/>
    </xf>
    <xf numFmtId="0" fontId="295" fillId="0" borderId="0" xfId="0" applyFont="1"/>
    <xf numFmtId="0" fontId="8" fillId="54" borderId="0" xfId="74" applyFill="1"/>
    <xf numFmtId="0" fontId="3" fillId="54" borderId="0" xfId="74" applyFont="1" applyFill="1"/>
    <xf numFmtId="4" fontId="8" fillId="0" borderId="0" xfId="74" applyNumberFormat="1"/>
    <xf numFmtId="185" fontId="3" fillId="55" borderId="3" xfId="0" applyNumberFormat="1" applyFont="1" applyFill="1" applyBorder="1"/>
    <xf numFmtId="185" fontId="0" fillId="55" borderId="3" xfId="0" applyNumberFormat="1" applyFill="1" applyBorder="1"/>
    <xf numFmtId="39" fontId="11" fillId="55" borderId="0" xfId="74" applyNumberFormat="1" applyFont="1" applyFill="1" applyProtection="1">
      <protection hidden="1"/>
    </xf>
    <xf numFmtId="43" fontId="8" fillId="0" borderId="0" xfId="74" applyNumberFormat="1"/>
    <xf numFmtId="180" fontId="3" fillId="55" borderId="0" xfId="0" applyNumberFormat="1" applyFont="1" applyFill="1"/>
    <xf numFmtId="180" fontId="0" fillId="55" borderId="0" xfId="0" applyNumberFormat="1" applyFill="1"/>
    <xf numFmtId="0" fontId="0" fillId="58" borderId="0" xfId="81" applyFont="1" applyFill="1" applyAlignment="1">
      <alignment horizontal="right"/>
    </xf>
    <xf numFmtId="0" fontId="0" fillId="58" borderId="0" xfId="81" applyFont="1" applyFill="1" applyAlignment="1">
      <alignment horizontal="left"/>
    </xf>
    <xf numFmtId="0" fontId="0" fillId="58" borderId="1" xfId="81" applyFont="1" applyFill="1" applyBorder="1" applyAlignment="1" applyProtection="1">
      <alignment horizontal="center"/>
      <protection locked="0"/>
    </xf>
    <xf numFmtId="176" fontId="0" fillId="0" borderId="0" xfId="122" applyNumberFormat="1" applyFont="1">
      <protection locked="0"/>
    </xf>
    <xf numFmtId="176" fontId="0" fillId="0" borderId="0" xfId="85" applyNumberFormat="1" applyFont="1">
      <protection locked="0"/>
    </xf>
    <xf numFmtId="0" fontId="3" fillId="0" borderId="18" xfId="86" applyFont="1" applyBorder="1"/>
    <xf numFmtId="170" fontId="3" fillId="0" borderId="0" xfId="29" applyNumberFormat="1" applyFont="1" applyBorder="1" applyProtection="1">
      <protection locked="0"/>
    </xf>
    <xf numFmtId="170" fontId="3" fillId="0" borderId="0" xfId="29" applyNumberFormat="1" applyFont="1" applyBorder="1"/>
    <xf numFmtId="0" fontId="5" fillId="0" borderId="0" xfId="86" applyFont="1"/>
    <xf numFmtId="39" fontId="5" fillId="0" borderId="0" xfId="0" applyNumberFormat="1" applyFont="1"/>
    <xf numFmtId="0" fontId="227" fillId="0" borderId="0" xfId="0" applyFont="1"/>
    <xf numFmtId="0" fontId="44" fillId="0" borderId="1" xfId="57" applyBorder="1" applyAlignment="1" applyProtection="1">
      <alignment horizontal="left"/>
      <protection locked="0"/>
    </xf>
    <xf numFmtId="0" fontId="243" fillId="0" borderId="0" xfId="0" applyFont="1" applyAlignment="1" applyProtection="1">
      <alignment horizontal="left"/>
      <protection locked="0"/>
    </xf>
    <xf numFmtId="14" fontId="243" fillId="0" borderId="0" xfId="0" applyNumberFormat="1" applyFont="1" applyAlignment="1" applyProtection="1">
      <alignment horizontal="center"/>
      <protection locked="0"/>
    </xf>
    <xf numFmtId="0" fontId="27" fillId="0" borderId="0" xfId="86" applyFont="1" applyProtection="1">
      <protection locked="0"/>
    </xf>
    <xf numFmtId="0" fontId="27" fillId="0" borderId="1" xfId="86" applyFont="1" applyBorder="1" applyAlignment="1">
      <alignment horizontal="right"/>
    </xf>
    <xf numFmtId="0" fontId="27" fillId="0" borderId="0" xfId="86" applyFont="1" applyAlignment="1" applyProtection="1">
      <alignment horizontal="center"/>
      <protection locked="0"/>
    </xf>
    <xf numFmtId="0" fontId="245" fillId="0" borderId="0" xfId="0" applyFont="1"/>
    <xf numFmtId="0" fontId="185" fillId="0" borderId="0" xfId="57" applyFont="1" applyBorder="1" applyAlignment="1" applyProtection="1">
      <alignment horizontal="center"/>
    </xf>
    <xf numFmtId="0" fontId="7" fillId="0" borderId="0" xfId="86" applyFont="1"/>
    <xf numFmtId="0" fontId="111" fillId="0" borderId="0" xfId="86" applyFont="1"/>
    <xf numFmtId="0" fontId="7" fillId="0" borderId="2" xfId="86" applyFont="1" applyBorder="1"/>
    <xf numFmtId="0" fontId="7" fillId="0" borderId="2" xfId="86" applyFont="1" applyBorder="1" applyAlignment="1" applyProtection="1">
      <alignment horizontal="center" shrinkToFit="1"/>
      <protection locked="0"/>
    </xf>
    <xf numFmtId="0" fontId="7" fillId="0" borderId="2" xfId="0" applyFont="1" applyBorder="1"/>
    <xf numFmtId="0" fontId="3" fillId="0" borderId="0" xfId="86" applyFont="1" applyAlignment="1" applyProtection="1">
      <alignment horizontal="center" shrinkToFit="1"/>
      <protection locked="0"/>
    </xf>
    <xf numFmtId="0" fontId="243" fillId="0" borderId="0" xfId="0" applyFont="1" applyAlignment="1">
      <alignment horizontal="right"/>
    </xf>
    <xf numFmtId="0" fontId="243" fillId="0" borderId="0" xfId="0" applyFont="1" applyAlignment="1">
      <alignment vertical="center"/>
    </xf>
    <xf numFmtId="15" fontId="243" fillId="0" borderId="1" xfId="0" quotePrefix="1" applyNumberFormat="1" applyFont="1" applyBorder="1" applyAlignment="1">
      <alignment horizontal="center"/>
    </xf>
    <xf numFmtId="15" fontId="243" fillId="0" borderId="0" xfId="0" quotePrefix="1" applyNumberFormat="1" applyFont="1" applyAlignment="1">
      <alignment horizontal="center"/>
    </xf>
    <xf numFmtId="0" fontId="243" fillId="0" borderId="0" xfId="0" applyFont="1" applyAlignment="1">
      <alignment vertical="center" wrapText="1"/>
    </xf>
    <xf numFmtId="0" fontId="245" fillId="0" borderId="0" xfId="0" applyFont="1" applyAlignment="1">
      <alignment horizontal="right"/>
    </xf>
    <xf numFmtId="43" fontId="245" fillId="0" borderId="0" xfId="0" applyNumberFormat="1" applyFont="1"/>
    <xf numFmtId="198" fontId="243" fillId="0" borderId="0" xfId="0" applyNumberFormat="1" applyFont="1" applyAlignment="1">
      <alignment horizontal="center"/>
    </xf>
    <xf numFmtId="0" fontId="243" fillId="0" borderId="0" xfId="0" quotePrefix="1" applyFont="1" applyAlignment="1">
      <alignment horizontal="center"/>
    </xf>
    <xf numFmtId="10" fontId="243" fillId="0" borderId="0" xfId="0" quotePrefix="1" applyNumberFormat="1" applyFont="1" applyAlignment="1">
      <alignment horizontal="center"/>
    </xf>
    <xf numFmtId="43" fontId="243" fillId="0" borderId="0" xfId="0" applyNumberFormat="1" applyFont="1" applyAlignment="1">
      <alignment horizontal="center"/>
    </xf>
    <xf numFmtId="198" fontId="243" fillId="0" borderId="14" xfId="0" applyNumberFormat="1" applyFont="1" applyBorder="1" applyAlignment="1">
      <alignment horizontal="center"/>
    </xf>
    <xf numFmtId="42" fontId="243" fillId="0" borderId="8" xfId="0" quotePrefix="1" applyNumberFormat="1" applyFont="1" applyBorder="1" applyAlignment="1">
      <alignment horizontal="center"/>
    </xf>
    <xf numFmtId="42" fontId="245" fillId="0" borderId="0" xfId="0" quotePrefix="1" applyNumberFormat="1" applyFont="1" applyAlignment="1">
      <alignment horizontal="center"/>
    </xf>
    <xf numFmtId="42" fontId="243" fillId="0" borderId="0" xfId="0" applyNumberFormat="1" applyFont="1" applyAlignment="1">
      <alignment horizontal="center"/>
    </xf>
    <xf numFmtId="43" fontId="243" fillId="0" borderId="8" xfId="0" applyNumberFormat="1" applyFont="1" applyBorder="1" applyAlignment="1">
      <alignment horizontal="center"/>
    </xf>
    <xf numFmtId="0" fontId="243" fillId="0" borderId="0" xfId="0" quotePrefix="1" applyFont="1" applyAlignment="1">
      <alignment horizontal="right"/>
    </xf>
    <xf numFmtId="0" fontId="243" fillId="0" borderId="0" xfId="0" applyFont="1" applyAlignment="1">
      <alignment horizontal="left"/>
    </xf>
    <xf numFmtId="39" fontId="3" fillId="0" borderId="0" xfId="0" applyNumberFormat="1" applyFont="1"/>
    <xf numFmtId="185" fontId="297" fillId="0" borderId="0" xfId="0" applyNumberFormat="1" applyFont="1"/>
    <xf numFmtId="185" fontId="0" fillId="66" borderId="3" xfId="0" applyNumberFormat="1" applyFill="1" applyBorder="1"/>
    <xf numFmtId="0" fontId="294" fillId="0" borderId="0" xfId="0" applyFont="1"/>
    <xf numFmtId="0" fontId="229" fillId="54" borderId="0" xfId="0" applyFont="1" applyFill="1" applyAlignment="1">
      <alignment wrapText="1"/>
    </xf>
    <xf numFmtId="0" fontId="240" fillId="54" borderId="15" xfId="0" applyFont="1" applyFill="1" applyBorder="1"/>
    <xf numFmtId="0" fontId="0" fillId="54" borderId="0" xfId="0" applyFill="1" applyAlignment="1">
      <alignment horizontal="center"/>
    </xf>
    <xf numFmtId="0" fontId="0" fillId="5" borderId="15" xfId="0" applyFill="1" applyBorder="1" applyAlignment="1">
      <alignment wrapText="1"/>
    </xf>
    <xf numFmtId="0" fontId="294" fillId="54" borderId="0" xfId="0" applyFont="1" applyFill="1" applyAlignment="1">
      <alignment vertical="top" wrapText="1"/>
    </xf>
    <xf numFmtId="0" fontId="294" fillId="8" borderId="0" xfId="0" applyFont="1" applyFill="1"/>
    <xf numFmtId="166" fontId="294" fillId="0" borderId="0" xfId="0" applyNumberFormat="1" applyFont="1"/>
    <xf numFmtId="44" fontId="3" fillId="0" borderId="1" xfId="40" applyFont="1" applyBorder="1" applyProtection="1">
      <protection locked="0"/>
    </xf>
    <xf numFmtId="0" fontId="0" fillId="0" borderId="0" xfId="107" applyFont="1" applyProtection="1">
      <protection hidden="1"/>
    </xf>
    <xf numFmtId="0" fontId="0" fillId="0" borderId="0" xfId="104" applyFont="1"/>
    <xf numFmtId="0" fontId="298" fillId="0" borderId="0" xfId="107" applyFont="1" applyAlignment="1" applyProtection="1">
      <alignment vertical="center"/>
      <protection hidden="1"/>
    </xf>
    <xf numFmtId="49" fontId="0" fillId="0" borderId="0" xfId="0" applyNumberFormat="1" applyAlignment="1">
      <alignment horizontal="left"/>
    </xf>
    <xf numFmtId="49" fontId="0" fillId="0" borderId="0" xfId="0" quotePrefix="1" applyNumberFormat="1" applyAlignment="1">
      <alignment horizontal="left"/>
    </xf>
    <xf numFmtId="0" fontId="3" fillId="0" borderId="0" xfId="57" applyFont="1" applyAlignment="1" applyProtection="1"/>
    <xf numFmtId="176" fontId="3" fillId="59" borderId="1" xfId="94" applyNumberFormat="1" applyFont="1" applyFill="1" applyBorder="1"/>
    <xf numFmtId="176" fontId="3" fillId="59" borderId="0" xfId="94" applyNumberFormat="1" applyFont="1" applyFill="1"/>
    <xf numFmtId="176" fontId="0" fillId="0" borderId="1" xfId="94" applyNumberFormat="1" applyFont="1" applyBorder="1" applyProtection="1">
      <protection locked="0"/>
    </xf>
    <xf numFmtId="176" fontId="0" fillId="0" borderId="0" xfId="94" applyNumberFormat="1" applyFont="1" applyProtection="1">
      <protection locked="0"/>
    </xf>
    <xf numFmtId="176" fontId="3" fillId="0" borderId="0" xfId="94" applyNumberFormat="1" applyFont="1" applyProtection="1">
      <protection locked="0"/>
    </xf>
    <xf numFmtId="0" fontId="299" fillId="0" borderId="0" xfId="0" applyFont="1"/>
    <xf numFmtId="0" fontId="3" fillId="0" borderId="0" xfId="111" applyFont="1" applyAlignment="1">
      <alignment horizontal="center" shrinkToFit="1"/>
    </xf>
    <xf numFmtId="0" fontId="3" fillId="0" borderId="0" xfId="112" applyFont="1" applyAlignment="1">
      <alignment horizontal="right"/>
    </xf>
    <xf numFmtId="176" fontId="3" fillId="0" borderId="17" xfId="104" applyNumberFormat="1" applyFont="1" applyBorder="1"/>
    <xf numFmtId="0" fontId="3" fillId="0" borderId="0" xfId="104" applyFont="1" applyProtection="1">
      <protection locked="0"/>
    </xf>
    <xf numFmtId="0" fontId="3" fillId="0" borderId="1" xfId="112" applyFont="1" applyBorder="1" applyAlignment="1" applyProtection="1">
      <alignment horizontal="center"/>
      <protection locked="0"/>
    </xf>
    <xf numFmtId="0" fontId="281" fillId="54" borderId="0" xfId="0" applyFont="1" applyFill="1"/>
    <xf numFmtId="164" fontId="13" fillId="0" borderId="0" xfId="106" applyNumberFormat="1" applyFont="1" applyProtection="1">
      <protection locked="0"/>
    </xf>
    <xf numFmtId="164" fontId="13" fillId="0" borderId="0" xfId="106" applyNumberFormat="1" applyFont="1" applyAlignment="1" applyProtection="1">
      <alignment horizontal="right"/>
      <protection locked="0"/>
    </xf>
    <xf numFmtId="0" fontId="63" fillId="0" borderId="0" xfId="115" applyFont="1"/>
    <xf numFmtId="0" fontId="3" fillId="0" borderId="0" xfId="86" applyFont="1" applyAlignment="1">
      <alignment shrinkToFit="1"/>
    </xf>
    <xf numFmtId="0" fontId="3" fillId="0" borderId="0" xfId="86" applyFont="1" applyAlignment="1" applyProtection="1">
      <alignment shrinkToFit="1"/>
      <protection locked="0"/>
    </xf>
    <xf numFmtId="0" fontId="7" fillId="0" borderId="0" xfId="86" applyFont="1" applyAlignment="1" applyProtection="1">
      <alignment shrinkToFit="1"/>
      <protection locked="0"/>
    </xf>
    <xf numFmtId="0" fontId="7" fillId="0" borderId="0" xfId="86" applyFont="1" applyAlignment="1">
      <alignment shrinkToFit="1"/>
    </xf>
    <xf numFmtId="0" fontId="287" fillId="54" borderId="0" xfId="0" applyFont="1" applyFill="1"/>
    <xf numFmtId="0" fontId="66" fillId="54" borderId="0" xfId="0" applyFont="1" applyFill="1"/>
    <xf numFmtId="176" fontId="0" fillId="3" borderId="1" xfId="84" applyNumberFormat="1" applyFont="1" applyFill="1" applyBorder="1"/>
    <xf numFmtId="0" fontId="0" fillId="0" borderId="0" xfId="114" applyFont="1"/>
    <xf numFmtId="0" fontId="0" fillId="0" borderId="0" xfId="95" applyFont="1"/>
    <xf numFmtId="49" fontId="0" fillId="0" borderId="1" xfId="114" applyNumberFormat="1" applyFont="1" applyBorder="1" applyAlignment="1">
      <alignment horizontal="center"/>
    </xf>
    <xf numFmtId="49" fontId="0" fillId="0" borderId="0" xfId="114" applyNumberFormat="1" applyFont="1" applyAlignment="1">
      <alignment horizontal="center"/>
    </xf>
    <xf numFmtId="0" fontId="0" fillId="0" borderId="0" xfId="114" applyFont="1" applyAlignment="1">
      <alignment horizontal="right"/>
    </xf>
    <xf numFmtId="0" fontId="0" fillId="0" borderId="0" xfId="114" applyFont="1" applyAlignment="1">
      <alignment horizontal="center"/>
    </xf>
    <xf numFmtId="0" fontId="0" fillId="0" borderId="0" xfId="114" applyFont="1" applyAlignment="1">
      <alignment shrinkToFit="1"/>
    </xf>
    <xf numFmtId="0" fontId="0" fillId="0" borderId="0" xfId="114" applyFont="1" applyAlignment="1">
      <alignment horizontal="center" shrinkToFit="1"/>
    </xf>
    <xf numFmtId="0" fontId="0" fillId="0" borderId="0" xfId="114" applyFont="1" applyProtection="1">
      <protection locked="0"/>
    </xf>
    <xf numFmtId="0" fontId="0" fillId="0" borderId="2" xfId="95" applyFont="1" applyBorder="1"/>
    <xf numFmtId="15" fontId="0" fillId="0" borderId="0" xfId="0" applyNumberFormat="1"/>
    <xf numFmtId="43" fontId="0" fillId="0" borderId="0" xfId="29" applyFont="1" applyAlignment="1" applyProtection="1">
      <alignment horizontal="center"/>
      <protection locked="0"/>
    </xf>
    <xf numFmtId="43" fontId="0" fillId="0" borderId="0" xfId="29" applyFont="1" applyAlignment="1">
      <alignment horizontal="center"/>
    </xf>
    <xf numFmtId="43" fontId="0" fillId="0" borderId="1" xfId="29" applyFont="1" applyBorder="1" applyAlignment="1" applyProtection="1">
      <alignment horizontal="center"/>
      <protection locked="0"/>
    </xf>
    <xf numFmtId="43" fontId="0" fillId="0" borderId="1" xfId="29" applyFont="1" applyBorder="1" applyAlignment="1">
      <alignment horizontal="center"/>
    </xf>
    <xf numFmtId="0" fontId="0" fillId="0" borderId="0" xfId="0" applyAlignment="1">
      <alignment horizontal="left" indent="1"/>
    </xf>
    <xf numFmtId="43" fontId="0" fillId="0" borderId="4" xfId="29" applyFont="1" applyBorder="1" applyAlignment="1">
      <alignment horizontal="center"/>
    </xf>
    <xf numFmtId="43" fontId="0" fillId="0" borderId="0" xfId="29" applyFont="1" applyBorder="1" applyAlignment="1">
      <alignment horizontal="center"/>
    </xf>
    <xf numFmtId="43" fontId="0" fillId="0" borderId="0" xfId="29" applyFont="1" applyBorder="1" applyAlignment="1" applyProtection="1">
      <alignment horizontal="center"/>
      <protection locked="0"/>
    </xf>
    <xf numFmtId="44" fontId="0" fillId="0" borderId="0" xfId="40" applyFont="1" applyBorder="1" applyAlignment="1">
      <alignment horizontal="center"/>
    </xf>
    <xf numFmtId="43" fontId="0" fillId="0" borderId="1" xfId="40" applyNumberFormat="1" applyFont="1" applyBorder="1" applyAlignment="1">
      <alignment horizontal="center"/>
    </xf>
    <xf numFmtId="44" fontId="0" fillId="0" borderId="3" xfId="29" applyNumberFormat="1" applyFont="1" applyBorder="1" applyAlignment="1">
      <alignment horizontal="center"/>
    </xf>
    <xf numFmtId="44" fontId="0" fillId="0" borderId="14" xfId="0" applyNumberFormat="1" applyBorder="1"/>
    <xf numFmtId="0" fontId="5" fillId="0" borderId="0" xfId="0" applyFont="1" applyAlignment="1">
      <alignment horizontal="left" indent="2"/>
    </xf>
    <xf numFmtId="43" fontId="0" fillId="0" borderId="4" xfId="0" applyNumberFormat="1" applyBorder="1" applyProtection="1">
      <protection locked="0"/>
    </xf>
    <xf numFmtId="176" fontId="16" fillId="0" borderId="1" xfId="39" applyNumberFormat="1" applyFont="1" applyFill="1" applyBorder="1" applyProtection="1">
      <protection locked="0"/>
    </xf>
    <xf numFmtId="0" fontId="0" fillId="0" borderId="0" xfId="88" applyFont="1"/>
    <xf numFmtId="43" fontId="3" fillId="54" borderId="0" xfId="29" applyFill="1"/>
    <xf numFmtId="180" fontId="3" fillId="54" borderId="0" xfId="75" applyNumberFormat="1" applyFill="1"/>
    <xf numFmtId="180" fontId="297" fillId="0" borderId="4" xfId="0" applyNumberFormat="1" applyFont="1" applyBorder="1"/>
    <xf numFmtId="180" fontId="300" fillId="0" borderId="1" xfId="0" applyNumberFormat="1" applyFont="1" applyBorder="1"/>
    <xf numFmtId="180" fontId="300" fillId="0" borderId="4" xfId="0" applyNumberFormat="1" applyFont="1" applyBorder="1"/>
    <xf numFmtId="179" fontId="16" fillId="0" borderId="0" xfId="0" applyNumberFormat="1" applyFont="1" applyProtection="1">
      <protection locked="0"/>
    </xf>
    <xf numFmtId="179" fontId="16" fillId="0" borderId="4" xfId="0" applyNumberFormat="1" applyFont="1" applyBorder="1" applyProtection="1">
      <protection locked="0"/>
    </xf>
    <xf numFmtId="180" fontId="0" fillId="7" borderId="1" xfId="0" applyNumberFormat="1" applyFill="1" applyBorder="1"/>
    <xf numFmtId="180" fontId="0" fillId="7" borderId="48" xfId="0" applyNumberFormat="1" applyFill="1" applyBorder="1"/>
    <xf numFmtId="0" fontId="257" fillId="6" borderId="0" xfId="0" applyFont="1" applyFill="1" applyAlignment="1">
      <alignment horizontal="center" wrapText="1"/>
    </xf>
    <xf numFmtId="0" fontId="229" fillId="54" borderId="15" xfId="0" applyFont="1" applyFill="1" applyBorder="1" applyAlignment="1">
      <alignment wrapText="1"/>
    </xf>
    <xf numFmtId="0" fontId="229" fillId="54" borderId="0" xfId="0" applyFont="1" applyFill="1" applyAlignment="1">
      <alignment horizontal="center"/>
    </xf>
    <xf numFmtId="185" fontId="297" fillId="0" borderId="0" xfId="75" applyNumberFormat="1" applyFont="1"/>
    <xf numFmtId="43" fontId="297" fillId="0" borderId="0" xfId="29" applyFont="1"/>
    <xf numFmtId="180" fontId="229" fillId="0" borderId="4" xfId="0" applyNumberFormat="1" applyFont="1" applyBorder="1"/>
    <xf numFmtId="0" fontId="257" fillId="6" borderId="0" xfId="0" applyFont="1" applyFill="1" applyAlignment="1">
      <alignment horizontal="left" wrapText="1"/>
    </xf>
    <xf numFmtId="0" fontId="243" fillId="0" borderId="0" xfId="0" applyFont="1" applyAlignment="1">
      <alignment horizontal="center" vertical="center"/>
    </xf>
    <xf numFmtId="0" fontId="243" fillId="0" borderId="1" xfId="0" applyFont="1" applyBorder="1" applyAlignment="1">
      <alignment horizontal="center" vertical="center"/>
    </xf>
    <xf numFmtId="164" fontId="13" fillId="0" borderId="1" xfId="106" applyNumberFormat="1" applyFont="1" applyBorder="1" applyAlignment="1" applyProtection="1">
      <alignment horizontal="center" vertical="center"/>
      <protection locked="0"/>
    </xf>
    <xf numFmtId="164" fontId="13" fillId="0" borderId="0" xfId="106" applyNumberFormat="1" applyFont="1" applyAlignment="1" applyProtection="1">
      <alignment horizontal="center" vertical="center"/>
      <protection locked="0"/>
    </xf>
    <xf numFmtId="175" fontId="13" fillId="0" borderId="1" xfId="106" applyNumberFormat="1" applyFont="1" applyBorder="1" applyAlignment="1" applyProtection="1">
      <alignment horizontal="center" vertical="center"/>
      <protection locked="0"/>
    </xf>
    <xf numFmtId="164" fontId="13" fillId="0" borderId="4" xfId="106" applyNumberFormat="1" applyFont="1" applyBorder="1" applyAlignment="1" applyProtection="1">
      <alignment horizontal="center" vertical="center"/>
      <protection locked="0"/>
    </xf>
    <xf numFmtId="175" fontId="13" fillId="0" borderId="4" xfId="106" applyNumberFormat="1" applyFont="1" applyBorder="1" applyAlignment="1" applyProtection="1">
      <alignment horizontal="center" vertical="center"/>
      <protection locked="0"/>
    </xf>
    <xf numFmtId="164" fontId="16" fillId="0" borderId="1" xfId="106" applyNumberFormat="1" applyFont="1" applyBorder="1" applyAlignment="1" applyProtection="1">
      <alignment horizontal="center" vertical="center"/>
      <protection locked="0"/>
    </xf>
    <xf numFmtId="164" fontId="16" fillId="0" borderId="4" xfId="106" applyNumberFormat="1" applyFont="1" applyBorder="1" applyAlignment="1" applyProtection="1">
      <alignment horizontal="center" vertical="center"/>
      <protection locked="0"/>
    </xf>
    <xf numFmtId="176" fontId="3" fillId="0" borderId="1" xfId="104" applyNumberFormat="1" applyFont="1" applyBorder="1" applyAlignment="1" applyProtection="1">
      <alignment horizontal="center" vertical="center"/>
      <protection locked="0"/>
    </xf>
    <xf numFmtId="176" fontId="3" fillId="0" borderId="4" xfId="104" applyNumberFormat="1" applyFont="1" applyBorder="1" applyAlignment="1" applyProtection="1">
      <alignment horizontal="center" vertical="center"/>
      <protection locked="0"/>
    </xf>
    <xf numFmtId="176" fontId="3" fillId="0" borderId="0" xfId="104" applyNumberFormat="1" applyFont="1" applyAlignment="1">
      <alignment horizontal="center" vertical="center"/>
    </xf>
    <xf numFmtId="197" fontId="3" fillId="0" borderId="0" xfId="106" applyNumberFormat="1" applyFont="1" applyAlignment="1">
      <alignment horizontal="center" vertical="center"/>
    </xf>
    <xf numFmtId="164" fontId="13" fillId="0" borderId="16" xfId="106" applyNumberFormat="1" applyFont="1" applyBorder="1" applyAlignment="1">
      <alignment horizontal="center" vertical="center"/>
    </xf>
    <xf numFmtId="164" fontId="13" fillId="0" borderId="0" xfId="106" applyNumberFormat="1" applyFont="1" applyAlignment="1">
      <alignment horizontal="center" vertical="center"/>
    </xf>
    <xf numFmtId="164" fontId="3" fillId="0" borderId="0" xfId="106" applyNumberFormat="1" applyFont="1" applyAlignment="1">
      <alignment horizontal="center" vertical="center"/>
    </xf>
    <xf numFmtId="164" fontId="3" fillId="0" borderId="0" xfId="106" quotePrefix="1" applyNumberFormat="1" applyFont="1" applyAlignment="1">
      <alignment horizontal="center" vertical="center"/>
    </xf>
    <xf numFmtId="164" fontId="3" fillId="0" borderId="2" xfId="106" applyNumberFormat="1" applyFont="1" applyBorder="1" applyAlignment="1">
      <alignment horizontal="center" vertical="center"/>
    </xf>
    <xf numFmtId="176" fontId="3" fillId="0" borderId="8" xfId="104" applyNumberFormat="1" applyFont="1" applyBorder="1" applyAlignment="1">
      <alignment horizontal="center" vertical="center"/>
    </xf>
    <xf numFmtId="197" fontId="3" fillId="0" borderId="2" xfId="106" applyNumberFormat="1" applyFont="1" applyBorder="1" applyAlignment="1">
      <alignment horizontal="center" vertical="center"/>
    </xf>
    <xf numFmtId="176" fontId="3" fillId="0" borderId="4" xfId="122" applyNumberFormat="1" applyFont="1" applyBorder="1" applyProtection="1"/>
    <xf numFmtId="198" fontId="243" fillId="0" borderId="1" xfId="0" applyNumberFormat="1" applyFont="1" applyBorder="1" applyAlignment="1" applyProtection="1">
      <alignment horizontal="center"/>
      <protection locked="0"/>
    </xf>
    <xf numFmtId="198" fontId="243" fillId="0" borderId="4" xfId="0" applyNumberFormat="1" applyFont="1" applyBorder="1" applyAlignment="1" applyProtection="1">
      <alignment horizontal="center"/>
      <protection locked="0"/>
    </xf>
    <xf numFmtId="2" fontId="243" fillId="0" borderId="1" xfId="0" quotePrefix="1" applyNumberFormat="1" applyFont="1" applyBorder="1" applyAlignment="1" applyProtection="1">
      <alignment horizontal="center"/>
      <protection locked="0"/>
    </xf>
    <xf numFmtId="2" fontId="243" fillId="0" borderId="1" xfId="0" applyNumberFormat="1" applyFont="1" applyBorder="1" applyAlignment="1" applyProtection="1">
      <alignment horizontal="center"/>
      <protection locked="0"/>
    </xf>
    <xf numFmtId="10" fontId="243" fillId="0" borderId="1" xfId="130" applyNumberFormat="1" applyFont="1" applyBorder="1" applyAlignment="1" applyProtection="1">
      <alignment horizontal="center"/>
      <protection locked="0"/>
    </xf>
    <xf numFmtId="10" fontId="243" fillId="0" borderId="1" xfId="130" quotePrefix="1" applyNumberFormat="1" applyFont="1" applyBorder="1" applyAlignment="1" applyProtection="1">
      <alignment horizontal="center"/>
      <protection locked="0"/>
    </xf>
    <xf numFmtId="0" fontId="0" fillId="0" borderId="0" xfId="139" applyFont="1" applyAlignment="1">
      <alignment horizontal="centerContinuous"/>
    </xf>
    <xf numFmtId="0" fontId="0" fillId="0" borderId="0" xfId="139" applyFont="1"/>
    <xf numFmtId="0" fontId="0" fillId="0" borderId="2" xfId="139" applyFont="1" applyBorder="1"/>
    <xf numFmtId="0" fontId="0" fillId="0" borderId="2" xfId="139" applyFont="1" applyBorder="1" applyAlignment="1">
      <alignment horizontal="right"/>
    </xf>
    <xf numFmtId="0" fontId="0" fillId="0" borderId="0" xfId="139" applyFont="1" applyAlignment="1">
      <alignment horizontal="right"/>
    </xf>
    <xf numFmtId="0" fontId="0" fillId="0" borderId="0" xfId="108" applyFont="1" applyProtection="1">
      <protection hidden="1"/>
    </xf>
    <xf numFmtId="49" fontId="0" fillId="0" borderId="1" xfId="139" applyNumberFormat="1" applyFont="1" applyBorder="1" applyAlignment="1" applyProtection="1">
      <alignment horizontal="center"/>
      <protection locked="0"/>
    </xf>
    <xf numFmtId="0" fontId="0" fillId="0" borderId="0" xfId="139" applyFont="1" applyAlignment="1">
      <alignment horizontal="center"/>
    </xf>
    <xf numFmtId="0" fontId="0" fillId="0" borderId="1" xfId="139" applyFont="1" applyBorder="1" applyAlignment="1" applyProtection="1">
      <alignment horizontal="center"/>
      <protection locked="0"/>
    </xf>
    <xf numFmtId="176" fontId="0" fillId="0" borderId="1" xfId="139" applyNumberFormat="1" applyFont="1" applyBorder="1" applyProtection="1">
      <protection locked="0"/>
    </xf>
    <xf numFmtId="176" fontId="0" fillId="0" borderId="2" xfId="139" applyNumberFormat="1" applyFont="1" applyBorder="1"/>
    <xf numFmtId="0" fontId="0" fillId="0" borderId="0" xfId="139" applyFont="1" applyAlignment="1">
      <alignment vertical="center"/>
    </xf>
    <xf numFmtId="176" fontId="0" fillId="0" borderId="0" xfId="139" applyNumberFormat="1" applyFont="1" applyAlignment="1">
      <alignment vertical="center"/>
    </xf>
    <xf numFmtId="0" fontId="44" fillId="0" borderId="0" xfId="57" applyFont="1" applyAlignment="1" applyProtection="1"/>
    <xf numFmtId="0" fontId="3" fillId="0" borderId="0" xfId="88" applyFont="1" applyProtection="1">
      <protection locked="0"/>
    </xf>
    <xf numFmtId="176" fontId="0" fillId="0" borderId="1" xfId="84" applyNumberFormat="1" applyFont="1" applyBorder="1"/>
    <xf numFmtId="0" fontId="10" fillId="0" borderId="0" xfId="0" applyFont="1" applyAlignment="1">
      <alignment horizontal="center"/>
    </xf>
    <xf numFmtId="164" fontId="71" fillId="0" borderId="0" xfId="57" applyNumberFormat="1" applyFont="1" applyAlignment="1" applyProtection="1">
      <alignment horizontal="center"/>
    </xf>
    <xf numFmtId="0" fontId="173" fillId="0" borderId="23" xfId="57" applyFont="1" applyBorder="1" applyAlignment="1" applyProtection="1"/>
    <xf numFmtId="0" fontId="173" fillId="0" borderId="4" xfId="57" applyFont="1" applyBorder="1" applyAlignment="1" applyProtection="1"/>
    <xf numFmtId="0" fontId="173" fillId="0" borderId="33" xfId="57" applyFont="1" applyBorder="1" applyAlignment="1" applyProtection="1"/>
    <xf numFmtId="0" fontId="138" fillId="0" borderId="4" xfId="0" applyFont="1" applyBorder="1"/>
    <xf numFmtId="0" fontId="44" fillId="0" borderId="23" xfId="57" applyBorder="1" applyAlignment="1" applyProtection="1"/>
    <xf numFmtId="0" fontId="44" fillId="0" borderId="4" xfId="57" applyBorder="1" applyAlignment="1" applyProtection="1"/>
    <xf numFmtId="0" fontId="44" fillId="0" borderId="33" xfId="57" applyBorder="1" applyAlignment="1" applyProtection="1"/>
    <xf numFmtId="0" fontId="83" fillId="0" borderId="23" xfId="57" applyFont="1" applyBorder="1" applyAlignment="1" applyProtection="1"/>
    <xf numFmtId="0" fontId="83" fillId="0" borderId="4" xfId="57" applyFont="1" applyBorder="1" applyAlignment="1" applyProtection="1"/>
    <xf numFmtId="0" fontId="83" fillId="0" borderId="33" xfId="57" applyFont="1" applyBorder="1" applyAlignment="1" applyProtection="1"/>
    <xf numFmtId="0" fontId="173" fillId="0" borderId="0" xfId="0" applyFont="1" applyAlignment="1">
      <alignment horizontal="center"/>
    </xf>
    <xf numFmtId="0" fontId="181" fillId="0" borderId="23" xfId="0" applyFont="1" applyBorder="1"/>
    <xf numFmtId="0" fontId="182" fillId="0" borderId="0" xfId="0" applyFont="1" applyAlignment="1">
      <alignment horizontal="center"/>
    </xf>
    <xf numFmtId="0" fontId="175" fillId="0" borderId="15" xfId="0" applyFont="1" applyBorder="1" applyAlignment="1">
      <alignment horizontal="center"/>
    </xf>
    <xf numFmtId="0" fontId="4" fillId="0" borderId="0" xfId="0" applyFont="1" applyAlignment="1">
      <alignment horizontal="center"/>
    </xf>
    <xf numFmtId="0" fontId="5" fillId="6" borderId="0" xfId="0" applyFont="1" applyFill="1"/>
    <xf numFmtId="0" fontId="0" fillId="0" borderId="1" xfId="0" applyBorder="1" applyProtection="1">
      <protection locked="0"/>
    </xf>
    <xf numFmtId="0" fontId="9" fillId="0" borderId="1" xfId="115" applyBorder="1" applyAlignment="1" applyProtection="1">
      <alignment horizontal="center"/>
      <protection locked="0"/>
    </xf>
    <xf numFmtId="0" fontId="22" fillId="0" borderId="0" xfId="115" applyFont="1" applyAlignment="1">
      <alignment horizontal="center"/>
    </xf>
    <xf numFmtId="164" fontId="4" fillId="0" borderId="0" xfId="99" applyNumberFormat="1" applyFont="1" applyAlignment="1">
      <alignment horizontal="center"/>
    </xf>
    <xf numFmtId="0" fontId="71" fillId="0" borderId="0" xfId="57" applyFont="1" applyAlignment="1" applyProtection="1">
      <alignment horizontal="center"/>
    </xf>
    <xf numFmtId="0" fontId="55" fillId="0" borderId="0" xfId="115" applyFont="1" applyAlignment="1">
      <alignment horizontal="center" vertical="center"/>
    </xf>
    <xf numFmtId="0" fontId="4" fillId="0" borderId="0" xfId="86" applyFont="1" applyAlignment="1">
      <alignment horizontal="center"/>
    </xf>
    <xf numFmtId="164" fontId="3" fillId="0" borderId="0" xfId="99" applyNumberFormat="1"/>
    <xf numFmtId="0" fontId="3" fillId="0" borderId="1" xfId="115" applyFont="1" applyBorder="1" applyAlignment="1" applyProtection="1">
      <alignment horizontal="left"/>
      <protection locked="0"/>
    </xf>
    <xf numFmtId="0" fontId="54" fillId="0" borderId="0" xfId="115" applyFont="1" applyAlignment="1">
      <alignment horizontal="center" vertical="center"/>
    </xf>
    <xf numFmtId="164" fontId="66" fillId="0" borderId="0" xfId="99" applyNumberFormat="1" applyFont="1" applyAlignment="1">
      <alignment horizontal="center"/>
    </xf>
    <xf numFmtId="0" fontId="3" fillId="0" borderId="0" xfId="0" applyFont="1" applyAlignment="1">
      <alignment horizontal="left" vertical="center"/>
    </xf>
    <xf numFmtId="0" fontId="40" fillId="0" borderId="0" xfId="82" applyNumberFormat="1" applyFont="1" applyProtection="1"/>
    <xf numFmtId="0" fontId="4" fillId="0" borderId="0" xfId="115" applyFont="1" applyAlignment="1">
      <alignment horizontal="center"/>
    </xf>
    <xf numFmtId="0" fontId="243" fillId="0" borderId="1" xfId="0" applyFont="1" applyBorder="1" applyAlignment="1" applyProtection="1">
      <alignment horizontal="center"/>
      <protection locked="0"/>
    </xf>
    <xf numFmtId="14" fontId="243" fillId="0" borderId="1" xfId="0" applyNumberFormat="1" applyFont="1" applyBorder="1" applyAlignment="1" applyProtection="1">
      <alignment horizontal="center"/>
      <protection locked="0"/>
    </xf>
    <xf numFmtId="4" fontId="3" fillId="0" borderId="0" xfId="115" applyNumberFormat="1" applyFont="1" applyAlignment="1" applyProtection="1">
      <alignment horizontal="center"/>
      <protection locked="0"/>
    </xf>
    <xf numFmtId="49" fontId="150" fillId="0" borderId="0" xfId="57" applyNumberFormat="1" applyFont="1" applyAlignment="1" applyProtection="1">
      <alignment horizontal="left"/>
    </xf>
    <xf numFmtId="49" fontId="5" fillId="0" borderId="0" xfId="0" applyNumberFormat="1" applyFont="1" applyAlignment="1">
      <alignment horizontal="left"/>
    </xf>
    <xf numFmtId="0" fontId="5" fillId="0" borderId="0" xfId="0" applyFont="1" applyAlignment="1">
      <alignment horizontal="left" wrapText="1"/>
    </xf>
    <xf numFmtId="0" fontId="257" fillId="6" borderId="0" xfId="0" applyFont="1" applyFill="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257" fillId="0" borderId="0" xfId="0" applyFont="1" applyAlignment="1">
      <alignment horizontal="center"/>
    </xf>
    <xf numFmtId="0" fontId="243" fillId="0" borderId="0" xfId="0" applyFont="1" applyAlignment="1">
      <alignment horizontal="center" vertical="center" wrapText="1"/>
    </xf>
    <xf numFmtId="0" fontId="243" fillId="0" borderId="1" xfId="0" applyFont="1" applyBorder="1" applyAlignment="1">
      <alignment horizontal="center" vertical="center" wrapText="1"/>
    </xf>
    <xf numFmtId="0" fontId="243" fillId="0" borderId="1" xfId="0" applyFont="1" applyBorder="1" applyAlignment="1">
      <alignment horizontal="center"/>
    </xf>
    <xf numFmtId="0" fontId="4" fillId="0" borderId="0" xfId="88" applyFont="1" applyAlignment="1">
      <alignment horizontal="center"/>
    </xf>
    <xf numFmtId="0" fontId="12" fillId="0" borderId="0" xfId="88" applyFont="1" applyAlignment="1">
      <alignment horizontal="center"/>
    </xf>
    <xf numFmtId="0" fontId="16" fillId="0" borderId="0" xfId="88" applyFont="1" applyAlignment="1">
      <alignment horizontal="center" wrapText="1" shrinkToFit="1"/>
    </xf>
    <xf numFmtId="0" fontId="3" fillId="0" borderId="0" xfId="84" applyFont="1"/>
    <xf numFmtId="0" fontId="4" fillId="0" borderId="0" xfId="115" applyFont="1" applyAlignment="1">
      <alignment horizontal="center" vertical="center"/>
    </xf>
    <xf numFmtId="0" fontId="3" fillId="0" borderId="1" xfId="0" applyFont="1" applyBorder="1" applyAlignment="1" applyProtection="1">
      <alignment horizontal="center"/>
      <protection locked="0"/>
    </xf>
    <xf numFmtId="0" fontId="3" fillId="0" borderId="0" xfId="0" applyFont="1" applyAlignment="1">
      <alignment horizontal="left"/>
    </xf>
    <xf numFmtId="0" fontId="0" fillId="0" borderId="0" xfId="0" applyAlignment="1">
      <alignment vertical="top" wrapText="1"/>
    </xf>
    <xf numFmtId="164" fontId="3" fillId="0" borderId="4" xfId="0" applyNumberFormat="1" applyFont="1" applyBorder="1" applyAlignment="1" applyProtection="1">
      <alignment horizontal="center" shrinkToFit="1"/>
      <protection locked="0"/>
    </xf>
    <xf numFmtId="0" fontId="3" fillId="0" borderId="0" xfId="0" applyFont="1" applyAlignment="1">
      <alignment horizontal="center"/>
    </xf>
    <xf numFmtId="0" fontId="3" fillId="0" borderId="4" xfId="0" applyFont="1" applyBorder="1" applyProtection="1">
      <protection locked="0"/>
    </xf>
    <xf numFmtId="0" fontId="3" fillId="0" borderId="4" xfId="0" applyFont="1" applyBorder="1"/>
    <xf numFmtId="0" fontId="5" fillId="0" borderId="0" xfId="0" applyFont="1" applyAlignment="1" applyProtection="1">
      <alignment horizontal="right"/>
      <protection locked="0"/>
    </xf>
    <xf numFmtId="0" fontId="3" fillId="0" borderId="0" xfId="0" applyFont="1" applyAlignment="1" applyProtection="1">
      <alignment horizontal="center"/>
      <protection locked="0"/>
    </xf>
    <xf numFmtId="0" fontId="3" fillId="0" borderId="1" xfId="0" applyFont="1" applyBorder="1" applyProtection="1">
      <protection locked="0"/>
    </xf>
    <xf numFmtId="0" fontId="0" fillId="0" borderId="1" xfId="0" applyBorder="1"/>
    <xf numFmtId="0" fontId="3" fillId="0" borderId="1" xfId="0" applyFont="1" applyBorder="1"/>
    <xf numFmtId="49" fontId="100" fillId="0" borderId="0" xfId="0" applyNumberFormat="1" applyFont="1"/>
    <xf numFmtId="0" fontId="3" fillId="0" borderId="1" xfId="89" applyFont="1" applyBorder="1" applyAlignment="1">
      <alignment horizontal="center"/>
    </xf>
    <xf numFmtId="49" fontId="150" fillId="0" borderId="0" xfId="57" applyNumberFormat="1" applyFont="1" applyAlignment="1" applyProtection="1"/>
    <xf numFmtId="0" fontId="150" fillId="0" borderId="0" xfId="57" applyFont="1" applyAlignment="1" applyProtection="1"/>
    <xf numFmtId="185" fontId="3" fillId="0" borderId="0" xfId="115" applyNumberFormat="1" applyFont="1" applyAlignment="1">
      <alignment horizontal="center"/>
    </xf>
    <xf numFmtId="0" fontId="5" fillId="8" borderId="0" xfId="94" applyFont="1" applyFill="1"/>
    <xf numFmtId="0" fontId="3" fillId="0" borderId="0" xfId="89" applyFont="1" applyAlignment="1">
      <alignment horizontal="center"/>
    </xf>
    <xf numFmtId="0" fontId="5" fillId="0" borderId="1" xfId="0" applyFont="1" applyBorder="1" applyAlignment="1">
      <alignment horizontal="center"/>
    </xf>
    <xf numFmtId="0" fontId="0" fillId="0" borderId="4" xfId="0" applyBorder="1"/>
    <xf numFmtId="0" fontId="3" fillId="0" borderId="0" xfId="0" applyFont="1" applyAlignment="1">
      <alignment wrapText="1"/>
    </xf>
    <xf numFmtId="164" fontId="3" fillId="0" borderId="0" xfId="99" applyNumberFormat="1" applyAlignment="1">
      <alignment horizontal="center"/>
    </xf>
    <xf numFmtId="0" fontId="3" fillId="0" borderId="0" xfId="102" applyFont="1"/>
    <xf numFmtId="0" fontId="100" fillId="0" borderId="0" xfId="0" applyFont="1" applyAlignment="1">
      <alignment horizontal="left"/>
    </xf>
    <xf numFmtId="0" fontId="3" fillId="0" borderId="1" xfId="0" applyFont="1" applyBorder="1" applyAlignment="1">
      <alignment horizontal="center"/>
    </xf>
    <xf numFmtId="0" fontId="159" fillId="0" borderId="0" xfId="0" applyFont="1"/>
    <xf numFmtId="0" fontId="0" fillId="0" borderId="8" xfId="0" applyBorder="1"/>
    <xf numFmtId="0" fontId="89" fillId="6" borderId="0" xfId="115" applyFont="1" applyFill="1" applyAlignment="1">
      <alignment horizontal="left"/>
    </xf>
    <xf numFmtId="176" fontId="3" fillId="0" borderId="1" xfId="0" applyNumberFormat="1" applyFont="1" applyBorder="1" applyProtection="1">
      <protection locked="0"/>
    </xf>
    <xf numFmtId="164" fontId="3" fillId="0" borderId="0" xfId="0" applyNumberFormat="1" applyFont="1" applyAlignment="1">
      <alignment horizontal="center"/>
    </xf>
    <xf numFmtId="0" fontId="0" fillId="6" borderId="0" xfId="0" applyFill="1"/>
    <xf numFmtId="0" fontId="5" fillId="0" borderId="0" xfId="0" applyFont="1" applyAlignment="1">
      <alignment horizontal="right"/>
    </xf>
    <xf numFmtId="164" fontId="3" fillId="0" borderId="4" xfId="69" applyNumberFormat="1" applyFont="1" applyBorder="1" applyAlignment="1" applyProtection="1">
      <alignment horizontal="center" shrinkToFit="1"/>
      <protection locked="0"/>
    </xf>
    <xf numFmtId="164" fontId="3" fillId="0" borderId="0" xfId="69" applyNumberFormat="1" applyFont="1" applyAlignment="1">
      <alignment horizontal="center" shrinkToFit="1"/>
    </xf>
    <xf numFmtId="164" fontId="3" fillId="0" borderId="1" xfId="69" applyNumberFormat="1" applyFont="1" applyBorder="1" applyAlignment="1">
      <alignment horizontal="center" shrinkToFit="1"/>
    </xf>
    <xf numFmtId="0" fontId="35" fillId="0" borderId="0" xfId="81" applyFont="1" applyAlignment="1" applyProtection="1">
      <alignment horizontal="left"/>
      <protection locked="0"/>
    </xf>
    <xf numFmtId="0" fontId="3" fillId="0" borderId="0" xfId="0" applyFont="1" applyAlignment="1">
      <alignment horizontal="left" indent="1"/>
    </xf>
    <xf numFmtId="0" fontId="3" fillId="58" borderId="0" xfId="0" applyFont="1" applyFill="1" applyAlignment="1">
      <alignment horizontal="left"/>
    </xf>
    <xf numFmtId="0" fontId="3" fillId="58" borderId="0" xfId="0" applyFont="1" applyFill="1"/>
    <xf numFmtId="0" fontId="0" fillId="58" borderId="0" xfId="0" applyFill="1" applyAlignment="1">
      <alignment horizontal="center"/>
    </xf>
    <xf numFmtId="164" fontId="3" fillId="58" borderId="0" xfId="69" applyNumberFormat="1" applyFont="1" applyFill="1" applyAlignment="1">
      <alignment horizontal="center" shrinkToFit="1"/>
    </xf>
    <xf numFmtId="164" fontId="3" fillId="58" borderId="1" xfId="69" applyNumberFormat="1" applyFont="1" applyFill="1" applyBorder="1" applyAlignment="1" applyProtection="1">
      <alignment horizontal="center" shrinkToFit="1"/>
      <protection locked="0"/>
    </xf>
    <xf numFmtId="0" fontId="5" fillId="58" borderId="0" xfId="0" applyFont="1" applyFill="1" applyAlignment="1">
      <alignment horizontal="left"/>
    </xf>
    <xf numFmtId="0" fontId="35" fillId="58" borderId="0" xfId="81" applyFont="1" applyFill="1" applyAlignment="1" applyProtection="1">
      <alignment horizontal="left"/>
      <protection locked="0"/>
    </xf>
    <xf numFmtId="0" fontId="3" fillId="0" borderId="0" xfId="69" applyFont="1" applyProtection="1">
      <protection locked="0"/>
    </xf>
    <xf numFmtId="0" fontId="5" fillId="0" borderId="0" xfId="69" applyFont="1"/>
    <xf numFmtId="0" fontId="5" fillId="0" borderId="1" xfId="69" applyFont="1" applyBorder="1" applyAlignment="1">
      <alignment horizontal="center"/>
    </xf>
    <xf numFmtId="0" fontId="211" fillId="0" borderId="11" xfId="69" applyBorder="1"/>
    <xf numFmtId="0" fontId="196" fillId="0" borderId="0" xfId="69" applyFont="1" applyAlignment="1">
      <alignment wrapText="1"/>
    </xf>
    <xf numFmtId="0" fontId="3" fillId="0" borderId="0" xfId="69" applyFont="1"/>
    <xf numFmtId="0" fontId="94" fillId="0" borderId="0" xfId="69" applyFont="1" applyAlignment="1">
      <alignment horizontal="right"/>
    </xf>
    <xf numFmtId="0" fontId="4" fillId="0" borderId="0" xfId="91" applyFont="1" applyAlignment="1">
      <alignment horizontal="center"/>
    </xf>
    <xf numFmtId="0" fontId="4" fillId="0" borderId="0" xfId="90" applyFont="1" applyAlignment="1">
      <alignment horizontal="center"/>
    </xf>
    <xf numFmtId="0" fontId="89" fillId="6" borderId="0" xfId="115" applyFont="1" applyFill="1" applyAlignment="1" applyProtection="1">
      <alignment horizontal="left"/>
      <protection locked="0"/>
    </xf>
    <xf numFmtId="0" fontId="3" fillId="0" borderId="0" xfId="81" applyFont="1" applyAlignment="1">
      <alignment horizontal="center"/>
    </xf>
    <xf numFmtId="176" fontId="3" fillId="0" borderId="4" xfId="81" applyNumberFormat="1" applyFont="1" applyBorder="1" applyProtection="1">
      <protection locked="0"/>
    </xf>
    <xf numFmtId="0" fontId="3" fillId="0" borderId="4" xfId="81" applyFont="1" applyBorder="1"/>
    <xf numFmtId="16" fontId="3" fillId="0" borderId="0" xfId="81" applyNumberFormat="1" applyFont="1" applyAlignment="1">
      <alignment horizontal="center"/>
    </xf>
    <xf numFmtId="0" fontId="3" fillId="0" borderId="0" xfId="81" applyFont="1" applyAlignment="1">
      <alignment horizontal="left"/>
    </xf>
    <xf numFmtId="189" fontId="3" fillId="0" borderId="0" xfId="81" applyNumberFormat="1" applyFont="1" applyAlignment="1">
      <alignment horizontal="center"/>
    </xf>
    <xf numFmtId="0" fontId="3" fillId="0" borderId="1" xfId="81" applyFont="1" applyBorder="1" applyAlignment="1">
      <alignment horizontal="center"/>
    </xf>
    <xf numFmtId="164" fontId="4" fillId="0" borderId="0" xfId="0" applyNumberFormat="1" applyFont="1" applyAlignment="1">
      <alignment horizontal="center"/>
    </xf>
    <xf numFmtId="0" fontId="3" fillId="0" borderId="0" xfId="81" applyFont="1" applyProtection="1">
      <protection locked="0"/>
    </xf>
    <xf numFmtId="176" fontId="3" fillId="0" borderId="0" xfId="81" applyNumberFormat="1" applyFont="1" applyProtection="1">
      <protection locked="0"/>
    </xf>
    <xf numFmtId="0" fontId="3" fillId="0" borderId="1" xfId="81" applyFont="1" applyBorder="1" applyAlignment="1" applyProtection="1">
      <alignment horizontal="center"/>
      <protection locked="0"/>
    </xf>
    <xf numFmtId="0" fontId="3" fillId="0" borderId="0" xfId="88" applyFont="1" applyProtection="1">
      <protection hidden="1"/>
    </xf>
    <xf numFmtId="0" fontId="3" fillId="0" borderId="0" xfId="81" applyFont="1" applyAlignment="1" applyProtection="1">
      <alignment horizontal="left"/>
      <protection locked="0"/>
    </xf>
    <xf numFmtId="0" fontId="56" fillId="0" borderId="0" xfId="81" applyFont="1"/>
    <xf numFmtId="0" fontId="56" fillId="0" borderId="0" xfId="0" applyFont="1"/>
    <xf numFmtId="0" fontId="3" fillId="0" borderId="1" xfId="107" applyFont="1" applyBorder="1" applyAlignment="1" applyProtection="1">
      <alignment horizontal="center" shrinkToFit="1"/>
      <protection locked="0"/>
    </xf>
    <xf numFmtId="0" fontId="4" fillId="0" borderId="0" xfId="107" applyFont="1" applyAlignment="1">
      <alignment horizontal="center"/>
    </xf>
    <xf numFmtId="0" fontId="5" fillId="0" borderId="2" xfId="109" applyFont="1" applyBorder="1" applyAlignment="1" applyProtection="1">
      <alignment horizontal="center"/>
      <protection locked="0"/>
    </xf>
    <xf numFmtId="0" fontId="5" fillId="0" borderId="2" xfId="108" applyFont="1" applyBorder="1" applyAlignment="1">
      <alignment horizontal="center"/>
    </xf>
    <xf numFmtId="0" fontId="6" fillId="0" borderId="0" xfId="110" applyFont="1" applyAlignment="1">
      <alignment horizontal="left"/>
    </xf>
    <xf numFmtId="0" fontId="3" fillId="0" borderId="1" xfId="139" applyFont="1" applyBorder="1" applyAlignment="1">
      <alignment horizontal="left" shrinkToFit="1"/>
    </xf>
    <xf numFmtId="0" fontId="5" fillId="0" borderId="2" xfId="139" applyFont="1" applyBorder="1" applyAlignment="1">
      <alignment horizontal="center"/>
    </xf>
    <xf numFmtId="0" fontId="5" fillId="0" borderId="0" xfId="139" applyFont="1" applyAlignment="1">
      <alignment horizontal="center" vertical="center"/>
    </xf>
    <xf numFmtId="0" fontId="3" fillId="0" borderId="0" xfId="139" applyFont="1" applyAlignment="1">
      <alignment horizontal="left"/>
    </xf>
    <xf numFmtId="0" fontId="0" fillId="0" borderId="0" xfId="139" applyFont="1" applyAlignment="1">
      <alignment horizontal="left"/>
    </xf>
    <xf numFmtId="0" fontId="54" fillId="0" borderId="0" xfId="139" applyFont="1" applyAlignment="1">
      <alignment horizontal="center" vertical="center"/>
    </xf>
    <xf numFmtId="0" fontId="3" fillId="0" borderId="1" xfId="111" applyFont="1" applyBorder="1" applyAlignment="1">
      <alignment horizontal="center" shrinkToFit="1"/>
    </xf>
    <xf numFmtId="0" fontId="43" fillId="0" borderId="0" xfId="81" applyFont="1" applyAlignment="1">
      <alignment horizontal="center"/>
    </xf>
    <xf numFmtId="0" fontId="35" fillId="0" borderId="1" xfId="81" applyFont="1" applyBorder="1" applyAlignment="1">
      <alignment horizontal="center"/>
    </xf>
    <xf numFmtId="0" fontId="35" fillId="0" borderId="0" xfId="81" applyFont="1" applyAlignment="1">
      <alignment horizontal="left"/>
    </xf>
    <xf numFmtId="0" fontId="3" fillId="0" borderId="0" xfId="92" applyFont="1"/>
    <xf numFmtId="0" fontId="3" fillId="0" borderId="0" xfId="92" applyFont="1" applyAlignment="1">
      <alignment vertical="top" wrapText="1"/>
    </xf>
    <xf numFmtId="0" fontId="5" fillId="0" borderId="0" xfId="92" applyFont="1" applyAlignment="1">
      <alignment horizontal="center"/>
    </xf>
    <xf numFmtId="172" fontId="5" fillId="0" borderId="0" xfId="92" applyNumberFormat="1" applyFont="1" applyAlignment="1">
      <alignment horizontal="center"/>
    </xf>
    <xf numFmtId="0" fontId="3" fillId="0" borderId="4" xfId="90" applyFont="1" applyBorder="1" applyAlignment="1">
      <alignment horizontal="center" shrinkToFit="1"/>
    </xf>
    <xf numFmtId="0" fontId="3" fillId="0" borderId="0" xfId="0" applyFont="1" applyProtection="1">
      <protection locked="0"/>
    </xf>
    <xf numFmtId="176" fontId="3" fillId="0" borderId="0" xfId="0" applyNumberFormat="1" applyFont="1"/>
    <xf numFmtId="176" fontId="3" fillId="0" borderId="0" xfId="0" applyNumberFormat="1" applyFont="1" applyProtection="1">
      <protection locked="0"/>
    </xf>
    <xf numFmtId="170" fontId="3" fillId="0" borderId="0" xfId="0" applyNumberFormat="1" applyFont="1"/>
    <xf numFmtId="164" fontId="19" fillId="0" borderId="0" xfId="106" applyNumberFormat="1" applyFont="1" applyAlignment="1">
      <alignment horizontal="center"/>
    </xf>
    <xf numFmtId="164" fontId="3" fillId="0" borderId="1" xfId="106" applyNumberFormat="1" applyFont="1" applyBorder="1" applyAlignment="1">
      <alignment horizontal="center" shrinkToFit="1"/>
    </xf>
    <xf numFmtId="164" fontId="3" fillId="0" borderId="2" xfId="106" applyNumberFormat="1" applyFont="1" applyBorder="1" applyAlignment="1">
      <alignment horizontal="center"/>
    </xf>
    <xf numFmtId="0" fontId="3" fillId="0" borderId="4" xfId="0" applyFont="1" applyBorder="1" applyAlignment="1" applyProtection="1">
      <alignment horizontal="left"/>
      <protection locked="0"/>
    </xf>
    <xf numFmtId="0" fontId="5" fillId="0" borderId="1" xfId="113" applyFont="1" applyBorder="1" applyAlignment="1">
      <alignment horizontal="center"/>
    </xf>
    <xf numFmtId="0" fontId="3" fillId="0" borderId="1" xfId="113" applyFont="1" applyBorder="1" applyProtection="1">
      <protection locked="0"/>
    </xf>
    <xf numFmtId="178" fontId="16" fillId="0" borderId="0" xfId="0" quotePrefix="1" applyNumberFormat="1" applyFont="1"/>
    <xf numFmtId="178" fontId="16" fillId="0" borderId="0" xfId="0" applyNumberFormat="1" applyFont="1"/>
    <xf numFmtId="0" fontId="13" fillId="0" borderId="1" xfId="0" applyFont="1" applyBorder="1" applyAlignment="1" applyProtection="1">
      <alignment horizontal="center"/>
      <protection locked="0"/>
    </xf>
    <xf numFmtId="164" fontId="4" fillId="0" borderId="0" xfId="100" applyNumberFormat="1" applyFont="1" applyAlignment="1">
      <alignment horizontal="center"/>
    </xf>
    <xf numFmtId="178" fontId="16" fillId="0" borderId="0" xfId="0" quotePrefix="1" applyNumberFormat="1" applyFont="1" applyAlignment="1">
      <alignment horizontal="center"/>
    </xf>
    <xf numFmtId="166" fontId="16" fillId="0" borderId="0" xfId="0" applyNumberFormat="1" applyFont="1"/>
    <xf numFmtId="0" fontId="234" fillId="0" borderId="0" xfId="57" applyFont="1" applyAlignment="1" applyProtection="1">
      <alignment horizontal="center"/>
    </xf>
    <xf numFmtId="0" fontId="31" fillId="0" borderId="1" xfId="98" applyFont="1" applyBorder="1" applyAlignment="1">
      <alignment horizontal="center"/>
    </xf>
    <xf numFmtId="0" fontId="31" fillId="0" borderId="0" xfId="98" applyFont="1" applyAlignment="1">
      <alignment horizontal="center"/>
    </xf>
    <xf numFmtId="0" fontId="16" fillId="0" borderId="1" xfId="101" applyFont="1" applyBorder="1" applyAlignment="1" applyProtection="1">
      <alignment horizontal="left"/>
      <protection locked="0"/>
    </xf>
    <xf numFmtId="0" fontId="4" fillId="0" borderId="0" xfId="101" applyFont="1" applyAlignment="1">
      <alignment horizontal="center"/>
    </xf>
    <xf numFmtId="0" fontId="13" fillId="0" borderId="1" xfId="0" applyFont="1" applyBorder="1" applyAlignment="1">
      <alignment horizontal="center"/>
    </xf>
    <xf numFmtId="0" fontId="16" fillId="0" borderId="0" xfId="0" applyFont="1" applyAlignment="1">
      <alignment horizontal="right"/>
    </xf>
    <xf numFmtId="0" fontId="16" fillId="0" borderId="1" xfId="0" applyFont="1" applyBorder="1" applyAlignment="1">
      <alignment horizontal="center"/>
    </xf>
    <xf numFmtId="0" fontId="12" fillId="0" borderId="1" xfId="0" applyFont="1" applyBorder="1" applyAlignment="1">
      <alignment horizontal="center"/>
    </xf>
    <xf numFmtId="49" fontId="16" fillId="0" borderId="4" xfId="0" applyNumberFormat="1" applyFont="1" applyBorder="1" applyAlignment="1" applyProtection="1">
      <alignment horizontal="center"/>
      <protection locked="0"/>
    </xf>
    <xf numFmtId="0" fontId="15" fillId="0" borderId="0" xfId="0" applyFont="1" applyAlignment="1">
      <alignment horizontal="center"/>
    </xf>
    <xf numFmtId="49" fontId="16" fillId="0" borderId="1" xfId="0" applyNumberFormat="1" applyFont="1" applyBorder="1" applyAlignment="1" applyProtection="1">
      <alignment horizontal="center"/>
      <protection locked="0"/>
    </xf>
    <xf numFmtId="0" fontId="16" fillId="0" borderId="8" xfId="0" applyFont="1" applyBorder="1" applyAlignment="1">
      <alignment horizontal="center"/>
    </xf>
    <xf numFmtId="49" fontId="16" fillId="0" borderId="8" xfId="0" applyNumberFormat="1" applyFont="1" applyBorder="1" applyAlignment="1">
      <alignment horizontal="center" vertical="top"/>
    </xf>
    <xf numFmtId="0" fontId="5" fillId="6" borderId="10" xfId="0" applyFont="1" applyFill="1" applyBorder="1" applyAlignment="1">
      <alignment horizontal="left"/>
    </xf>
    <xf numFmtId="0" fontId="5" fillId="6" borderId="0" xfId="0" applyFont="1" applyFill="1" applyAlignment="1">
      <alignment horizontal="left"/>
    </xf>
    <xf numFmtId="0" fontId="30" fillId="0" borderId="1" xfId="101" applyFont="1" applyBorder="1" applyAlignment="1">
      <alignment horizontal="center"/>
    </xf>
    <xf numFmtId="0" fontId="19" fillId="0" borderId="0" xfId="101" applyFont="1" applyAlignment="1">
      <alignment horizontal="center"/>
    </xf>
    <xf numFmtId="0" fontId="294" fillId="54" borderId="0" xfId="0" applyFont="1" applyFill="1"/>
    <xf numFmtId="166" fontId="16" fillId="0" borderId="0" xfId="0" applyNumberFormat="1" applyFont="1" applyProtection="1">
      <protection locked="0"/>
    </xf>
    <xf numFmtId="166" fontId="16" fillId="0" borderId="0" xfId="0" applyNumberFormat="1" applyFont="1" applyAlignment="1">
      <alignment horizontal="center"/>
    </xf>
    <xf numFmtId="187" fontId="16" fillId="0" borderId="0" xfId="27" applyFont="1" applyAlignment="1">
      <alignment horizontal="center"/>
    </xf>
    <xf numFmtId="0" fontId="16" fillId="0" borderId="0" xfId="0" applyFont="1" applyAlignment="1">
      <alignment horizontal="left"/>
    </xf>
    <xf numFmtId="0" fontId="89" fillId="0" borderId="0" xfId="0" applyFont="1" applyAlignment="1">
      <alignment horizontal="left"/>
    </xf>
    <xf numFmtId="0" fontId="4" fillId="0" borderId="0" xfId="0" applyFont="1" applyAlignment="1">
      <alignment horizontal="center" wrapText="1"/>
    </xf>
    <xf numFmtId="0" fontId="3" fillId="0" borderId="1" xfId="114" applyFont="1" applyBorder="1" applyAlignment="1" applyProtection="1">
      <alignment horizontal="center"/>
      <protection locked="0"/>
    </xf>
    <xf numFmtId="0" fontId="0" fillId="0" borderId="1" xfId="114" applyFont="1" applyBorder="1" applyAlignment="1" applyProtection="1">
      <alignment horizontal="center"/>
      <protection locked="0"/>
    </xf>
    <xf numFmtId="183" fontId="16" fillId="0" borderId="0" xfId="0" applyNumberFormat="1" applyFont="1"/>
    <xf numFmtId="0" fontId="71" fillId="0" borderId="0" xfId="57" applyFont="1" applyAlignment="1" applyProtection="1">
      <alignment horizontal="left"/>
    </xf>
    <xf numFmtId="0" fontId="15" fillId="0" borderId="0" xfId="0" applyFont="1" applyAlignment="1">
      <alignment horizontal="left"/>
    </xf>
    <xf numFmtId="187" fontId="16" fillId="0" borderId="0" xfId="27" applyFont="1" applyAlignment="1" applyProtection="1">
      <alignment horizontal="center"/>
      <protection locked="0"/>
    </xf>
    <xf numFmtId="0" fontId="89" fillId="0" borderId="0" xfId="0" applyFont="1" applyAlignment="1" applyProtection="1">
      <alignment horizontal="left"/>
      <protection locked="0"/>
    </xf>
    <xf numFmtId="0" fontId="11" fillId="0" borderId="0" xfId="57" applyFont="1" applyAlignment="1" applyProtection="1">
      <alignment horizontal="left"/>
      <protection hidden="1"/>
    </xf>
    <xf numFmtId="0" fontId="10" fillId="0" borderId="0" xfId="0" applyFont="1" applyAlignment="1">
      <alignment horizontal="center"/>
    </xf>
    <xf numFmtId="0" fontId="209" fillId="0" borderId="0" xfId="119" applyFont="1" applyAlignment="1" applyProtection="1">
      <alignment horizontal="center"/>
      <protection locked="0"/>
    </xf>
    <xf numFmtId="0" fontId="0" fillId="0" borderId="0" xfId="0"/>
    <xf numFmtId="164" fontId="71" fillId="0" borderId="0" xfId="57" applyNumberFormat="1" applyFont="1" applyAlignment="1" applyProtection="1">
      <alignment horizontal="center"/>
    </xf>
    <xf numFmtId="0" fontId="66" fillId="0" borderId="1" xfId="0" applyFont="1" applyBorder="1" applyAlignment="1" applyProtection="1">
      <alignment horizontal="center"/>
      <protection locked="0"/>
    </xf>
    <xf numFmtId="0" fontId="173" fillId="0" borderId="23" xfId="57" applyFont="1" applyBorder="1" applyAlignment="1" applyProtection="1"/>
    <xf numFmtId="0" fontId="173" fillId="0" borderId="4" xfId="57" applyFont="1" applyBorder="1" applyAlignment="1" applyProtection="1"/>
    <xf numFmtId="0" fontId="173" fillId="0" borderId="33" xfId="57" applyFont="1" applyBorder="1" applyAlignment="1" applyProtection="1"/>
    <xf numFmtId="0" fontId="173" fillId="0" borderId="23" xfId="57" applyFont="1" applyBorder="1" applyAlignment="1" applyProtection="1">
      <alignment wrapText="1"/>
    </xf>
    <xf numFmtId="0" fontId="173" fillId="0" borderId="4" xfId="57" applyFont="1" applyBorder="1" applyAlignment="1" applyProtection="1">
      <alignment wrapText="1"/>
    </xf>
    <xf numFmtId="0" fontId="173" fillId="0" borderId="33" xfId="57" applyFont="1" applyBorder="1" applyAlignment="1" applyProtection="1">
      <alignment wrapText="1"/>
    </xf>
    <xf numFmtId="0" fontId="138" fillId="0" borderId="4" xfId="0" applyFont="1" applyBorder="1"/>
    <xf numFmtId="0" fontId="138" fillId="0" borderId="33" xfId="0" applyFont="1" applyBorder="1"/>
    <xf numFmtId="0" fontId="138" fillId="0" borderId="23" xfId="0" applyFont="1" applyBorder="1"/>
    <xf numFmtId="0" fontId="142" fillId="0" borderId="0" xfId="0" applyFont="1" applyAlignment="1">
      <alignment horizontal="left"/>
    </xf>
    <xf numFmtId="0" fontId="3" fillId="0" borderId="0" xfId="0" applyFont="1"/>
    <xf numFmtId="0" fontId="142" fillId="0" borderId="0" xfId="57" applyFont="1" applyAlignment="1" applyProtection="1"/>
    <xf numFmtId="0" fontId="44" fillId="0" borderId="23" xfId="57" applyBorder="1" applyAlignment="1" applyProtection="1"/>
    <xf numFmtId="0" fontId="44" fillId="0" borderId="4" xfId="57" applyBorder="1" applyAlignment="1" applyProtection="1"/>
    <xf numFmtId="0" fontId="44" fillId="0" borderId="33" xfId="57" applyBorder="1" applyAlignment="1" applyProtection="1"/>
    <xf numFmtId="0" fontId="138" fillId="0" borderId="0" xfId="0" applyFont="1" applyAlignment="1">
      <alignment horizontal="right"/>
    </xf>
    <xf numFmtId="0" fontId="233" fillId="0" borderId="23" xfId="57" applyFont="1" applyBorder="1" applyAlignment="1" applyProtection="1"/>
    <xf numFmtId="0" fontId="233" fillId="0" borderId="4" xfId="57" applyFont="1" applyBorder="1" applyAlignment="1" applyProtection="1"/>
    <xf numFmtId="0" fontId="233" fillId="0" borderId="33" xfId="57" applyFont="1" applyBorder="1" applyAlignment="1" applyProtection="1"/>
    <xf numFmtId="0" fontId="83" fillId="0" borderId="23" xfId="57" applyFont="1" applyBorder="1" applyAlignment="1" applyProtection="1"/>
    <xf numFmtId="0" fontId="83" fillId="0" borderId="4" xfId="57" applyFont="1" applyBorder="1" applyAlignment="1" applyProtection="1"/>
    <xf numFmtId="0" fontId="83" fillId="0" borderId="33" xfId="57" applyFont="1" applyBorder="1" applyAlignment="1" applyProtection="1"/>
    <xf numFmtId="0" fontId="173" fillId="0" borderId="0" xfId="0" applyFont="1" applyAlignment="1">
      <alignment horizontal="center"/>
    </xf>
    <xf numFmtId="0" fontId="44" fillId="0" borderId="4" xfId="57" applyBorder="1" applyAlignment="1">
      <alignment horizontal="center"/>
      <protection locked="0"/>
    </xf>
    <xf numFmtId="0" fontId="173" fillId="0" borderId="4" xfId="0" applyFont="1" applyBorder="1" applyAlignment="1" applyProtection="1">
      <alignment horizontal="center"/>
      <protection locked="0"/>
    </xf>
    <xf numFmtId="0" fontId="173" fillId="0" borderId="33" xfId="0" applyFont="1" applyBorder="1" applyAlignment="1" applyProtection="1">
      <alignment horizontal="center"/>
      <protection locked="0"/>
    </xf>
    <xf numFmtId="0" fontId="181" fillId="0" borderId="23" xfId="0" applyFont="1" applyBorder="1"/>
    <xf numFmtId="0" fontId="173" fillId="0" borderId="4" xfId="0" applyFont="1" applyBorder="1" applyAlignment="1">
      <alignment horizontal="center"/>
    </xf>
    <xf numFmtId="0" fontId="173" fillId="0" borderId="33" xfId="0" applyFont="1" applyBorder="1" applyAlignment="1">
      <alignment horizontal="center"/>
    </xf>
    <xf numFmtId="0" fontId="173" fillId="0" borderId="23" xfId="57" applyFont="1" applyBorder="1" applyAlignment="1" applyProtection="1">
      <alignment horizontal="left"/>
    </xf>
    <xf numFmtId="0" fontId="173" fillId="0" borderId="4" xfId="57" applyFont="1" applyBorder="1" applyAlignment="1" applyProtection="1">
      <alignment horizontal="left"/>
    </xf>
    <xf numFmtId="0" fontId="173" fillId="0" borderId="33" xfId="57" applyFont="1" applyBorder="1" applyAlignment="1" applyProtection="1">
      <alignment horizontal="left"/>
    </xf>
    <xf numFmtId="0" fontId="173" fillId="0" borderId="23" xfId="57" quotePrefix="1" applyFont="1" applyBorder="1" applyAlignment="1" applyProtection="1"/>
    <xf numFmtId="0" fontId="172" fillId="0" borderId="0" xfId="0" applyFont="1" applyAlignment="1" applyProtection="1">
      <alignment horizontal="left" wrapText="1"/>
      <protection hidden="1"/>
    </xf>
    <xf numFmtId="0" fontId="238" fillId="0" borderId="0" xfId="0" applyFont="1" applyAlignment="1">
      <alignment horizontal="center"/>
    </xf>
    <xf numFmtId="0" fontId="182" fillId="0" borderId="0" xfId="0" applyFont="1" applyAlignment="1">
      <alignment horizontal="center"/>
    </xf>
    <xf numFmtId="0" fontId="173" fillId="0" borderId="1" xfId="0" applyFont="1" applyBorder="1" applyAlignment="1" applyProtection="1">
      <alignment horizontal="center"/>
      <protection locked="0"/>
    </xf>
    <xf numFmtId="0" fontId="204" fillId="18" borderId="23" xfId="0" applyFont="1" applyFill="1" applyBorder="1" applyAlignment="1">
      <alignment horizontal="center"/>
    </xf>
    <xf numFmtId="0" fontId="204" fillId="18" borderId="4" xfId="0" applyFont="1" applyFill="1" applyBorder="1" applyAlignment="1">
      <alignment horizontal="center"/>
    </xf>
    <xf numFmtId="0" fontId="204" fillId="18" borderId="33" xfId="0" applyFont="1" applyFill="1" applyBorder="1" applyAlignment="1">
      <alignment horizontal="center"/>
    </xf>
    <xf numFmtId="0" fontId="175" fillId="0" borderId="15" xfId="0" applyFont="1" applyBorder="1" applyAlignment="1">
      <alignment horizontal="center"/>
    </xf>
    <xf numFmtId="0" fontId="173" fillId="0" borderId="23" xfId="57" applyFont="1" applyBorder="1" applyAlignment="1" applyProtection="1">
      <alignment horizontal="left" wrapText="1"/>
    </xf>
    <xf numFmtId="0" fontId="173" fillId="0" borderId="4" xfId="57" applyFont="1" applyBorder="1" applyAlignment="1" applyProtection="1">
      <alignment horizontal="left" wrapText="1"/>
    </xf>
    <xf numFmtId="0" fontId="173" fillId="0" borderId="33" xfId="57" applyFont="1" applyBorder="1" applyAlignment="1" applyProtection="1">
      <alignment horizontal="left" wrapText="1"/>
    </xf>
    <xf numFmtId="0" fontId="205" fillId="0" borderId="23" xfId="57" applyFont="1" applyBorder="1" applyAlignment="1" applyProtection="1">
      <alignment wrapText="1"/>
    </xf>
    <xf numFmtId="0" fontId="205" fillId="0" borderId="4" xfId="57" applyFont="1" applyBorder="1" applyAlignment="1" applyProtection="1">
      <alignment wrapText="1"/>
    </xf>
    <xf numFmtId="0" fontId="205" fillId="0" borderId="33" xfId="57" applyFont="1" applyBorder="1" applyAlignment="1" applyProtection="1">
      <alignment wrapText="1"/>
    </xf>
    <xf numFmtId="0" fontId="173" fillId="0" borderId="23" xfId="57" applyFont="1" applyBorder="1" applyAlignment="1" applyProtection="1">
      <alignment vertical="top" wrapText="1"/>
    </xf>
    <xf numFmtId="0" fontId="173" fillId="0" borderId="4" xfId="57" applyFont="1" applyBorder="1" applyAlignment="1" applyProtection="1">
      <alignment vertical="top" wrapText="1"/>
    </xf>
    <xf numFmtId="0" fontId="173" fillId="0" borderId="33" xfId="57" applyFont="1" applyBorder="1" applyAlignment="1" applyProtection="1">
      <alignment vertical="top" wrapText="1"/>
    </xf>
    <xf numFmtId="0" fontId="83" fillId="0" borderId="23" xfId="57" applyFont="1" applyBorder="1" applyAlignment="1" applyProtection="1">
      <alignment horizontal="left"/>
    </xf>
    <xf numFmtId="0" fontId="83" fillId="0" borderId="4" xfId="57" applyFont="1" applyBorder="1" applyAlignment="1" applyProtection="1">
      <alignment horizontal="left"/>
    </xf>
    <xf numFmtId="0" fontId="83" fillId="0" borderId="33" xfId="57" applyFont="1" applyBorder="1" applyAlignment="1" applyProtection="1">
      <alignment horizontal="left"/>
    </xf>
    <xf numFmtId="0" fontId="4" fillId="0" borderId="0" xfId="0" applyFont="1" applyAlignment="1">
      <alignment horizontal="center"/>
    </xf>
    <xf numFmtId="0" fontId="5" fillId="6" borderId="0" xfId="0" applyFont="1" applyFill="1"/>
    <xf numFmtId="0" fontId="9" fillId="0" borderId="1" xfId="115" applyBorder="1" applyProtection="1">
      <protection locked="0"/>
    </xf>
    <xf numFmtId="0" fontId="0" fillId="0" borderId="1" xfId="0" applyBorder="1" applyProtection="1">
      <protection locked="0"/>
    </xf>
    <xf numFmtId="0" fontId="13" fillId="0" borderId="1" xfId="115" applyFont="1" applyBorder="1" applyProtection="1">
      <protection locked="0"/>
    </xf>
    <xf numFmtId="0" fontId="9" fillId="0" borderId="1" xfId="115" applyBorder="1" applyAlignment="1" applyProtection="1">
      <alignment horizontal="center"/>
      <protection locked="0"/>
    </xf>
    <xf numFmtId="0" fontId="5" fillId="0" borderId="0" xfId="0" applyFont="1"/>
    <xf numFmtId="6" fontId="13" fillId="0" borderId="1" xfId="115" applyNumberFormat="1" applyFont="1" applyBorder="1" applyProtection="1">
      <protection locked="0"/>
    </xf>
    <xf numFmtId="0" fontId="13" fillId="0" borderId="4" xfId="115" applyFont="1" applyBorder="1" applyProtection="1">
      <protection locked="0"/>
    </xf>
    <xf numFmtId="164" fontId="3" fillId="0" borderId="4" xfId="96" applyNumberFormat="1" applyBorder="1" applyAlignment="1" applyProtection="1">
      <alignment horizontal="center" shrinkToFit="1"/>
      <protection locked="0"/>
    </xf>
    <xf numFmtId="0" fontId="22" fillId="0" borderId="0" xfId="115" applyFont="1" applyAlignment="1">
      <alignment horizontal="center"/>
    </xf>
    <xf numFmtId="0" fontId="55" fillId="0" borderId="0" xfId="115" applyFont="1" applyAlignment="1" applyProtection="1">
      <alignment horizontal="center" vertical="center"/>
      <protection hidden="1"/>
    </xf>
    <xf numFmtId="164" fontId="3" fillId="0" borderId="4" xfId="96" applyNumberFormat="1" applyBorder="1" applyAlignment="1">
      <alignment horizontal="center" shrinkToFit="1"/>
    </xf>
    <xf numFmtId="164" fontId="4" fillId="0" borderId="0" xfId="96" applyNumberFormat="1" applyFont="1" applyAlignment="1">
      <alignment horizontal="center"/>
    </xf>
    <xf numFmtId="164" fontId="4" fillId="0" borderId="0" xfId="99" applyNumberFormat="1" applyFont="1" applyAlignment="1">
      <alignment horizontal="center"/>
    </xf>
    <xf numFmtId="164" fontId="3" fillId="0" borderId="1" xfId="96" applyNumberFormat="1" applyBorder="1" applyAlignment="1">
      <alignment horizontal="center" shrinkToFit="1"/>
    </xf>
    <xf numFmtId="0" fontId="71" fillId="0" borderId="0" xfId="57" applyFont="1" applyAlignment="1" applyProtection="1">
      <alignment horizontal="center"/>
    </xf>
    <xf numFmtId="0" fontId="55" fillId="0" borderId="0" xfId="115" applyFont="1" applyAlignment="1">
      <alignment horizontal="center" vertical="center"/>
    </xf>
    <xf numFmtId="0" fontId="4" fillId="0" borderId="0" xfId="86" applyFont="1" applyAlignment="1">
      <alignment horizontal="center"/>
    </xf>
    <xf numFmtId="164" fontId="3" fillId="0" borderId="0" xfId="99" applyNumberFormat="1"/>
    <xf numFmtId="0" fontId="5" fillId="0" borderId="0" xfId="0" applyFont="1" applyAlignment="1">
      <alignment horizontal="left" vertical="center" wrapText="1"/>
    </xf>
    <xf numFmtId="0" fontId="0" fillId="0" borderId="27" xfId="0" applyBorder="1" applyAlignment="1">
      <alignment horizontal="left" vertical="center" wrapText="1"/>
    </xf>
    <xf numFmtId="0" fontId="0" fillId="0" borderId="0" xfId="0" applyAlignment="1">
      <alignment horizontal="left" vertical="center" wrapText="1"/>
    </xf>
    <xf numFmtId="39" fontId="3" fillId="0" borderId="1" xfId="115" applyNumberFormat="1" applyFont="1" applyBorder="1" applyAlignment="1" applyProtection="1">
      <alignment horizontal="left"/>
      <protection locked="0"/>
    </xf>
    <xf numFmtId="0" fontId="3" fillId="0" borderId="1" xfId="115" applyFont="1" applyBorder="1" applyAlignment="1" applyProtection="1">
      <alignment horizontal="left"/>
      <protection locked="0"/>
    </xf>
    <xf numFmtId="0" fontId="54" fillId="0" borderId="0" xfId="115" applyFont="1" applyAlignment="1">
      <alignment horizontal="center" vertical="center"/>
    </xf>
    <xf numFmtId="168" fontId="3" fillId="0" borderId="4" xfId="82" applyFont="1" applyBorder="1" applyAlignment="1">
      <alignment horizontal="left" shrinkToFit="1"/>
      <protection locked="0"/>
    </xf>
    <xf numFmtId="164" fontId="66" fillId="0" borderId="0" xfId="99" applyNumberFormat="1" applyFont="1" applyAlignment="1">
      <alignment horizontal="center"/>
    </xf>
    <xf numFmtId="0" fontId="3" fillId="0" borderId="0" xfId="0" applyFont="1" applyAlignment="1">
      <alignment horizontal="left" vertical="center"/>
    </xf>
    <xf numFmtId="0" fontId="150" fillId="0" borderId="0" xfId="57" applyFont="1" applyAlignment="1" applyProtection="1">
      <alignment vertical="center"/>
    </xf>
    <xf numFmtId="0" fontId="5" fillId="0" borderId="0" xfId="57" applyFont="1" applyAlignment="1" applyProtection="1">
      <alignment vertical="center"/>
    </xf>
    <xf numFmtId="168" fontId="3" fillId="0" borderId="1" xfId="82" applyFont="1" applyBorder="1" applyAlignment="1">
      <alignment horizontal="center" shrinkToFit="1"/>
      <protection locked="0"/>
    </xf>
    <xf numFmtId="168" fontId="34" fillId="0" borderId="5" xfId="82" applyFont="1" applyBorder="1" applyAlignment="1" applyProtection="1">
      <alignment horizontal="center" wrapText="1"/>
    </xf>
    <xf numFmtId="168" fontId="34" fillId="0" borderId="6" xfId="82" applyFont="1" applyBorder="1" applyAlignment="1" applyProtection="1">
      <alignment horizontal="center" wrapText="1"/>
    </xf>
    <xf numFmtId="168" fontId="34" fillId="0" borderId="7" xfId="82" applyFont="1" applyBorder="1" applyAlignment="1" applyProtection="1">
      <alignment horizontal="center" wrapText="1"/>
    </xf>
    <xf numFmtId="168" fontId="34" fillId="0" borderId="23" xfId="82" applyFont="1" applyBorder="1" applyAlignment="1" applyProtection="1">
      <alignment horizontal="center"/>
    </xf>
    <xf numFmtId="168" fontId="34" fillId="0" borderId="4" xfId="82" applyFont="1" applyBorder="1" applyAlignment="1" applyProtection="1">
      <alignment horizontal="center"/>
    </xf>
    <xf numFmtId="168" fontId="34" fillId="0" borderId="33" xfId="82" applyFont="1" applyBorder="1" applyAlignment="1" applyProtection="1">
      <alignment horizontal="center"/>
    </xf>
    <xf numFmtId="0" fontId="40" fillId="0" borderId="0" xfId="82" applyNumberFormat="1" applyFont="1" applyProtection="1"/>
    <xf numFmtId="0" fontId="4" fillId="0" borderId="0" xfId="115" applyFont="1" applyAlignment="1">
      <alignment horizontal="center"/>
    </xf>
    <xf numFmtId="168" fontId="3" fillId="0" borderId="1" xfId="82" applyFont="1" applyBorder="1" applyAlignment="1" applyProtection="1">
      <alignment horizontal="center" shrinkToFit="1"/>
    </xf>
    <xf numFmtId="168" fontId="3" fillId="0" borderId="4" xfId="82" applyFont="1" applyBorder="1" applyAlignment="1">
      <alignment horizontal="center" shrinkToFit="1"/>
      <protection locked="0"/>
    </xf>
    <xf numFmtId="4" fontId="3" fillId="0" borderId="1" xfId="115" applyNumberFormat="1" applyFont="1" applyBorder="1" applyAlignment="1" applyProtection="1">
      <alignment horizontal="center"/>
      <protection locked="0"/>
    </xf>
    <xf numFmtId="0" fontId="243" fillId="0" borderId="8" xfId="0" applyFont="1" applyBorder="1" applyAlignment="1">
      <alignment horizontal="center"/>
    </xf>
    <xf numFmtId="0" fontId="243" fillId="0" borderId="1" xfId="0" applyFont="1" applyBorder="1" applyAlignment="1" applyProtection="1">
      <alignment horizontal="center"/>
      <protection locked="0"/>
    </xf>
    <xf numFmtId="14" fontId="243" fillId="0" borderId="1" xfId="0" applyNumberFormat="1" applyFont="1" applyBorder="1" applyAlignment="1" applyProtection="1">
      <alignment horizontal="center"/>
      <protection locked="0"/>
    </xf>
    <xf numFmtId="4" fontId="3" fillId="0" borderId="0" xfId="115" applyNumberFormat="1" applyFont="1" applyAlignment="1" applyProtection="1">
      <alignment horizontal="center"/>
      <protection locked="0"/>
    </xf>
    <xf numFmtId="168" fontId="3" fillId="0" borderId="4" xfId="82" applyFont="1" applyBorder="1" applyAlignment="1" applyProtection="1">
      <alignment horizontal="center"/>
    </xf>
    <xf numFmtId="168" fontId="71" fillId="0" borderId="0" xfId="57" applyNumberFormat="1" applyFont="1" applyAlignment="1" applyProtection="1">
      <alignment horizontal="center"/>
    </xf>
    <xf numFmtId="168" fontId="4" fillId="0" borderId="0" xfId="85" applyFont="1" applyAlignment="1" applyProtection="1">
      <alignment horizontal="center"/>
    </xf>
    <xf numFmtId="0" fontId="3" fillId="0" borderId="1" xfId="85" applyNumberFormat="1" applyFont="1" applyBorder="1" applyAlignment="1" applyProtection="1">
      <alignment horizontal="center" shrinkToFit="1"/>
    </xf>
    <xf numFmtId="168" fontId="3" fillId="0" borderId="4" xfId="82" applyFont="1" applyBorder="1" applyAlignment="1">
      <alignment horizontal="center"/>
      <protection locked="0"/>
    </xf>
    <xf numFmtId="49" fontId="150" fillId="0" borderId="0" xfId="57" applyNumberFormat="1" applyFont="1" applyAlignment="1" applyProtection="1">
      <alignment horizontal="left"/>
    </xf>
    <xf numFmtId="164" fontId="3" fillId="0" borderId="1" xfId="0" applyNumberFormat="1" applyFont="1" applyBorder="1" applyAlignment="1">
      <alignment horizontal="center" shrinkToFit="1"/>
    </xf>
    <xf numFmtId="0" fontId="4" fillId="0" borderId="0" xfId="89" applyFont="1" applyAlignment="1">
      <alignment horizontal="center"/>
    </xf>
    <xf numFmtId="164" fontId="3" fillId="0" borderId="1" xfId="0" applyNumberFormat="1" applyFont="1" applyBorder="1" applyAlignment="1" applyProtection="1">
      <alignment horizontal="center" shrinkToFit="1"/>
      <protection locked="0"/>
    </xf>
    <xf numFmtId="0" fontId="3" fillId="0" borderId="0" xfId="89" applyFont="1"/>
    <xf numFmtId="49" fontId="5" fillId="0" borderId="0" xfId="0" applyNumberFormat="1" applyFont="1" applyAlignment="1">
      <alignment horizontal="left"/>
    </xf>
    <xf numFmtId="0" fontId="5" fillId="0" borderId="0" xfId="0" applyFont="1" applyAlignment="1">
      <alignment horizontal="left" wrapText="1"/>
    </xf>
    <xf numFmtId="0" fontId="245" fillId="0" borderId="0" xfId="0" applyFont="1" applyAlignment="1">
      <alignment horizontal="left" wrapText="1"/>
    </xf>
    <xf numFmtId="0" fontId="3" fillId="0" borderId="1" xfId="86" applyFont="1" applyBorder="1" applyAlignment="1">
      <alignment horizontal="center" shrinkToFit="1"/>
    </xf>
    <xf numFmtId="0" fontId="3" fillId="0" borderId="4" xfId="86" applyFont="1" applyBorder="1" applyAlignment="1">
      <alignment horizontal="center" shrinkToFit="1"/>
    </xf>
    <xf numFmtId="0" fontId="3" fillId="0" borderId="4" xfId="86" applyFont="1" applyBorder="1" applyAlignment="1" applyProtection="1">
      <alignment horizontal="center" shrinkToFit="1"/>
      <protection locked="0"/>
    </xf>
    <xf numFmtId="0" fontId="257" fillId="6" borderId="0" xfId="0" applyFont="1" applyFill="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257" fillId="0" borderId="0" xfId="0" applyFont="1" applyAlignment="1">
      <alignment horizontal="center"/>
    </xf>
    <xf numFmtId="0" fontId="12" fillId="0" borderId="0" xfId="0" quotePrefix="1" applyFont="1" applyAlignment="1">
      <alignment horizontal="left" wrapText="1"/>
    </xf>
    <xf numFmtId="0" fontId="36" fillId="0" borderId="0" xfId="0" applyFont="1" applyAlignment="1">
      <alignment horizontal="left" wrapText="1"/>
    </xf>
    <xf numFmtId="0" fontId="243" fillId="0" borderId="0" xfId="0" applyFont="1" applyAlignment="1">
      <alignment horizontal="center" vertical="center" wrapText="1"/>
    </xf>
    <xf numFmtId="0" fontId="243" fillId="0" borderId="1" xfId="0" applyFont="1" applyBorder="1" applyAlignment="1">
      <alignment horizontal="center" vertical="center" wrapText="1"/>
    </xf>
    <xf numFmtId="0" fontId="243" fillId="0" borderId="1" xfId="0" applyFont="1" applyBorder="1" applyAlignment="1">
      <alignment horizontal="center"/>
    </xf>
    <xf numFmtId="0" fontId="4" fillId="0" borderId="0" xfId="88" applyFont="1" applyAlignment="1">
      <alignment horizontal="center"/>
    </xf>
    <xf numFmtId="0" fontId="12" fillId="0" borderId="0" xfId="88" applyFont="1" applyAlignment="1">
      <alignment horizontal="center"/>
    </xf>
    <xf numFmtId="0" fontId="3" fillId="0" borderId="1" xfId="87" applyFont="1" applyBorder="1" applyAlignment="1">
      <alignment horizontal="center" shrinkToFit="1"/>
    </xf>
    <xf numFmtId="0" fontId="3" fillId="0" borderId="4" xfId="87" applyFont="1" applyBorder="1" applyAlignment="1">
      <alignment horizontal="center" shrinkToFit="1"/>
    </xf>
    <xf numFmtId="0" fontId="3" fillId="0" borderId="4" xfId="87" applyFont="1" applyBorder="1" applyAlignment="1" applyProtection="1">
      <alignment horizontal="center" shrinkToFit="1"/>
      <protection locked="0"/>
    </xf>
    <xf numFmtId="0" fontId="3" fillId="0" borderId="0" xfId="84" applyFont="1" applyAlignment="1">
      <alignment wrapText="1"/>
    </xf>
    <xf numFmtId="0" fontId="3" fillId="0" borderId="0" xfId="84" applyFont="1" applyAlignment="1">
      <alignment horizontal="left" vertical="top" wrapText="1" indent="1"/>
    </xf>
    <xf numFmtId="0" fontId="16" fillId="0" borderId="0" xfId="88" applyFont="1" applyAlignment="1">
      <alignment horizontal="center" wrapText="1" shrinkToFit="1"/>
    </xf>
    <xf numFmtId="0" fontId="3" fillId="0" borderId="0" xfId="84" applyFont="1"/>
    <xf numFmtId="0" fontId="4" fillId="0" borderId="0" xfId="115" applyFont="1" applyAlignment="1">
      <alignment horizontal="center" vertical="center"/>
    </xf>
    <xf numFmtId="0" fontId="39" fillId="20" borderId="15" xfId="0" applyFont="1" applyFill="1" applyBorder="1" applyAlignment="1">
      <alignment horizontal="center" wrapText="1"/>
    </xf>
    <xf numFmtId="0" fontId="39" fillId="20" borderId="5" xfId="0" applyFont="1" applyFill="1" applyBorder="1" applyAlignment="1">
      <alignment horizontal="center" wrapText="1"/>
    </xf>
    <xf numFmtId="177" fontId="3" fillId="0" borderId="23" xfId="0" applyNumberFormat="1" applyFont="1" applyBorder="1" applyAlignment="1" applyProtection="1">
      <alignment horizontal="center"/>
      <protection locked="0"/>
    </xf>
    <xf numFmtId="177" fontId="3" fillId="0" borderId="4" xfId="0" applyNumberFormat="1" applyFont="1" applyBorder="1" applyAlignment="1" applyProtection="1">
      <alignment horizontal="center"/>
      <protection locked="0"/>
    </xf>
    <xf numFmtId="177" fontId="3" fillId="0" borderId="33" xfId="0" applyNumberFormat="1" applyFont="1" applyBorder="1" applyAlignment="1" applyProtection="1">
      <alignment horizontal="center"/>
      <protection locked="0"/>
    </xf>
    <xf numFmtId="10" fontId="3" fillId="0" borderId="4" xfId="0" applyNumberFormat="1" applyFont="1" applyBorder="1" applyAlignment="1" applyProtection="1">
      <alignment horizontal="center"/>
      <protection locked="0"/>
    </xf>
    <xf numFmtId="10" fontId="3" fillId="0" borderId="33" xfId="0" applyNumberFormat="1" applyFont="1" applyBorder="1" applyAlignment="1" applyProtection="1">
      <alignment horizontal="center"/>
      <protection locked="0"/>
    </xf>
    <xf numFmtId="10" fontId="3" fillId="0" borderId="23" xfId="0" applyNumberFormat="1" applyFont="1" applyBorder="1" applyAlignment="1" applyProtection="1">
      <alignment horizontal="center"/>
      <protection locked="0"/>
    </xf>
    <xf numFmtId="14" fontId="3" fillId="0" borderId="23" xfId="0" applyNumberFormat="1" applyFont="1" applyBorder="1" applyAlignment="1" applyProtection="1">
      <alignment horizontal="center"/>
      <protection locked="0"/>
    </xf>
    <xf numFmtId="14" fontId="3" fillId="0" borderId="4" xfId="0" applyNumberFormat="1" applyFont="1" applyBorder="1" applyAlignment="1" applyProtection="1">
      <alignment horizontal="center"/>
      <protection locked="0"/>
    </xf>
    <xf numFmtId="14" fontId="3" fillId="0" borderId="33" xfId="0" applyNumberFormat="1" applyFont="1" applyBorder="1" applyAlignment="1" applyProtection="1">
      <alignment horizontal="center"/>
      <protection locked="0"/>
    </xf>
    <xf numFmtId="0" fontId="39" fillId="20" borderId="21" xfId="0" applyFont="1" applyFill="1" applyBorder="1" applyAlignment="1">
      <alignment horizontal="center" vertical="top" wrapText="1"/>
    </xf>
    <xf numFmtId="0" fontId="39" fillId="20" borderId="8" xfId="0" applyFont="1" applyFill="1" applyBorder="1" applyAlignment="1">
      <alignment horizontal="center" vertical="top" wrapText="1"/>
    </xf>
    <xf numFmtId="0" fontId="39" fillId="20" borderId="9" xfId="0" applyFont="1" applyFill="1" applyBorder="1" applyAlignment="1">
      <alignment horizontal="center" vertical="top" wrapText="1"/>
    </xf>
    <xf numFmtId="0" fontId="39" fillId="20" borderId="12" xfId="0" applyFont="1" applyFill="1" applyBorder="1" applyAlignment="1">
      <alignment horizontal="center" vertical="top" wrapText="1"/>
    </xf>
    <xf numFmtId="0" fontId="39" fillId="20" borderId="1" xfId="0" applyFont="1" applyFill="1" applyBorder="1" applyAlignment="1">
      <alignment horizontal="center" vertical="top" wrapText="1"/>
    </xf>
    <xf numFmtId="0" fontId="39" fillId="20" borderId="13" xfId="0" applyFont="1" applyFill="1" applyBorder="1" applyAlignment="1">
      <alignment horizontal="center" vertical="top" wrapText="1"/>
    </xf>
    <xf numFmtId="0" fontId="3" fillId="0" borderId="0" xfId="0" applyFont="1" applyAlignment="1">
      <alignment horizontal="right"/>
    </xf>
    <xf numFmtId="0" fontId="3" fillId="0" borderId="1" xfId="0" applyFont="1" applyBorder="1" applyAlignment="1" applyProtection="1">
      <alignment horizontal="center"/>
      <protection locked="0"/>
    </xf>
    <xf numFmtId="0" fontId="3" fillId="0" borderId="0" xfId="0" applyFont="1" applyAlignment="1">
      <alignment horizontal="left"/>
    </xf>
    <xf numFmtId="0" fontId="5" fillId="0" borderId="1" xfId="0" applyFont="1" applyBorder="1" applyAlignment="1" applyProtection="1">
      <alignment horizontal="center"/>
      <protection locked="0"/>
    </xf>
    <xf numFmtId="0" fontId="3" fillId="0" borderId="0" xfId="0" applyFont="1" applyAlignment="1">
      <alignment horizontal="left" vertical="top" wrapText="1"/>
    </xf>
    <xf numFmtId="0" fontId="0" fillId="0" borderId="0" xfId="0" applyAlignment="1">
      <alignment vertical="top" wrapText="1"/>
    </xf>
    <xf numFmtId="0" fontId="3" fillId="0" borderId="1" xfId="0" applyFont="1" applyBorder="1" applyAlignment="1" applyProtection="1">
      <alignment horizontal="left"/>
      <protection locked="0"/>
    </xf>
    <xf numFmtId="164" fontId="3" fillId="0" borderId="4" xfId="0" applyNumberFormat="1" applyFont="1" applyBorder="1" applyAlignment="1">
      <alignment horizontal="center" shrinkToFit="1"/>
    </xf>
    <xf numFmtId="164" fontId="3" fillId="0" borderId="4" xfId="0" applyNumberFormat="1" applyFont="1" applyBorder="1" applyAlignment="1" applyProtection="1">
      <alignment horizontal="center" shrinkToFit="1"/>
      <protection locked="0"/>
    </xf>
    <xf numFmtId="0" fontId="3" fillId="0" borderId="0" xfId="0" applyFont="1" applyAlignment="1">
      <alignment horizontal="center"/>
    </xf>
    <xf numFmtId="0" fontId="3" fillId="0" borderId="4" xfId="0" applyFont="1" applyBorder="1" applyProtection="1">
      <protection locked="0"/>
    </xf>
    <xf numFmtId="0" fontId="3" fillId="0" borderId="4" xfId="0" applyFont="1" applyBorder="1"/>
    <xf numFmtId="0" fontId="39" fillId="20" borderId="23" xfId="0" applyFont="1" applyFill="1" applyBorder="1" applyAlignment="1">
      <alignment horizontal="center" wrapText="1"/>
    </xf>
    <xf numFmtId="0" fontId="39" fillId="20" borderId="4" xfId="0" applyFont="1" applyFill="1" applyBorder="1" applyAlignment="1">
      <alignment horizontal="center" wrapText="1"/>
    </xf>
    <xf numFmtId="0" fontId="39" fillId="20" borderId="33" xfId="0" applyFont="1" applyFill="1" applyBorder="1" applyAlignment="1">
      <alignment horizontal="center" wrapText="1"/>
    </xf>
    <xf numFmtId="0" fontId="112" fillId="20" borderId="21" xfId="0" applyFont="1" applyFill="1" applyBorder="1" applyAlignment="1">
      <alignment horizontal="center" vertical="center" wrapText="1"/>
    </xf>
    <xf numFmtId="0" fontId="112" fillId="20" borderId="8" xfId="0" applyFont="1" applyFill="1" applyBorder="1" applyAlignment="1">
      <alignment horizontal="center" vertical="center" wrapText="1"/>
    </xf>
    <xf numFmtId="0" fontId="112" fillId="20" borderId="9" xfId="0" applyFont="1" applyFill="1" applyBorder="1" applyAlignment="1">
      <alignment horizontal="center" vertical="center" wrapText="1"/>
    </xf>
    <xf numFmtId="0" fontId="112" fillId="20" borderId="10" xfId="0" applyFont="1" applyFill="1" applyBorder="1" applyAlignment="1">
      <alignment horizontal="center" vertical="center" wrapText="1"/>
    </xf>
    <xf numFmtId="0" fontId="112" fillId="20" borderId="0" xfId="0" applyFont="1" applyFill="1" applyAlignment="1">
      <alignment horizontal="center" vertical="center" wrapText="1"/>
    </xf>
    <xf numFmtId="0" fontId="112" fillId="20" borderId="11" xfId="0" applyFont="1" applyFill="1" applyBorder="1" applyAlignment="1">
      <alignment horizontal="center" vertical="center" wrapText="1"/>
    </xf>
    <xf numFmtId="0" fontId="5" fillId="0" borderId="0" xfId="0" applyFont="1" applyAlignment="1" applyProtection="1">
      <alignment horizontal="right"/>
      <protection locked="0"/>
    </xf>
    <xf numFmtId="0" fontId="3" fillId="0" borderId="0" xfId="0" applyFont="1" applyAlignment="1" applyProtection="1">
      <alignment horizontal="center"/>
      <protection locked="0"/>
    </xf>
    <xf numFmtId="0" fontId="112" fillId="20" borderId="12" xfId="0" applyFont="1" applyFill="1" applyBorder="1" applyAlignment="1">
      <alignment horizontal="center" vertical="center" wrapText="1"/>
    </xf>
    <xf numFmtId="0" fontId="112" fillId="20" borderId="1" xfId="0" applyFont="1" applyFill="1" applyBorder="1" applyAlignment="1">
      <alignment horizontal="center" vertical="center" wrapText="1"/>
    </xf>
    <xf numFmtId="0" fontId="112" fillId="20" borderId="13" xfId="0" applyFont="1" applyFill="1" applyBorder="1" applyAlignment="1">
      <alignment horizontal="center" vertical="center" wrapText="1"/>
    </xf>
    <xf numFmtId="0" fontId="3" fillId="0" borderId="1" xfId="0" applyFont="1" applyBorder="1" applyProtection="1">
      <protection locked="0"/>
    </xf>
    <xf numFmtId="0" fontId="0" fillId="0" borderId="1" xfId="0" applyBorder="1"/>
    <xf numFmtId="0" fontId="3" fillId="0" borderId="1" xfId="0" applyFont="1" applyBorder="1"/>
    <xf numFmtId="0" fontId="3" fillId="0" borderId="1" xfId="93" applyFont="1" applyBorder="1" applyAlignment="1">
      <alignment horizontal="center" shrinkToFit="1"/>
    </xf>
    <xf numFmtId="0" fontId="206" fillId="0" borderId="0" xfId="0" applyFont="1" applyAlignment="1">
      <alignment horizontal="left"/>
    </xf>
    <xf numFmtId="0" fontId="16" fillId="0" borderId="0" xfId="0" applyFont="1"/>
    <xf numFmtId="49" fontId="100" fillId="0" borderId="0" xfId="0" applyNumberFormat="1" applyFont="1"/>
    <xf numFmtId="0" fontId="3" fillId="0" borderId="4" xfId="93" applyFont="1" applyBorder="1" applyAlignment="1">
      <alignment horizontal="center" shrinkToFit="1"/>
    </xf>
    <xf numFmtId="0" fontId="3" fillId="0" borderId="1" xfId="89" applyFont="1" applyBorder="1" applyAlignment="1">
      <alignment horizontal="center"/>
    </xf>
    <xf numFmtId="0" fontId="0" fillId="0" borderId="1" xfId="0" applyBorder="1" applyAlignment="1">
      <alignment horizontal="center"/>
    </xf>
    <xf numFmtId="164" fontId="3" fillId="0" borderId="4" xfId="93" applyNumberFormat="1" applyFont="1" applyBorder="1" applyAlignment="1" applyProtection="1">
      <alignment horizontal="center" shrinkToFit="1"/>
      <protection locked="0"/>
    </xf>
    <xf numFmtId="49" fontId="150" fillId="0" borderId="0" xfId="57" applyNumberFormat="1" applyFont="1" applyAlignment="1" applyProtection="1"/>
    <xf numFmtId="0" fontId="150" fillId="0" borderId="0" xfId="57" applyFont="1" applyAlignment="1" applyProtection="1"/>
    <xf numFmtId="185" fontId="3" fillId="0" borderId="0" xfId="115" applyNumberFormat="1" applyFont="1" applyAlignment="1">
      <alignment horizontal="center"/>
    </xf>
    <xf numFmtId="185" fontId="3" fillId="0" borderId="1" xfId="115" applyNumberFormat="1" applyFont="1" applyBorder="1" applyAlignment="1" applyProtection="1">
      <alignment horizontal="center"/>
      <protection locked="0"/>
    </xf>
    <xf numFmtId="0" fontId="6" fillId="0" borderId="0" xfId="57" applyFont="1" applyAlignment="1" applyProtection="1">
      <alignment horizontal="left"/>
    </xf>
    <xf numFmtId="0" fontId="5" fillId="8" borderId="0" xfId="94" applyFont="1" applyFill="1"/>
    <xf numFmtId="164" fontId="3" fillId="0" borderId="1" xfId="93" applyNumberFormat="1" applyFont="1" applyBorder="1" applyAlignment="1" applyProtection="1">
      <alignment horizontal="center" shrinkToFit="1"/>
      <protection locked="0"/>
    </xf>
    <xf numFmtId="0" fontId="19" fillId="0" borderId="0" xfId="89" applyFont="1" applyAlignment="1">
      <alignment horizontal="center"/>
    </xf>
    <xf numFmtId="0" fontId="3" fillId="0" borderId="0" xfId="89" applyFont="1" applyAlignment="1">
      <alignment horizontal="center"/>
    </xf>
    <xf numFmtId="0" fontId="3" fillId="0" borderId="0" xfId="0" applyFont="1" applyAlignment="1">
      <alignment horizontal="left" wrapText="1" indent="2"/>
    </xf>
    <xf numFmtId="0" fontId="5" fillId="0" borderId="1" xfId="0" applyFont="1" applyBorder="1" applyAlignment="1">
      <alignment horizontal="center"/>
    </xf>
    <xf numFmtId="0" fontId="0" fillId="0" borderId="4" xfId="0" applyBorder="1"/>
    <xf numFmtId="0" fontId="3" fillId="0" borderId="0" xfId="0" applyFont="1" applyAlignment="1">
      <alignment wrapText="1"/>
    </xf>
    <xf numFmtId="0" fontId="150" fillId="0" borderId="0" xfId="57" applyFont="1" applyAlignment="1" applyProtection="1">
      <alignment horizontal="left" vertical="center"/>
    </xf>
    <xf numFmtId="164" fontId="3" fillId="0" borderId="0" xfId="99" applyNumberFormat="1" applyAlignment="1">
      <alignment horizontal="center"/>
    </xf>
    <xf numFmtId="0" fontId="3" fillId="0" borderId="0" xfId="102" applyFont="1"/>
    <xf numFmtId="0" fontId="5" fillId="0" borderId="0" xfId="102" applyFont="1"/>
    <xf numFmtId="49" fontId="3" fillId="0" borderId="4" xfId="89" applyNumberFormat="1" applyFont="1" applyBorder="1" applyAlignment="1" applyProtection="1">
      <alignment horizontal="center"/>
      <protection locked="0"/>
    </xf>
    <xf numFmtId="0" fontId="100" fillId="0" borderId="0" xfId="0" applyFont="1" applyAlignment="1">
      <alignment horizontal="left"/>
    </xf>
    <xf numFmtId="0" fontId="13" fillId="0" borderId="0" xfId="89" applyAlignment="1">
      <alignment horizontal="left"/>
    </xf>
    <xf numFmtId="49" fontId="3" fillId="0" borderId="1" xfId="89" applyNumberFormat="1" applyFont="1" applyBorder="1" applyAlignment="1" applyProtection="1">
      <alignment horizontal="left"/>
      <protection locked="0"/>
    </xf>
    <xf numFmtId="0" fontId="100" fillId="0" borderId="1" xfId="0" applyFont="1" applyBorder="1" applyAlignment="1">
      <alignment horizontal="center"/>
    </xf>
    <xf numFmtId="0" fontId="45" fillId="0" borderId="0" xfId="89" applyFont="1" applyAlignment="1">
      <alignment horizontal="center"/>
    </xf>
    <xf numFmtId="0" fontId="45" fillId="0" borderId="1" xfId="89" applyFont="1" applyBorder="1" applyAlignment="1">
      <alignment horizontal="center"/>
    </xf>
    <xf numFmtId="0" fontId="3" fillId="0" borderId="1" xfId="93" applyFont="1" applyBorder="1" applyAlignment="1">
      <alignment horizontal="left"/>
    </xf>
    <xf numFmtId="164" fontId="3" fillId="0" borderId="4" xfId="0" applyNumberFormat="1" applyFont="1" applyBorder="1" applyAlignment="1" applyProtection="1">
      <alignment horizontal="left"/>
      <protection locked="0"/>
    </xf>
    <xf numFmtId="0" fontId="0" fillId="0" borderId="4" xfId="0" applyBorder="1" applyProtection="1">
      <protection locked="0"/>
    </xf>
    <xf numFmtId="164" fontId="3" fillId="0" borderId="4" xfId="93" applyNumberFormat="1" applyFont="1" applyBorder="1" applyAlignment="1" applyProtection="1">
      <alignment horizontal="left"/>
      <protection locked="0"/>
    </xf>
    <xf numFmtId="0" fontId="3" fillId="0" borderId="1" xfId="0" applyFont="1" applyBorder="1" applyAlignment="1">
      <alignment horizontal="center"/>
    </xf>
    <xf numFmtId="49" fontId="40" fillId="0" borderId="1" xfId="89" applyNumberFormat="1" applyFont="1" applyBorder="1" applyAlignment="1" applyProtection="1">
      <alignment horizontal="left"/>
      <protection locked="0"/>
    </xf>
    <xf numFmtId="49" fontId="40" fillId="0" borderId="4" xfId="89" applyNumberFormat="1" applyFont="1" applyBorder="1" applyAlignment="1" applyProtection="1">
      <alignment horizontal="left"/>
      <protection locked="0"/>
    </xf>
    <xf numFmtId="0" fontId="0" fillId="0" borderId="4" xfId="0" applyBorder="1" applyAlignment="1">
      <alignment horizontal="left"/>
    </xf>
    <xf numFmtId="0" fontId="0" fillId="0" borderId="0" xfId="0" applyAlignment="1">
      <alignment horizontal="left"/>
    </xf>
    <xf numFmtId="0" fontId="207" fillId="0" borderId="0" xfId="0" applyFont="1" applyAlignment="1">
      <alignment horizontal="left"/>
    </xf>
    <xf numFmtId="0" fontId="159" fillId="0" borderId="0" xfId="0" applyFont="1"/>
    <xf numFmtId="0" fontId="5" fillId="0" borderId="1" xfId="89" applyFont="1" applyBorder="1" applyAlignment="1">
      <alignment horizontal="center"/>
    </xf>
    <xf numFmtId="0" fontId="3" fillId="0" borderId="0" xfId="89" applyFont="1" applyAlignment="1">
      <alignment horizontal="left" indent="2"/>
    </xf>
    <xf numFmtId="0" fontId="0" fillId="0" borderId="0" xfId="0" applyAlignment="1">
      <alignment horizontal="left" indent="2"/>
    </xf>
    <xf numFmtId="0" fontId="207" fillId="0" borderId="4" xfId="0" applyFont="1" applyBorder="1" applyAlignment="1" applyProtection="1">
      <alignment horizontal="left"/>
      <protection locked="0"/>
    </xf>
    <xf numFmtId="0" fontId="5" fillId="6" borderId="8" xfId="0" applyFont="1" applyFill="1" applyBorder="1"/>
    <xf numFmtId="0" fontId="0" fillId="0" borderId="8" xfId="0" applyBorder="1"/>
    <xf numFmtId="0" fontId="89" fillId="6" borderId="0" xfId="115" applyFont="1" applyFill="1" applyAlignment="1">
      <alignment horizontal="left"/>
    </xf>
    <xf numFmtId="176" fontId="3" fillId="0" borderId="1" xfId="0" applyNumberFormat="1" applyFont="1" applyBorder="1" applyProtection="1">
      <protection locked="0"/>
    </xf>
    <xf numFmtId="164" fontId="3" fillId="0" borderId="0" xfId="0" applyNumberFormat="1" applyFont="1" applyAlignment="1">
      <alignment horizontal="center"/>
    </xf>
    <xf numFmtId="164" fontId="3" fillId="0" borderId="1" xfId="0" applyNumberFormat="1" applyFont="1" applyBorder="1" applyAlignment="1">
      <alignment horizontal="center"/>
    </xf>
    <xf numFmtId="192" fontId="5" fillId="0" borderId="0" xfId="95" applyNumberFormat="1" applyFont="1"/>
    <xf numFmtId="192" fontId="5" fillId="0" borderId="0" xfId="0" applyNumberFormat="1" applyFont="1"/>
    <xf numFmtId="0" fontId="19" fillId="0" borderId="0" xfId="95" applyFont="1" applyAlignment="1">
      <alignment horizontal="center"/>
    </xf>
    <xf numFmtId="192" fontId="3" fillId="0" borderId="0" xfId="95" applyNumberFormat="1" applyFont="1"/>
    <xf numFmtId="192" fontId="0" fillId="0" borderId="0" xfId="0" applyNumberFormat="1"/>
    <xf numFmtId="0" fontId="0" fillId="6" borderId="0" xfId="0" applyFill="1"/>
    <xf numFmtId="0" fontId="7" fillId="0" borderId="0" xfId="0" applyFont="1" applyAlignment="1">
      <alignment horizontal="center"/>
    </xf>
    <xf numFmtId="0" fontId="5" fillId="0" borderId="0" xfId="0" applyFont="1" applyAlignment="1">
      <alignment horizontal="right"/>
    </xf>
    <xf numFmtId="164" fontId="3" fillId="0" borderId="4" xfId="0" applyNumberFormat="1" applyFont="1" applyBorder="1" applyAlignment="1">
      <alignment horizontal="center"/>
    </xf>
    <xf numFmtId="191" fontId="3" fillId="0" borderId="1" xfId="0" applyNumberFormat="1" applyFont="1" applyBorder="1" applyAlignment="1" applyProtection="1">
      <alignment horizontal="center"/>
      <protection locked="0"/>
    </xf>
    <xf numFmtId="164" fontId="3" fillId="0" borderId="4" xfId="0" applyNumberFormat="1" applyFont="1" applyBorder="1" applyAlignment="1" applyProtection="1">
      <alignment horizontal="center"/>
      <protection locked="0"/>
    </xf>
    <xf numFmtId="164" fontId="3" fillId="0" borderId="1" xfId="0" applyNumberFormat="1" applyFont="1" applyBorder="1" applyAlignment="1" applyProtection="1">
      <alignment horizontal="center"/>
      <protection locked="0"/>
    </xf>
    <xf numFmtId="164" fontId="3" fillId="0" borderId="4" xfId="69" applyNumberFormat="1" applyFont="1" applyBorder="1" applyAlignment="1" applyProtection="1">
      <alignment horizontal="center" shrinkToFit="1"/>
      <protection locked="0"/>
    </xf>
    <xf numFmtId="164" fontId="4" fillId="0" borderId="0" xfId="69" applyNumberFormat="1" applyFont="1" applyAlignment="1">
      <alignment horizontal="center"/>
    </xf>
    <xf numFmtId="0" fontId="4" fillId="0" borderId="0" xfId="81" applyFont="1" applyAlignment="1">
      <alignment horizontal="center"/>
    </xf>
    <xf numFmtId="164" fontId="3" fillId="0" borderId="0" xfId="69" applyNumberFormat="1" applyFont="1" applyAlignment="1">
      <alignment horizontal="center" shrinkToFit="1"/>
    </xf>
    <xf numFmtId="164" fontId="3" fillId="0" borderId="1" xfId="69" applyNumberFormat="1" applyFont="1" applyBorder="1" applyAlignment="1">
      <alignment horizontal="center" shrinkToFit="1"/>
    </xf>
    <xf numFmtId="0" fontId="0" fillId="0" borderId="0" xfId="0" applyAlignment="1">
      <alignment horizontal="center"/>
    </xf>
    <xf numFmtId="0" fontId="35" fillId="0" borderId="0" xfId="81" applyFont="1" applyAlignment="1" applyProtection="1">
      <alignment horizontal="left"/>
      <protection locked="0"/>
    </xf>
    <xf numFmtId="0" fontId="3" fillId="0" borderId="0" xfId="0" applyFont="1" applyAlignment="1">
      <alignment horizontal="left" indent="1"/>
    </xf>
    <xf numFmtId="0" fontId="3" fillId="58" borderId="0" xfId="0" applyFont="1" applyFill="1" applyAlignment="1">
      <alignment horizontal="left"/>
    </xf>
    <xf numFmtId="0" fontId="3" fillId="58" borderId="0" xfId="0" applyFont="1" applyFill="1"/>
    <xf numFmtId="0" fontId="71" fillId="58" borderId="0" xfId="57" applyFont="1" applyFill="1" applyAlignment="1" applyProtection="1">
      <alignment horizontal="center"/>
    </xf>
    <xf numFmtId="0" fontId="0" fillId="58" borderId="0" xfId="57" applyFont="1" applyFill="1" applyAlignment="1" applyProtection="1">
      <alignment horizontal="center"/>
    </xf>
    <xf numFmtId="0" fontId="4" fillId="58" borderId="0" xfId="81" applyFont="1" applyFill="1" applyAlignment="1">
      <alignment horizontal="center"/>
    </xf>
    <xf numFmtId="0" fontId="0" fillId="58" borderId="0" xfId="0" applyFill="1" applyAlignment="1">
      <alignment horizontal="center"/>
    </xf>
    <xf numFmtId="164" fontId="3" fillId="58" borderId="0" xfId="69" applyNumberFormat="1" applyFont="1" applyFill="1" applyAlignment="1">
      <alignment horizontal="center" shrinkToFit="1"/>
    </xf>
    <xf numFmtId="164" fontId="3" fillId="58" borderId="1" xfId="69" applyNumberFormat="1" applyFont="1" applyFill="1" applyBorder="1" applyAlignment="1" applyProtection="1">
      <alignment horizontal="center" shrinkToFit="1"/>
      <protection locked="0"/>
    </xf>
    <xf numFmtId="0" fontId="5" fillId="58" borderId="0" xfId="0" applyFont="1" applyFill="1" applyAlignment="1">
      <alignment horizontal="left"/>
    </xf>
    <xf numFmtId="0" fontId="35" fillId="58" borderId="0" xfId="81" applyFont="1" applyFill="1" applyAlignment="1" applyProtection="1">
      <alignment horizontal="left"/>
      <protection locked="0"/>
    </xf>
    <xf numFmtId="0" fontId="65" fillId="0" borderId="0" xfId="69" applyFont="1" applyAlignment="1">
      <alignment horizontal="left"/>
    </xf>
    <xf numFmtId="0" fontId="3" fillId="0" borderId="0" xfId="69" applyFont="1" applyProtection="1">
      <protection locked="0"/>
    </xf>
    <xf numFmtId="0" fontId="5" fillId="0" borderId="0" xfId="91" applyFont="1" applyAlignment="1">
      <alignment wrapText="1"/>
    </xf>
    <xf numFmtId="0" fontId="5" fillId="0" borderId="0" xfId="69" applyFont="1"/>
    <xf numFmtId="0" fontId="5" fillId="0" borderId="11" xfId="69" applyFont="1" applyBorder="1"/>
    <xf numFmtId="0" fontId="164" fillId="0" borderId="0" xfId="69" applyFont="1" applyAlignment="1">
      <alignment vertical="top" wrapText="1"/>
    </xf>
    <xf numFmtId="0" fontId="211" fillId="0" borderId="0" xfId="69" applyAlignment="1">
      <alignment wrapText="1"/>
    </xf>
    <xf numFmtId="0" fontId="5" fillId="0" borderId="0" xfId="69" applyFont="1" applyAlignment="1">
      <alignment wrapText="1"/>
    </xf>
    <xf numFmtId="0" fontId="211" fillId="0" borderId="11" xfId="69" applyBorder="1" applyAlignment="1">
      <alignment wrapText="1"/>
    </xf>
    <xf numFmtId="0" fontId="5" fillId="0" borderId="1" xfId="69" applyFont="1" applyBorder="1" applyAlignment="1">
      <alignment horizontal="center"/>
    </xf>
    <xf numFmtId="0" fontId="3" fillId="0" borderId="0" xfId="69" applyFont="1" applyAlignment="1" applyProtection="1">
      <alignment horizontal="left"/>
      <protection locked="0"/>
    </xf>
    <xf numFmtId="0" fontId="3" fillId="0" borderId="11" xfId="69" applyFont="1" applyBorder="1" applyAlignment="1" applyProtection="1">
      <alignment horizontal="left"/>
      <protection locked="0"/>
    </xf>
    <xf numFmtId="0" fontId="3" fillId="0" borderId="0" xfId="91" applyFont="1" applyAlignment="1">
      <alignment wrapText="1"/>
    </xf>
    <xf numFmtId="0" fontId="211" fillId="0" borderId="0" xfId="69"/>
    <xf numFmtId="0" fontId="211" fillId="0" borderId="11" xfId="69" applyBorder="1"/>
    <xf numFmtId="0" fontId="3" fillId="0" borderId="0" xfId="69" applyFont="1" applyAlignment="1">
      <alignment wrapText="1"/>
    </xf>
    <xf numFmtId="0" fontId="188" fillId="0" borderId="1" xfId="69" applyFont="1" applyBorder="1"/>
    <xf numFmtId="0" fontId="134" fillId="0" borderId="8" xfId="91" applyFont="1" applyBorder="1" applyAlignment="1">
      <alignment vertical="top" wrapText="1"/>
    </xf>
    <xf numFmtId="0" fontId="196" fillId="0" borderId="8" xfId="69" applyFont="1" applyBorder="1" applyAlignment="1">
      <alignment wrapText="1"/>
    </xf>
    <xf numFmtId="0" fontId="196" fillId="0" borderId="0" xfId="69" applyFont="1" applyAlignment="1">
      <alignment wrapText="1"/>
    </xf>
    <xf numFmtId="0" fontId="3" fillId="0" borderId="1" xfId="0" applyFont="1" applyBorder="1" applyAlignment="1">
      <alignment wrapText="1"/>
    </xf>
    <xf numFmtId="0" fontId="3" fillId="0" borderId="0" xfId="69" applyFont="1"/>
    <xf numFmtId="0" fontId="0" fillId="0" borderId="11" xfId="0" applyBorder="1"/>
    <xf numFmtId="0" fontId="5" fillId="0" borderId="23" xfId="69" applyFont="1" applyBorder="1" applyAlignment="1">
      <alignment vertical="top" wrapText="1"/>
    </xf>
    <xf numFmtId="0" fontId="3" fillId="0" borderId="4" xfId="69" applyFont="1" applyBorder="1" applyAlignment="1">
      <alignment vertical="top" wrapText="1"/>
    </xf>
    <xf numFmtId="0" fontId="211" fillId="0" borderId="4" xfId="69" applyBorder="1" applyAlignment="1">
      <alignment vertical="top" wrapText="1"/>
    </xf>
    <xf numFmtId="0" fontId="211" fillId="0" borderId="33" xfId="69" applyBorder="1" applyAlignment="1">
      <alignment vertical="top" wrapText="1"/>
    </xf>
    <xf numFmtId="0" fontId="94" fillId="0" borderId="0" xfId="69" applyFont="1" applyAlignment="1">
      <alignment horizontal="right"/>
    </xf>
    <xf numFmtId="176" fontId="3" fillId="5" borderId="15" xfId="91" applyNumberFormat="1" applyFont="1" applyFill="1" applyBorder="1"/>
    <xf numFmtId="0" fontId="211" fillId="5" borderId="15" xfId="69" applyFill="1" applyBorder="1"/>
    <xf numFmtId="0" fontId="128" fillId="0" borderId="0" xfId="69" applyFont="1" applyAlignment="1">
      <alignment horizontal="right"/>
    </xf>
    <xf numFmtId="0" fontId="4" fillId="0" borderId="0" xfId="91" applyFont="1" applyAlignment="1">
      <alignment horizontal="center"/>
    </xf>
    <xf numFmtId="0" fontId="188" fillId="0" borderId="4" xfId="69" applyFont="1" applyBorder="1"/>
    <xf numFmtId="0" fontId="155" fillId="0" borderId="0" xfId="69" applyFont="1" applyAlignment="1">
      <alignment horizontal="left"/>
    </xf>
    <xf numFmtId="0" fontId="160" fillId="0" borderId="0" xfId="69" applyFont="1" applyAlignment="1">
      <alignment horizontal="left" wrapText="1"/>
    </xf>
    <xf numFmtId="0" fontId="13" fillId="0" borderId="4" xfId="90" applyFont="1" applyBorder="1" applyAlignment="1">
      <alignment horizontal="center"/>
    </xf>
    <xf numFmtId="0" fontId="3" fillId="0" borderId="11" xfId="69" applyFont="1" applyBorder="1" applyAlignment="1">
      <alignment wrapText="1"/>
    </xf>
    <xf numFmtId="0" fontId="3" fillId="0" borderId="1" xfId="90" applyFont="1" applyBorder="1" applyAlignment="1" applyProtection="1">
      <alignment horizontal="center" shrinkToFit="1"/>
      <protection locked="0"/>
    </xf>
    <xf numFmtId="0" fontId="3" fillId="0" borderId="4" xfId="90" applyFont="1" applyBorder="1" applyAlignment="1" applyProtection="1">
      <alignment horizontal="center" shrinkToFit="1"/>
      <protection locked="0"/>
    </xf>
    <xf numFmtId="0" fontId="4" fillId="0" borderId="0" xfId="90" applyFont="1" applyAlignment="1">
      <alignment horizontal="center"/>
    </xf>
    <xf numFmtId="0" fontId="3" fillId="0" borderId="1" xfId="90" applyFont="1" applyBorder="1" applyAlignment="1">
      <alignment horizontal="center"/>
    </xf>
    <xf numFmtId="0" fontId="3" fillId="0" borderId="0" xfId="90" applyFont="1" applyAlignment="1" applyProtection="1">
      <alignment horizontal="center" shrinkToFit="1"/>
      <protection locked="0"/>
    </xf>
    <xf numFmtId="0" fontId="9" fillId="0" borderId="1" xfId="115" applyBorder="1" applyAlignment="1" applyProtection="1">
      <alignment horizontal="left"/>
      <protection locked="0"/>
    </xf>
    <xf numFmtId="0" fontId="0" fillId="0" borderId="1" xfId="0" applyBorder="1" applyAlignment="1" applyProtection="1">
      <alignment horizontal="left"/>
      <protection locked="0"/>
    </xf>
    <xf numFmtId="164" fontId="3" fillId="0" borderId="4" xfId="115" applyNumberFormat="1" applyFont="1" applyBorder="1" applyAlignment="1" applyProtection="1">
      <alignment horizontal="center" shrinkToFit="1"/>
      <protection locked="0"/>
    </xf>
    <xf numFmtId="0" fontId="5" fillId="6" borderId="0" xfId="115" applyFont="1" applyFill="1" applyAlignment="1">
      <alignment horizontal="left"/>
    </xf>
    <xf numFmtId="0" fontId="3" fillId="0" borderId="0" xfId="115" applyFont="1" applyAlignment="1">
      <alignment vertical="center" wrapText="1"/>
    </xf>
    <xf numFmtId="0" fontId="0" fillId="0" borderId="0" xfId="0" applyAlignment="1">
      <alignment vertical="center" wrapText="1"/>
    </xf>
    <xf numFmtId="0" fontId="89" fillId="6" borderId="0" xfId="115" applyFont="1" applyFill="1" applyAlignment="1" applyProtection="1">
      <alignment horizontal="left"/>
      <protection locked="0"/>
    </xf>
    <xf numFmtId="0" fontId="0" fillId="0" borderId="0" xfId="0" applyProtection="1">
      <protection locked="0"/>
    </xf>
    <xf numFmtId="0" fontId="53" fillId="0" borderId="0" xfId="115" applyFont="1" applyAlignment="1">
      <alignment horizontal="center"/>
    </xf>
    <xf numFmtId="164" fontId="3" fillId="0" borderId="1" xfId="115" applyNumberFormat="1" applyFont="1" applyBorder="1" applyAlignment="1" applyProtection="1">
      <alignment horizontal="center" shrinkToFit="1"/>
      <protection locked="0"/>
    </xf>
    <xf numFmtId="164" fontId="3" fillId="0" borderId="1" xfId="115" applyNumberFormat="1" applyFont="1" applyBorder="1" applyAlignment="1">
      <alignment horizontal="center" shrinkToFit="1"/>
    </xf>
    <xf numFmtId="39" fontId="3" fillId="0" borderId="3" xfId="81" applyNumberFormat="1" applyFont="1" applyBorder="1"/>
    <xf numFmtId="0" fontId="3" fillId="0" borderId="0" xfId="81" applyFont="1" applyAlignment="1">
      <alignment horizontal="center"/>
    </xf>
    <xf numFmtId="176" fontId="3" fillId="3" borderId="4" xfId="81" applyNumberFormat="1" applyFont="1" applyFill="1" applyBorder="1"/>
    <xf numFmtId="176" fontId="3" fillId="0" borderId="4" xfId="81" applyNumberFormat="1" applyFont="1" applyBorder="1" applyProtection="1">
      <protection locked="0"/>
    </xf>
    <xf numFmtId="176" fontId="3" fillId="60" borderId="4" xfId="81" applyNumberFormat="1" applyFont="1" applyFill="1" applyBorder="1" applyProtection="1">
      <protection locked="0"/>
    </xf>
    <xf numFmtId="176" fontId="3" fillId="60" borderId="4" xfId="81" applyNumberFormat="1" applyFont="1" applyFill="1" applyBorder="1" applyAlignment="1" applyProtection="1">
      <alignment horizontal="right"/>
      <protection locked="0"/>
    </xf>
    <xf numFmtId="0" fontId="3" fillId="0" borderId="0" xfId="88" applyFont="1" applyAlignment="1" applyProtection="1">
      <alignment horizontal="left"/>
      <protection hidden="1"/>
    </xf>
    <xf numFmtId="0" fontId="3" fillId="0" borderId="4" xfId="81" applyFont="1" applyBorder="1" applyProtection="1">
      <protection locked="0"/>
    </xf>
    <xf numFmtId="0" fontId="3" fillId="0" borderId="4" xfId="81" applyFont="1" applyBorder="1"/>
    <xf numFmtId="16" fontId="3" fillId="0" borderId="0" xfId="81" applyNumberFormat="1" applyFont="1" applyAlignment="1">
      <alignment horizontal="center"/>
    </xf>
    <xf numFmtId="0" fontId="3" fillId="0" borderId="0" xfId="81" applyFont="1" applyAlignment="1">
      <alignment horizontal="left"/>
    </xf>
    <xf numFmtId="189" fontId="3" fillId="0" borderId="0" xfId="81" applyNumberFormat="1" applyFont="1" applyAlignment="1">
      <alignment horizontal="center"/>
    </xf>
    <xf numFmtId="0" fontId="3" fillId="0" borderId="1" xfId="81" applyFont="1" applyBorder="1" applyAlignment="1">
      <alignment horizontal="center"/>
    </xf>
    <xf numFmtId="0" fontId="3" fillId="0" borderId="4" xfId="81" applyFont="1" applyBorder="1" applyAlignment="1">
      <alignment horizontal="center"/>
    </xf>
    <xf numFmtId="0" fontId="56" fillId="0" borderId="0" xfId="81" applyFont="1" applyAlignment="1">
      <alignment horizontal="left" wrapText="1"/>
    </xf>
    <xf numFmtId="164" fontId="4" fillId="0" borderId="0" xfId="0" applyNumberFormat="1" applyFont="1" applyAlignment="1">
      <alignment horizontal="center"/>
    </xf>
    <xf numFmtId="0" fontId="66" fillId="0" borderId="0" xfId="81" applyFont="1" applyAlignment="1">
      <alignment horizontal="center"/>
    </xf>
    <xf numFmtId="39" fontId="3" fillId="0" borderId="4" xfId="81" applyNumberFormat="1" applyFont="1" applyBorder="1"/>
    <xf numFmtId="176" fontId="0" fillId="0" borderId="4" xfId="81" applyNumberFormat="1" applyFont="1" applyBorder="1" applyAlignment="1">
      <alignment horizontal="center"/>
    </xf>
    <xf numFmtId="0" fontId="3" fillId="0" borderId="0" xfId="81" applyFont="1" applyProtection="1">
      <protection locked="0"/>
    </xf>
    <xf numFmtId="176" fontId="3" fillId="0" borderId="0" xfId="81" applyNumberFormat="1" applyFont="1" applyProtection="1">
      <protection locked="0"/>
    </xf>
    <xf numFmtId="0" fontId="3" fillId="0" borderId="1" xfId="81" applyFont="1" applyBorder="1" applyAlignment="1" applyProtection="1">
      <alignment horizontal="center"/>
      <protection locked="0"/>
    </xf>
    <xf numFmtId="0" fontId="3" fillId="0" borderId="0" xfId="88" applyFont="1" applyProtection="1">
      <protection hidden="1"/>
    </xf>
    <xf numFmtId="0" fontId="3" fillId="0" borderId="4" xfId="81" applyFont="1" applyBorder="1" applyAlignment="1" applyProtection="1">
      <alignment horizontal="left"/>
      <protection locked="0"/>
    </xf>
    <xf numFmtId="0" fontId="3" fillId="0" borderId="0" xfId="81" applyFont="1" applyAlignment="1" applyProtection="1">
      <alignment horizontal="left"/>
      <protection locked="0"/>
    </xf>
    <xf numFmtId="0" fontId="3" fillId="0" borderId="1" xfId="81" applyFont="1" applyBorder="1" applyAlignment="1">
      <alignment horizontal="left"/>
    </xf>
    <xf numFmtId="0" fontId="3" fillId="0" borderId="38" xfId="81" applyFont="1" applyBorder="1" applyAlignment="1">
      <alignment horizontal="center"/>
    </xf>
    <xf numFmtId="39" fontId="3" fillId="0" borderId="3" xfId="81" applyNumberFormat="1" applyFont="1" applyBorder="1" applyAlignment="1">
      <alignment horizontal="right"/>
    </xf>
    <xf numFmtId="176" fontId="3" fillId="0" borderId="4" xfId="81" applyNumberFormat="1" applyFont="1" applyBorder="1" applyAlignment="1" applyProtection="1">
      <alignment horizontal="right"/>
      <protection locked="0"/>
    </xf>
    <xf numFmtId="0" fontId="120" fillId="0" borderId="0" xfId="81" applyFont="1" applyAlignment="1">
      <alignment horizontal="center"/>
    </xf>
    <xf numFmtId="0" fontId="56" fillId="0" borderId="0" xfId="81" applyFont="1"/>
    <xf numFmtId="0" fontId="56" fillId="0" borderId="0" xfId="0" applyFont="1"/>
    <xf numFmtId="164" fontId="3" fillId="0" borderId="0" xfId="0" applyNumberFormat="1" applyFont="1" applyAlignment="1">
      <alignment horizontal="center" shrinkToFit="1"/>
    </xf>
    <xf numFmtId="0" fontId="56" fillId="0" borderId="0" xfId="107" applyFont="1" applyAlignment="1" applyProtection="1">
      <alignment horizontal="center"/>
      <protection hidden="1"/>
    </xf>
    <xf numFmtId="0" fontId="3" fillId="0" borderId="1" xfId="107" applyFont="1" applyBorder="1" applyAlignment="1" applyProtection="1">
      <alignment horizontal="center" shrinkToFit="1"/>
      <protection locked="0"/>
    </xf>
    <xf numFmtId="0" fontId="4" fillId="0" borderId="0" xfId="107" applyFont="1" applyAlignment="1">
      <alignment horizontal="center"/>
    </xf>
    <xf numFmtId="0" fontId="3" fillId="0" borderId="1" xfId="107" applyFont="1" applyBorder="1" applyAlignment="1">
      <alignment horizontal="center"/>
    </xf>
    <xf numFmtId="0" fontId="3" fillId="0" borderId="4" xfId="107" applyFont="1" applyBorder="1" applyAlignment="1" applyProtection="1">
      <alignment horizontal="center"/>
      <protection locked="0"/>
    </xf>
    <xf numFmtId="0" fontId="5" fillId="0" borderId="16" xfId="109" applyFont="1" applyBorder="1" applyAlignment="1">
      <alignment horizontal="center"/>
    </xf>
    <xf numFmtId="0" fontId="4" fillId="0" borderId="0" xfId="108" applyFont="1" applyAlignment="1">
      <alignment horizontal="center"/>
    </xf>
    <xf numFmtId="0" fontId="5" fillId="0" borderId="2" xfId="109" applyFont="1" applyBorder="1" applyAlignment="1" applyProtection="1">
      <alignment horizontal="center"/>
      <protection locked="0"/>
    </xf>
    <xf numFmtId="0" fontId="4" fillId="0" borderId="0" xfId="115" applyFont="1" applyAlignment="1" applyProtection="1">
      <alignment horizontal="center" vertical="center"/>
      <protection locked="0"/>
    </xf>
    <xf numFmtId="0" fontId="3" fillId="0" borderId="1" xfId="108" applyFont="1" applyBorder="1" applyAlignment="1">
      <alignment horizontal="center" shrinkToFit="1"/>
    </xf>
    <xf numFmtId="0" fontId="3" fillId="0" borderId="4" xfId="108" applyFont="1" applyBorder="1" applyAlignment="1" applyProtection="1">
      <alignment horizontal="center" shrinkToFit="1"/>
      <protection locked="0"/>
    </xf>
    <xf numFmtId="0" fontId="292" fillId="54" borderId="0" xfId="0" applyFont="1" applyFill="1" applyAlignment="1">
      <alignment horizontal="center"/>
    </xf>
    <xf numFmtId="0" fontId="5" fillId="0" borderId="16" xfId="108" applyFont="1" applyBorder="1" applyAlignment="1">
      <alignment horizontal="center"/>
    </xf>
    <xf numFmtId="0" fontId="4" fillId="0" borderId="0" xfId="110" applyFont="1" applyAlignment="1">
      <alignment horizontal="center"/>
    </xf>
    <xf numFmtId="0" fontId="5" fillId="0" borderId="2" xfId="108" applyFont="1" applyBorder="1" applyAlignment="1">
      <alignment horizontal="center"/>
    </xf>
    <xf numFmtId="0" fontId="6" fillId="0" borderId="0" xfId="110" applyFont="1"/>
    <xf numFmtId="0" fontId="6" fillId="0" borderId="0" xfId="110" applyFont="1" applyAlignment="1">
      <alignment horizontal="left"/>
    </xf>
    <xf numFmtId="0" fontId="12" fillId="0" borderId="0" xfId="110" applyFont="1"/>
    <xf numFmtId="0" fontId="4" fillId="0" borderId="0" xfId="112" applyFont="1" applyAlignment="1">
      <alignment horizontal="center"/>
    </xf>
    <xf numFmtId="0" fontId="4" fillId="0" borderId="0" xfId="139" applyFont="1" applyAlignment="1">
      <alignment horizontal="center"/>
    </xf>
    <xf numFmtId="0" fontId="3" fillId="0" borderId="1" xfId="138" applyFont="1" applyBorder="1" applyAlignment="1" applyProtection="1">
      <alignment horizontal="left" shrinkToFit="1"/>
      <protection locked="0"/>
    </xf>
    <xf numFmtId="0" fontId="71" fillId="0" borderId="0" xfId="59" applyFont="1" applyAlignment="1" applyProtection="1">
      <alignment horizontal="center"/>
    </xf>
    <xf numFmtId="0" fontId="66" fillId="0" borderId="0" xfId="112" applyFont="1" applyAlignment="1">
      <alignment horizontal="center"/>
    </xf>
    <xf numFmtId="0" fontId="3" fillId="0" borderId="1" xfId="139" applyFont="1" applyBorder="1" applyAlignment="1">
      <alignment horizontal="left" shrinkToFit="1"/>
    </xf>
    <xf numFmtId="0" fontId="3" fillId="0" borderId="1" xfId="139" applyFont="1" applyBorder="1" applyAlignment="1" applyProtection="1">
      <alignment horizontal="left" shrinkToFit="1"/>
      <protection locked="0"/>
    </xf>
    <xf numFmtId="0" fontId="5" fillId="0" borderId="2" xfId="139" applyFont="1" applyBorder="1" applyAlignment="1">
      <alignment horizontal="center"/>
    </xf>
    <xf numFmtId="0" fontId="5" fillId="0" borderId="0" xfId="139" applyFont="1" applyAlignment="1">
      <alignment horizontal="center" vertical="center"/>
    </xf>
    <xf numFmtId="0" fontId="56" fillId="0" borderId="0" xfId="139" applyFont="1" applyAlignment="1">
      <alignment horizontal="center" vertical="center"/>
    </xf>
    <xf numFmtId="0" fontId="3" fillId="0" borderId="0" xfId="139" applyFont="1" applyAlignment="1">
      <alignment horizontal="left"/>
    </xf>
    <xf numFmtId="0" fontId="3" fillId="0" borderId="4" xfId="139" applyFont="1" applyBorder="1" applyAlignment="1">
      <alignment horizontal="left" shrinkToFit="1"/>
    </xf>
    <xf numFmtId="0" fontId="3" fillId="0" borderId="4" xfId="139" applyFont="1" applyBorder="1" applyAlignment="1" applyProtection="1">
      <alignment horizontal="left" shrinkToFit="1"/>
      <protection locked="0"/>
    </xf>
    <xf numFmtId="0" fontId="0" fillId="0" borderId="1" xfId="139" applyFont="1" applyBorder="1" applyAlignment="1">
      <alignment horizontal="left" shrinkToFit="1"/>
    </xf>
    <xf numFmtId="0" fontId="0" fillId="0" borderId="0" xfId="139" applyFont="1" applyAlignment="1">
      <alignment horizontal="left"/>
    </xf>
    <xf numFmtId="0" fontId="0" fillId="0" borderId="1" xfId="138" applyFont="1" applyBorder="1" applyAlignment="1" applyProtection="1">
      <alignment horizontal="left" shrinkToFit="1"/>
      <protection locked="0"/>
    </xf>
    <xf numFmtId="0" fontId="0" fillId="0" borderId="4" xfId="139" applyFont="1" applyBorder="1" applyAlignment="1">
      <alignment horizontal="left" shrinkToFit="1"/>
    </xf>
    <xf numFmtId="0" fontId="0" fillId="0" borderId="4" xfId="139" applyFont="1" applyBorder="1" applyAlignment="1" applyProtection="1">
      <alignment horizontal="left" shrinkToFit="1"/>
      <protection locked="0"/>
    </xf>
    <xf numFmtId="0" fontId="5" fillId="0" borderId="59" xfId="136" applyFont="1" applyBorder="1" applyAlignment="1">
      <alignment horizontal="center"/>
    </xf>
    <xf numFmtId="0" fontId="5" fillId="0" borderId="22" xfId="136" applyFont="1" applyBorder="1" applyAlignment="1">
      <alignment horizontal="center"/>
    </xf>
    <xf numFmtId="0" fontId="5" fillId="0" borderId="60" xfId="136" applyFont="1" applyBorder="1" applyAlignment="1">
      <alignment horizontal="center"/>
    </xf>
    <xf numFmtId="0" fontId="3" fillId="0" borderId="4" xfId="137" applyFont="1" applyBorder="1" applyAlignment="1">
      <alignment horizontal="left" shrinkToFit="1"/>
    </xf>
    <xf numFmtId="0" fontId="3" fillId="0" borderId="4" xfId="136" applyFont="1" applyBorder="1" applyAlignment="1" applyProtection="1">
      <alignment horizontal="left"/>
      <protection locked="0"/>
    </xf>
    <xf numFmtId="0" fontId="3" fillId="0" borderId="4" xfId="137" applyFont="1" applyBorder="1" applyAlignment="1" applyProtection="1">
      <alignment horizontal="left" vertical="top" shrinkToFit="1"/>
      <protection locked="0"/>
    </xf>
    <xf numFmtId="0" fontId="4" fillId="0" borderId="0" xfId="136" applyFont="1" applyAlignment="1">
      <alignment horizontal="center"/>
    </xf>
    <xf numFmtId="0" fontId="3" fillId="0" borderId="1" xfId="138" applyFont="1" applyBorder="1" applyAlignment="1" applyProtection="1">
      <alignment horizontal="left" vertical="top" shrinkToFit="1"/>
      <protection locked="0"/>
    </xf>
    <xf numFmtId="0" fontId="54" fillId="0" borderId="0" xfId="139" applyFont="1" applyAlignment="1">
      <alignment horizontal="center" vertical="center"/>
    </xf>
    <xf numFmtId="0" fontId="237" fillId="0" borderId="0" xfId="139" applyFont="1" applyAlignment="1">
      <alignment horizontal="center" vertical="center"/>
    </xf>
    <xf numFmtId="0" fontId="3" fillId="0" borderId="4" xfId="139" applyFont="1" applyBorder="1" applyAlignment="1">
      <alignment shrinkToFit="1"/>
    </xf>
    <xf numFmtId="0" fontId="3" fillId="0" borderId="1" xfId="111" applyFont="1" applyBorder="1" applyAlignment="1">
      <alignment horizontal="center" shrinkToFit="1"/>
    </xf>
    <xf numFmtId="0" fontId="4" fillId="0" borderId="0" xfId="104" applyFont="1" applyAlignment="1">
      <alignment horizontal="center"/>
    </xf>
    <xf numFmtId="0" fontId="3" fillId="0" borderId="4" xfId="111" applyFont="1" applyBorder="1" applyAlignment="1" applyProtection="1">
      <alignment horizontal="center" shrinkToFit="1"/>
      <protection locked="0"/>
    </xf>
    <xf numFmtId="0" fontId="35" fillId="0" borderId="4" xfId="81" applyFont="1" applyBorder="1" applyAlignment="1" applyProtection="1">
      <alignment horizontal="left"/>
      <protection locked="0"/>
    </xf>
    <xf numFmtId="176" fontId="35" fillId="0" borderId="4" xfId="81" applyNumberFormat="1" applyFont="1" applyBorder="1" applyProtection="1">
      <protection locked="0"/>
    </xf>
    <xf numFmtId="0" fontId="35" fillId="0" borderId="4" xfId="81" applyFont="1" applyBorder="1" applyProtection="1">
      <protection locked="0"/>
    </xf>
    <xf numFmtId="0" fontId="43" fillId="0" borderId="0" xfId="81" applyFont="1" applyAlignment="1">
      <alignment horizontal="center"/>
    </xf>
    <xf numFmtId="0" fontId="35" fillId="0" borderId="1" xfId="81" applyFont="1" applyBorder="1" applyAlignment="1" applyProtection="1">
      <alignment horizontal="center"/>
      <protection locked="0"/>
    </xf>
    <xf numFmtId="0" fontId="35" fillId="0" borderId="1" xfId="81" applyFont="1" applyBorder="1" applyAlignment="1">
      <alignment horizontal="center"/>
    </xf>
    <xf numFmtId="0" fontId="35" fillId="0" borderId="0" xfId="81" applyFont="1" applyAlignment="1">
      <alignment horizontal="left"/>
    </xf>
    <xf numFmtId="0" fontId="4" fillId="0" borderId="0" xfId="92" applyFont="1" applyAlignment="1">
      <alignment horizontal="center"/>
    </xf>
    <xf numFmtId="0" fontId="3" fillId="0" borderId="1" xfId="92" applyFont="1" applyBorder="1" applyAlignment="1">
      <alignment horizontal="center"/>
    </xf>
    <xf numFmtId="4" fontId="3" fillId="0" borderId="1" xfId="92" applyNumberFormat="1" applyFont="1" applyBorder="1" applyAlignment="1" applyProtection="1">
      <alignment horizontal="right"/>
      <protection locked="0"/>
    </xf>
    <xf numFmtId="0" fontId="3" fillId="0" borderId="0" xfId="92" applyFont="1" applyAlignment="1">
      <alignment horizontal="center"/>
    </xf>
    <xf numFmtId="0" fontId="3" fillId="0" borderId="0" xfId="92" applyFont="1"/>
    <xf numFmtId="0" fontId="3" fillId="0" borderId="10" xfId="92" applyFont="1" applyBorder="1" applyAlignment="1">
      <alignment vertical="top" wrapText="1"/>
    </xf>
    <xf numFmtId="0" fontId="3" fillId="0" borderId="0" xfId="92" applyFont="1" applyAlignment="1">
      <alignment vertical="top" wrapText="1"/>
    </xf>
    <xf numFmtId="0" fontId="3" fillId="0" borderId="11" xfId="92" applyFont="1" applyBorder="1" applyAlignment="1">
      <alignment vertical="top" wrapText="1"/>
    </xf>
    <xf numFmtId="0" fontId="3" fillId="0" borderId="12" xfId="92" applyFont="1" applyBorder="1" applyAlignment="1">
      <alignment vertical="top" wrapText="1"/>
    </xf>
    <xf numFmtId="0" fontId="3" fillId="0" borderId="1" xfId="92" applyFont="1" applyBorder="1" applyAlignment="1">
      <alignment vertical="top" wrapText="1"/>
    </xf>
    <xf numFmtId="0" fontId="3" fillId="0" borderId="13" xfId="92" applyFont="1" applyBorder="1" applyAlignment="1">
      <alignment vertical="top" wrapText="1"/>
    </xf>
    <xf numFmtId="0" fontId="3" fillId="0" borderId="21" xfId="92" applyFont="1" applyBorder="1" applyAlignment="1">
      <alignment vertical="top" wrapText="1"/>
    </xf>
    <xf numFmtId="0" fontId="3" fillId="0" borderId="8" xfId="92" applyFont="1" applyBorder="1" applyAlignment="1">
      <alignment vertical="top" wrapText="1"/>
    </xf>
    <xf numFmtId="0" fontId="3" fillId="0" borderId="9" xfId="92" applyFont="1" applyBorder="1" applyAlignment="1">
      <alignment vertical="top" wrapText="1"/>
    </xf>
    <xf numFmtId="176" fontId="3" fillId="0" borderId="2" xfId="92" applyNumberFormat="1" applyFont="1" applyBorder="1"/>
    <xf numFmtId="176" fontId="3" fillId="0" borderId="14" xfId="92" applyNumberFormat="1" applyFont="1" applyBorder="1"/>
    <xf numFmtId="0" fontId="3" fillId="0" borderId="27" xfId="92" applyFont="1" applyBorder="1" applyAlignment="1">
      <alignment horizontal="center" vertical="top" shrinkToFit="1"/>
    </xf>
    <xf numFmtId="0" fontId="5" fillId="0" borderId="1" xfId="92" applyFont="1" applyBorder="1" applyAlignment="1">
      <alignment horizontal="center"/>
    </xf>
    <xf numFmtId="176" fontId="3" fillId="0" borderId="2" xfId="92" applyNumberFormat="1" applyFont="1" applyBorder="1" applyProtection="1">
      <protection locked="0"/>
    </xf>
    <xf numFmtId="0" fontId="5" fillId="0" borderId="0" xfId="92" applyFont="1" applyAlignment="1">
      <alignment horizontal="center"/>
    </xf>
    <xf numFmtId="172" fontId="5" fillId="0" borderId="0" xfId="92" applyNumberFormat="1" applyFont="1" applyAlignment="1">
      <alignment horizontal="center"/>
    </xf>
    <xf numFmtId="0" fontId="54" fillId="9" borderId="0" xfId="115" applyFont="1" applyFill="1"/>
    <xf numFmtId="0" fontId="3" fillId="9" borderId="0" xfId="0" applyFont="1" applyFill="1"/>
    <xf numFmtId="0" fontId="3" fillId="0" borderId="1" xfId="90" applyFont="1" applyBorder="1" applyAlignment="1">
      <alignment horizontal="center" shrinkToFit="1"/>
    </xf>
    <xf numFmtId="176" fontId="3" fillId="0" borderId="4" xfId="0" applyNumberFormat="1" applyFont="1" applyBorder="1" applyProtection="1">
      <protection locked="0"/>
    </xf>
    <xf numFmtId="0" fontId="5" fillId="0" borderId="4" xfId="0" applyFont="1" applyBorder="1" applyProtection="1">
      <protection locked="0"/>
    </xf>
    <xf numFmtId="0" fontId="3" fillId="0" borderId="4" xfId="90" applyFont="1" applyBorder="1" applyAlignment="1">
      <alignment horizontal="center" shrinkToFit="1"/>
    </xf>
    <xf numFmtId="164" fontId="3" fillId="0" borderId="4" xfId="90" applyNumberFormat="1" applyFont="1" applyBorder="1" applyAlignment="1" applyProtection="1">
      <alignment horizontal="center" shrinkToFit="1"/>
      <protection locked="0"/>
    </xf>
    <xf numFmtId="0" fontId="3" fillId="0" borderId="23" xfId="0" applyFont="1" applyBorder="1" applyAlignment="1">
      <alignment horizontal="center"/>
    </xf>
    <xf numFmtId="0" fontId="3" fillId="0" borderId="4" xfId="0" applyFont="1" applyBorder="1" applyAlignment="1">
      <alignment horizontal="center"/>
    </xf>
    <xf numFmtId="0" fontId="3" fillId="0" borderId="33" xfId="0" applyFont="1" applyBorder="1" applyAlignment="1">
      <alignment horizontal="center"/>
    </xf>
    <xf numFmtId="39" fontId="3" fillId="0" borderId="1" xfId="0" applyNumberFormat="1" applyFont="1" applyBorder="1" applyProtection="1">
      <protection locked="0"/>
    </xf>
    <xf numFmtId="0" fontId="54" fillId="0" borderId="0" xfId="115" applyFont="1" applyProtection="1">
      <protection locked="0"/>
    </xf>
    <xf numFmtId="0" fontId="3" fillId="0" borderId="0" xfId="0" applyFont="1" applyProtection="1">
      <protection locked="0"/>
    </xf>
    <xf numFmtId="176" fontId="3" fillId="0" borderId="0" xfId="0" applyNumberFormat="1" applyFont="1"/>
    <xf numFmtId="176" fontId="3" fillId="0" borderId="0" xfId="0" applyNumberFormat="1" applyFont="1" applyProtection="1">
      <protection locked="0"/>
    </xf>
    <xf numFmtId="170" fontId="3" fillId="0" borderId="0" xfId="0" applyNumberFormat="1" applyFont="1"/>
    <xf numFmtId="164" fontId="13" fillId="0" borderId="5" xfId="106" applyNumberFormat="1" applyFont="1" applyBorder="1" applyAlignment="1" applyProtection="1">
      <alignment horizontal="center" wrapText="1"/>
      <protection locked="0"/>
    </xf>
    <xf numFmtId="164" fontId="13" fillId="0" borderId="6" xfId="106" applyNumberFormat="1" applyFont="1" applyBorder="1" applyAlignment="1" applyProtection="1">
      <alignment horizontal="center" wrapText="1"/>
      <protection locked="0"/>
    </xf>
    <xf numFmtId="164" fontId="13" fillId="0" borderId="7" xfId="106" applyNumberFormat="1" applyFont="1" applyBorder="1" applyAlignment="1" applyProtection="1">
      <alignment horizontal="center" wrapText="1"/>
      <protection locked="0"/>
    </xf>
    <xf numFmtId="164" fontId="13" fillId="0" borderId="23" xfId="106" applyNumberFormat="1" applyFont="1" applyBorder="1" applyAlignment="1">
      <alignment horizontal="center"/>
    </xf>
    <xf numFmtId="164" fontId="13" fillId="0" borderId="4" xfId="106" applyNumberFormat="1" applyFont="1" applyBorder="1" applyAlignment="1">
      <alignment horizontal="center"/>
    </xf>
    <xf numFmtId="164" fontId="13" fillId="0" borderId="33" xfId="106" applyNumberFormat="1" applyFont="1" applyBorder="1" applyAlignment="1">
      <alignment horizontal="center"/>
    </xf>
    <xf numFmtId="164" fontId="19" fillId="0" borderId="0" xfId="106" applyNumberFormat="1" applyFont="1" applyAlignment="1">
      <alignment horizontal="center"/>
    </xf>
    <xf numFmtId="0" fontId="9" fillId="0" borderId="1" xfId="106" applyBorder="1" applyAlignment="1">
      <alignment horizontal="left" shrinkToFit="1"/>
    </xf>
    <xf numFmtId="164" fontId="3" fillId="0" borderId="1" xfId="106" applyNumberFormat="1" applyFont="1" applyBorder="1" applyAlignment="1" applyProtection="1">
      <alignment horizontal="center" shrinkToFit="1"/>
      <protection locked="0"/>
    </xf>
    <xf numFmtId="164" fontId="3" fillId="0" borderId="4" xfId="106" applyNumberFormat="1" applyFont="1" applyBorder="1" applyAlignment="1" applyProtection="1">
      <alignment horizontal="center" shrinkToFit="1"/>
      <protection locked="0"/>
    </xf>
    <xf numFmtId="164" fontId="3" fillId="0" borderId="1" xfId="106" applyNumberFormat="1" applyFont="1" applyBorder="1" applyAlignment="1">
      <alignment horizontal="center" shrinkToFit="1"/>
    </xf>
    <xf numFmtId="164" fontId="64" fillId="0" borderId="4" xfId="106" applyNumberFormat="1" applyFont="1" applyBorder="1" applyAlignment="1" applyProtection="1">
      <alignment horizontal="center" vertical="center"/>
      <protection locked="0"/>
    </xf>
    <xf numFmtId="0" fontId="3" fillId="0" borderId="1" xfId="106" applyFont="1" applyBorder="1" applyAlignment="1" applyProtection="1">
      <alignment horizontal="left" shrinkToFit="1"/>
      <protection locked="0"/>
    </xf>
    <xf numFmtId="164" fontId="3" fillId="0" borderId="1" xfId="106" applyNumberFormat="1" applyFont="1" applyBorder="1" applyAlignment="1">
      <alignment horizontal="center"/>
    </xf>
    <xf numFmtId="164" fontId="3" fillId="0" borderId="2" xfId="106" applyNumberFormat="1" applyFont="1" applyBorder="1" applyAlignment="1">
      <alignment horizontal="center"/>
    </xf>
    <xf numFmtId="164" fontId="31" fillId="0" borderId="1" xfId="106" applyNumberFormat="1" applyFont="1" applyBorder="1" applyAlignment="1" applyProtection="1">
      <alignment horizontal="center" vertical="center"/>
      <protection locked="0"/>
    </xf>
    <xf numFmtId="164" fontId="31" fillId="0" borderId="4" xfId="106" applyNumberFormat="1"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0" fontId="3" fillId="0" borderId="4" xfId="0" applyFont="1" applyBorder="1" applyAlignment="1" applyProtection="1">
      <alignment horizontal="left"/>
      <protection locked="0"/>
    </xf>
    <xf numFmtId="168" fontId="3" fillId="0" borderId="1" xfId="83" applyFont="1" applyBorder="1" applyAlignment="1">
      <alignment horizontal="center" shrinkToFit="1"/>
      <protection locked="0"/>
    </xf>
    <xf numFmtId="168" fontId="4" fillId="0" borderId="0" xfId="83" applyFont="1" applyAlignment="1" applyProtection="1">
      <alignment horizontal="center"/>
    </xf>
    <xf numFmtId="1" fontId="3" fillId="0" borderId="1" xfId="83" applyNumberFormat="1" applyFont="1" applyBorder="1" applyAlignment="1" applyProtection="1">
      <alignment horizontal="center" shrinkToFit="1"/>
    </xf>
    <xf numFmtId="168" fontId="3" fillId="0" borderId="1" xfId="83" applyFont="1" applyBorder="1" applyAlignment="1" applyProtection="1">
      <alignment horizontal="center" shrinkToFit="1"/>
    </xf>
    <xf numFmtId="168" fontId="34" fillId="0" borderId="12" xfId="83" applyFont="1" applyBorder="1" applyAlignment="1" applyProtection="1">
      <alignment horizontal="center"/>
    </xf>
    <xf numFmtId="168" fontId="34" fillId="0" borderId="1" xfId="83" applyFont="1" applyBorder="1" applyAlignment="1" applyProtection="1">
      <alignment horizontal="center"/>
    </xf>
    <xf numFmtId="168" fontId="34" fillId="0" borderId="13" xfId="83" applyFont="1" applyBorder="1" applyAlignment="1" applyProtection="1">
      <alignment horizontal="center"/>
    </xf>
    <xf numFmtId="168" fontId="3" fillId="0" borderId="4" xfId="83" applyFont="1" applyBorder="1" applyAlignment="1">
      <alignment horizontal="center"/>
      <protection locked="0"/>
    </xf>
    <xf numFmtId="0" fontId="5" fillId="0" borderId="1" xfId="113" applyFont="1" applyBorder="1" applyAlignment="1">
      <alignment horizontal="center"/>
    </xf>
    <xf numFmtId="0" fontId="13" fillId="0" borderId="4" xfId="105" applyBorder="1" applyAlignment="1" applyProtection="1">
      <alignment horizontal="left" vertical="top" wrapText="1"/>
      <protection locked="0"/>
    </xf>
    <xf numFmtId="0" fontId="3" fillId="0" borderId="4" xfId="113" applyFont="1" applyBorder="1" applyProtection="1">
      <protection locked="0"/>
    </xf>
    <xf numFmtId="0" fontId="5" fillId="0" borderId="1" xfId="113" applyFont="1" applyBorder="1" applyAlignment="1">
      <alignment horizontal="left" wrapText="1"/>
    </xf>
    <xf numFmtId="0" fontId="3" fillId="0" borderId="1" xfId="113" applyFont="1" applyBorder="1" applyProtection="1">
      <protection locked="0"/>
    </xf>
    <xf numFmtId="0" fontId="3" fillId="0" borderId="1" xfId="113" applyFont="1" applyBorder="1" applyAlignment="1">
      <alignment horizontal="center" shrinkToFit="1"/>
    </xf>
    <xf numFmtId="0" fontId="3" fillId="0" borderId="4" xfId="113" applyFont="1" applyBorder="1" applyAlignment="1" applyProtection="1">
      <alignment horizontal="center" shrinkToFit="1"/>
      <protection locked="0"/>
    </xf>
    <xf numFmtId="164" fontId="3" fillId="0" borderId="1" xfId="113" applyNumberFormat="1" applyFont="1" applyBorder="1" applyAlignment="1" applyProtection="1">
      <alignment horizontal="center" shrinkToFit="1"/>
      <protection locked="0"/>
    </xf>
    <xf numFmtId="0" fontId="4" fillId="0" borderId="0" xfId="113" applyFont="1" applyAlignment="1">
      <alignment horizontal="center"/>
    </xf>
    <xf numFmtId="0" fontId="3" fillId="0" borderId="1" xfId="113" applyFont="1" applyBorder="1" applyAlignment="1" applyProtection="1">
      <alignment horizontal="center" shrinkToFit="1"/>
      <protection locked="0"/>
    </xf>
    <xf numFmtId="0" fontId="13" fillId="0" borderId="4" xfId="113" applyBorder="1" applyAlignment="1" applyProtection="1">
      <alignment wrapText="1"/>
      <protection locked="0"/>
    </xf>
    <xf numFmtId="178" fontId="16" fillId="0" borderId="0" xfId="0" quotePrefix="1" applyNumberFormat="1" applyFont="1"/>
    <xf numFmtId="178" fontId="16" fillId="0" borderId="0" xfId="0" applyNumberFormat="1" applyFont="1"/>
    <xf numFmtId="0" fontId="13" fillId="0" borderId="1"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3" fillId="0" borderId="1" xfId="100" applyBorder="1" applyAlignment="1" applyProtection="1">
      <alignment horizontal="center"/>
      <protection locked="0"/>
    </xf>
    <xf numFmtId="0" fontId="3" fillId="0" borderId="1" xfId="100" applyBorder="1" applyAlignment="1">
      <alignment horizontal="center"/>
    </xf>
    <xf numFmtId="164" fontId="4" fillId="0" borderId="0" xfId="97" applyNumberFormat="1" applyFont="1" applyAlignment="1">
      <alignment horizontal="center"/>
    </xf>
    <xf numFmtId="164" fontId="4" fillId="0" borderId="0" xfId="100" applyNumberFormat="1" applyFont="1" applyAlignment="1">
      <alignment horizontal="center"/>
    </xf>
    <xf numFmtId="0" fontId="3" fillId="0" borderId="1" xfId="97" applyBorder="1" applyAlignment="1">
      <alignment horizontal="center" shrinkToFit="1"/>
    </xf>
    <xf numFmtId="0" fontId="3" fillId="0" borderId="4" xfId="97" applyBorder="1" applyAlignment="1" applyProtection="1">
      <alignment horizontal="center" shrinkToFit="1"/>
      <protection locked="0"/>
    </xf>
    <xf numFmtId="0" fontId="3" fillId="0" borderId="1" xfId="97" applyBorder="1" applyAlignment="1" applyProtection="1">
      <alignment horizontal="center" shrinkToFit="1"/>
      <protection locked="0"/>
    </xf>
    <xf numFmtId="178" fontId="16" fillId="0" borderId="0" xfId="0" quotePrefix="1" applyNumberFormat="1" applyFont="1" applyAlignment="1">
      <alignment horizontal="center"/>
    </xf>
    <xf numFmtId="166" fontId="16" fillId="0" borderId="0" xfId="0" applyNumberFormat="1" applyFont="1"/>
    <xf numFmtId="0" fontId="63" fillId="0" borderId="4" xfId="0" applyFont="1" applyBorder="1" applyAlignment="1" applyProtection="1">
      <alignment horizontal="left"/>
      <protection locked="0"/>
    </xf>
    <xf numFmtId="0" fontId="0" fillId="0" borderId="4" xfId="0" applyBorder="1" applyAlignment="1" applyProtection="1">
      <alignment horizontal="left"/>
      <protection locked="0"/>
    </xf>
    <xf numFmtId="5" fontId="0" fillId="0" borderId="4" xfId="0" applyNumberFormat="1" applyBorder="1" applyAlignment="1" applyProtection="1">
      <alignment horizontal="left"/>
      <protection locked="0"/>
    </xf>
    <xf numFmtId="0" fontId="0" fillId="0" borderId="4" xfId="0" applyBorder="1" applyAlignment="1">
      <alignment horizontal="center"/>
    </xf>
    <xf numFmtId="0" fontId="234" fillId="0" borderId="0" xfId="57" applyFont="1" applyAlignment="1" applyProtection="1">
      <alignment horizontal="center"/>
    </xf>
    <xf numFmtId="0" fontId="235" fillId="0" borderId="0" xfId="0" applyFont="1" applyAlignment="1">
      <alignment horizontal="center"/>
    </xf>
    <xf numFmtId="5" fontId="0" fillId="0" borderId="1" xfId="0" applyNumberFormat="1" applyBorder="1" applyAlignment="1" applyProtection="1">
      <alignment horizontal="left"/>
      <protection locked="0"/>
    </xf>
    <xf numFmtId="0" fontId="44" fillId="0" borderId="0" xfId="57" applyAlignment="1" applyProtection="1">
      <alignment horizontal="left"/>
    </xf>
    <xf numFmtId="49" fontId="13" fillId="0" borderId="1" xfId="98" applyNumberFormat="1" applyBorder="1" applyProtection="1">
      <protection locked="0"/>
    </xf>
    <xf numFmtId="0" fontId="31" fillId="0" borderId="1" xfId="98" applyFont="1" applyBorder="1" applyAlignment="1">
      <alignment horizontal="center"/>
    </xf>
    <xf numFmtId="0" fontId="31" fillId="0" borderId="0" xfId="98" applyFont="1" applyAlignment="1">
      <alignment horizontal="center"/>
    </xf>
    <xf numFmtId="49" fontId="13" fillId="0" borderId="4" xfId="98" applyNumberFormat="1" applyBorder="1" applyProtection="1">
      <protection locked="0"/>
    </xf>
    <xf numFmtId="49" fontId="13" fillId="0" borderId="4" xfId="98" applyNumberFormat="1" applyBorder="1" applyAlignment="1" applyProtection="1">
      <alignment horizontal="center"/>
      <protection locked="0"/>
    </xf>
    <xf numFmtId="0" fontId="4" fillId="0" borderId="0" xfId="98" applyFont="1" applyAlignment="1">
      <alignment horizontal="center"/>
    </xf>
    <xf numFmtId="0" fontId="3" fillId="0" borderId="1" xfId="98" applyFont="1" applyBorder="1" applyAlignment="1">
      <alignment horizontal="center" shrinkToFit="1"/>
    </xf>
    <xf numFmtId="0" fontId="3" fillId="0" borderId="4" xfId="98" applyFont="1" applyBorder="1" applyAlignment="1" applyProtection="1">
      <alignment horizontal="center" shrinkToFit="1"/>
      <protection locked="0"/>
    </xf>
    <xf numFmtId="0" fontId="3" fillId="0" borderId="1" xfId="98" applyFont="1" applyBorder="1" applyAlignment="1" applyProtection="1">
      <alignment horizontal="center" shrinkToFit="1"/>
      <protection locked="0"/>
    </xf>
    <xf numFmtId="0" fontId="3" fillId="0" borderId="1" xfId="98" applyFont="1" applyBorder="1" applyAlignment="1">
      <alignment horizontal="center"/>
    </xf>
    <xf numFmtId="0" fontId="16" fillId="0" borderId="1" xfId="101" applyFont="1" applyBorder="1" applyAlignment="1" applyProtection="1">
      <alignment horizontal="left"/>
      <protection locked="0"/>
    </xf>
    <xf numFmtId="0" fontId="4" fillId="0" borderId="0" xfId="101" applyFont="1" applyAlignment="1">
      <alignment horizontal="center"/>
    </xf>
    <xf numFmtId="0" fontId="27" fillId="0" borderId="1" xfId="101" applyFont="1" applyBorder="1" applyAlignment="1">
      <alignment horizontal="center" shrinkToFit="1"/>
    </xf>
    <xf numFmtId="0" fontId="27" fillId="0" borderId="1" xfId="101" applyFont="1" applyBorder="1" applyAlignment="1">
      <alignment horizontal="center"/>
    </xf>
    <xf numFmtId="0" fontId="64" fillId="0" borderId="22" xfId="101" applyFont="1" applyBorder="1" applyAlignment="1">
      <alignment horizontal="center"/>
    </xf>
    <xf numFmtId="0" fontId="72" fillId="0" borderId="2" xfId="101" applyFont="1" applyBorder="1" applyAlignment="1">
      <alignment horizontal="center"/>
    </xf>
    <xf numFmtId="0" fontId="27" fillId="0" borderId="1" xfId="101" applyFont="1" applyBorder="1" applyAlignment="1" applyProtection="1">
      <alignment horizontal="center" shrinkToFit="1"/>
      <protection locked="0"/>
    </xf>
    <xf numFmtId="164" fontId="27" fillId="0" borderId="1" xfId="101" applyNumberFormat="1" applyFont="1" applyBorder="1" applyAlignment="1" applyProtection="1">
      <alignment horizontal="center" shrinkToFit="1"/>
      <protection locked="0"/>
    </xf>
    <xf numFmtId="49" fontId="13" fillId="0" borderId="1" xfId="98" quotePrefix="1" applyNumberFormat="1" applyBorder="1" applyProtection="1">
      <protection locked="0"/>
    </xf>
    <xf numFmtId="0" fontId="16" fillId="0" borderId="1" xfId="0" applyFont="1" applyBorder="1" applyAlignment="1" applyProtection="1">
      <alignment horizontal="left"/>
      <protection locked="0"/>
    </xf>
    <xf numFmtId="49" fontId="13" fillId="0" borderId="1" xfId="0" applyNumberFormat="1"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164" fontId="13" fillId="0" borderId="4" xfId="0" applyNumberFormat="1" applyFont="1" applyBorder="1" applyAlignment="1" applyProtection="1">
      <alignment horizontal="center"/>
      <protection locked="0"/>
    </xf>
    <xf numFmtId="0" fontId="16" fillId="0" borderId="0" xfId="0" quotePrefix="1" applyFont="1" applyAlignment="1">
      <alignment horizontal="right"/>
    </xf>
    <xf numFmtId="0" fontId="16" fillId="0" borderId="0" xfId="0" applyFont="1" applyAlignment="1">
      <alignment horizontal="right"/>
    </xf>
    <xf numFmtId="0" fontId="16" fillId="0" borderId="1" xfId="0" applyFont="1" applyBorder="1" applyAlignment="1">
      <alignment horizontal="center"/>
    </xf>
    <xf numFmtId="0" fontId="12" fillId="0" borderId="1" xfId="0" applyFont="1" applyBorder="1" applyAlignment="1">
      <alignment horizontal="center"/>
    </xf>
    <xf numFmtId="49" fontId="16" fillId="0" borderId="4" xfId="0" applyNumberFormat="1" applyFont="1" applyBorder="1" applyAlignment="1" applyProtection="1">
      <alignment horizontal="center"/>
      <protection locked="0"/>
    </xf>
    <xf numFmtId="0" fontId="15" fillId="0" borderId="0" xfId="0" applyFont="1" applyAlignment="1">
      <alignment horizontal="center"/>
    </xf>
    <xf numFmtId="0" fontId="15" fillId="0" borderId="1" xfId="0" applyFont="1" applyBorder="1" applyAlignment="1">
      <alignment horizontal="center"/>
    </xf>
    <xf numFmtId="0" fontId="16" fillId="0" borderId="0" xfId="0" applyFont="1" applyAlignment="1">
      <alignment horizontal="center"/>
    </xf>
    <xf numFmtId="49" fontId="16" fillId="0" borderId="4" xfId="0" applyNumberFormat="1" applyFont="1" applyBorder="1" applyProtection="1">
      <protection locked="0"/>
    </xf>
    <xf numFmtId="49" fontId="16" fillId="0" borderId="1" xfId="0" applyNumberFormat="1" applyFont="1" applyBorder="1" applyProtection="1">
      <protection locked="0"/>
    </xf>
    <xf numFmtId="0" fontId="12" fillId="0" borderId="0" xfId="0" applyFont="1" applyAlignment="1">
      <alignment wrapText="1"/>
    </xf>
    <xf numFmtId="49" fontId="16" fillId="0" borderId="1" xfId="0" applyNumberFormat="1" applyFont="1" applyBorder="1" applyAlignment="1" applyProtection="1">
      <alignment horizontal="center"/>
      <protection locked="0"/>
    </xf>
    <xf numFmtId="0" fontId="16" fillId="0" borderId="8" xfId="0" applyFont="1" applyBorder="1" applyAlignment="1">
      <alignment horizontal="center"/>
    </xf>
    <xf numFmtId="49" fontId="16" fillId="0" borderId="1" xfId="0" applyNumberFormat="1" applyFont="1" applyBorder="1" applyAlignment="1" applyProtection="1">
      <alignment horizontal="left"/>
      <protection locked="0"/>
    </xf>
    <xf numFmtId="49" fontId="16" fillId="0" borderId="8" xfId="0" applyNumberFormat="1" applyFont="1" applyBorder="1" applyAlignment="1">
      <alignment horizontal="center" vertical="top"/>
    </xf>
    <xf numFmtId="0" fontId="12" fillId="0" borderId="0" xfId="101" applyFont="1" applyAlignment="1">
      <alignment horizontal="left" wrapText="1"/>
    </xf>
    <xf numFmtId="0" fontId="5" fillId="6" borderId="10" xfId="0" applyFont="1" applyFill="1" applyBorder="1" applyAlignment="1">
      <alignment horizontal="left"/>
    </xf>
    <xf numFmtId="0" fontId="5" fillId="6" borderId="0" xfId="0" applyFont="1" applyFill="1" applyAlignment="1">
      <alignment horizontal="left"/>
    </xf>
    <xf numFmtId="0" fontId="16" fillId="0" borderId="4" xfId="101" applyFont="1" applyBorder="1" applyAlignment="1" applyProtection="1">
      <alignment horizontal="left"/>
      <protection locked="0"/>
    </xf>
    <xf numFmtId="49" fontId="131" fillId="0" borderId="4" xfId="101" applyNumberFormat="1" applyFont="1" applyBorder="1" applyProtection="1">
      <protection locked="0"/>
    </xf>
    <xf numFmtId="49" fontId="27" fillId="0" borderId="4" xfId="101" applyNumberFormat="1" applyFont="1" applyBorder="1" applyProtection="1">
      <protection locked="0"/>
    </xf>
    <xf numFmtId="49" fontId="40" fillId="0" borderId="4" xfId="0" applyNumberFormat="1" applyFont="1" applyBorder="1" applyProtection="1">
      <protection locked="0"/>
    </xf>
    <xf numFmtId="49" fontId="0" fillId="0" borderId="4" xfId="0" applyNumberFormat="1" applyBorder="1" applyProtection="1">
      <protection locked="0"/>
    </xf>
    <xf numFmtId="0" fontId="30" fillId="0" borderId="1" xfId="101" applyFont="1" applyBorder="1" applyAlignment="1">
      <alignment horizontal="center"/>
    </xf>
    <xf numFmtId="49" fontId="27" fillId="0" borderId="0" xfId="101" applyNumberFormat="1" applyFont="1"/>
    <xf numFmtId="49" fontId="0" fillId="0" borderId="0" xfId="0" applyNumberFormat="1"/>
    <xf numFmtId="49" fontId="0" fillId="0" borderId="4" xfId="0" applyNumberFormat="1" applyBorder="1"/>
    <xf numFmtId="0" fontId="19" fillId="0" borderId="0" xfId="101" applyFont="1" applyAlignment="1">
      <alignment horizontal="center"/>
    </xf>
    <xf numFmtId="0" fontId="5" fillId="0" borderId="0" xfId="101" applyFont="1" applyAlignment="1">
      <alignment horizontal="center"/>
    </xf>
    <xf numFmtId="0" fontId="5" fillId="0" borderId="0" xfId="88" applyFont="1" applyAlignment="1">
      <alignment horizontal="left" wrapText="1"/>
    </xf>
    <xf numFmtId="0" fontId="72" fillId="0" borderId="1" xfId="101" applyFont="1" applyBorder="1" applyAlignment="1">
      <alignment horizontal="center"/>
    </xf>
    <xf numFmtId="166" fontId="294" fillId="54" borderId="0" xfId="0" applyNumberFormat="1" applyFont="1" applyFill="1" applyAlignment="1">
      <alignment horizontal="center"/>
    </xf>
    <xf numFmtId="166" fontId="294" fillId="54" borderId="0" xfId="0" applyNumberFormat="1" applyFont="1" applyFill="1"/>
    <xf numFmtId="166" fontId="16" fillId="0" borderId="0" xfId="0" applyNumberFormat="1" applyFont="1" applyAlignment="1">
      <alignment horizontal="left"/>
    </xf>
    <xf numFmtId="0" fontId="294" fillId="54" borderId="0" xfId="0" applyFont="1" applyFill="1"/>
    <xf numFmtId="166" fontId="294" fillId="54" borderId="0" xfId="0" applyNumberFormat="1" applyFont="1" applyFill="1" applyAlignment="1">
      <alignment horizontal="left"/>
    </xf>
    <xf numFmtId="166" fontId="294" fillId="54" borderId="0" xfId="0" applyNumberFormat="1" applyFont="1" applyFill="1" applyAlignment="1">
      <alignment horizontal="left" indent="1"/>
    </xf>
    <xf numFmtId="166" fontId="16" fillId="0" borderId="0" xfId="0" applyNumberFormat="1" applyFont="1" applyAlignment="1">
      <alignment horizontal="left" indent="1"/>
    </xf>
    <xf numFmtId="166" fontId="16" fillId="0" borderId="0" xfId="0" applyNumberFormat="1" applyFont="1" applyProtection="1">
      <protection locked="0"/>
    </xf>
    <xf numFmtId="0" fontId="4" fillId="8" borderId="0" xfId="0" applyFont="1" applyFill="1" applyAlignment="1">
      <alignment horizontal="center" vertical="top" wrapText="1"/>
    </xf>
    <xf numFmtId="0" fontId="12" fillId="8" borderId="0" xfId="0" applyFont="1" applyFill="1" applyAlignment="1">
      <alignment horizontal="center"/>
    </xf>
    <xf numFmtId="166" fontId="16" fillId="0" borderId="0" xfId="0" applyNumberFormat="1" applyFont="1" applyAlignment="1">
      <alignment horizontal="center"/>
    </xf>
    <xf numFmtId="0" fontId="3" fillId="0" borderId="1" xfId="114" applyFont="1" applyBorder="1" applyAlignment="1" applyProtection="1">
      <alignment horizontal="center" shrinkToFit="1"/>
      <protection locked="0"/>
    </xf>
    <xf numFmtId="164" fontId="3" fillId="0" borderId="4" xfId="114" applyNumberFormat="1" applyFont="1" applyBorder="1" applyAlignment="1" applyProtection="1">
      <alignment horizontal="center"/>
      <protection locked="0"/>
    </xf>
    <xf numFmtId="0" fontId="16" fillId="8" borderId="23" xfId="95" applyFont="1" applyFill="1" applyBorder="1" applyAlignment="1">
      <alignment horizontal="left" vertical="top" wrapText="1"/>
    </xf>
    <xf numFmtId="0" fontId="16" fillId="8" borderId="4" xfId="95" applyFont="1" applyFill="1" applyBorder="1" applyAlignment="1">
      <alignment horizontal="left" vertical="top"/>
    </xf>
    <xf numFmtId="0" fontId="16" fillId="8" borderId="33" xfId="95" applyFont="1" applyFill="1" applyBorder="1" applyAlignment="1">
      <alignment horizontal="left" vertical="top"/>
    </xf>
    <xf numFmtId="0" fontId="13" fillId="0" borderId="1" xfId="114" applyBorder="1" applyAlignment="1">
      <alignment horizontal="left" shrinkToFit="1"/>
    </xf>
    <xf numFmtId="0" fontId="12" fillId="0" borderId="0" xfId="0" applyFont="1" applyAlignment="1">
      <alignment horizontal="center"/>
    </xf>
    <xf numFmtId="0" fontId="3" fillId="7" borderId="49" xfId="0" applyFont="1" applyFill="1" applyBorder="1" applyAlignment="1" applyProtection="1">
      <alignment horizontal="left"/>
      <protection locked="0"/>
    </xf>
    <xf numFmtId="0" fontId="3" fillId="7" borderId="1" xfId="0" applyFont="1" applyFill="1" applyBorder="1" applyAlignment="1" applyProtection="1">
      <alignment horizontal="left"/>
      <protection locked="0"/>
    </xf>
    <xf numFmtId="0" fontId="16" fillId="8" borderId="4" xfId="95" applyFont="1" applyFill="1" applyBorder="1" applyAlignment="1">
      <alignment horizontal="left" vertical="top" wrapText="1"/>
    </xf>
    <xf numFmtId="0" fontId="16" fillId="8" borderId="33" xfId="95" applyFont="1" applyFill="1" applyBorder="1" applyAlignment="1">
      <alignment horizontal="left" vertical="top" wrapText="1"/>
    </xf>
    <xf numFmtId="14" fontId="0" fillId="7" borderId="1" xfId="0" applyNumberFormat="1" applyFill="1" applyBorder="1" applyAlignment="1" applyProtection="1">
      <alignment horizontal="left"/>
      <protection locked="0"/>
    </xf>
    <xf numFmtId="14" fontId="0" fillId="7" borderId="48" xfId="0" applyNumberFormat="1" applyFill="1" applyBorder="1" applyAlignment="1" applyProtection="1">
      <alignment horizontal="left"/>
      <protection locked="0"/>
    </xf>
    <xf numFmtId="0" fontId="4" fillId="18" borderId="0" xfId="0" applyFont="1" applyFill="1" applyAlignment="1">
      <alignment horizontal="center" wrapText="1"/>
    </xf>
    <xf numFmtId="173" fontId="16" fillId="0" borderId="0" xfId="27" applyNumberFormat="1" applyFont="1" applyAlignment="1">
      <alignment horizontal="left"/>
    </xf>
    <xf numFmtId="187" fontId="16" fillId="0" borderId="0" xfId="27" applyFont="1" applyAlignment="1">
      <alignment horizontal="left"/>
    </xf>
    <xf numFmtId="187" fontId="16" fillId="0" borderId="0" xfId="27" applyFont="1" applyAlignment="1">
      <alignment horizontal="center"/>
    </xf>
    <xf numFmtId="0" fontId="16" fillId="0" borderId="0" xfId="0" applyFont="1" applyAlignment="1">
      <alignment horizontal="left"/>
    </xf>
    <xf numFmtId="187" fontId="16" fillId="0" borderId="0" xfId="27" applyFont="1"/>
    <xf numFmtId="0" fontId="89" fillId="0" borderId="0" xfId="0" applyFont="1" applyAlignment="1">
      <alignment horizontal="left"/>
    </xf>
    <xf numFmtId="183" fontId="16" fillId="0" borderId="0" xfId="0" applyNumberFormat="1" applyFont="1" applyAlignment="1">
      <alignment horizontal="left"/>
    </xf>
    <xf numFmtId="0" fontId="3" fillId="0" borderId="1" xfId="114" applyFont="1" applyBorder="1" applyAlignment="1">
      <alignment horizontal="center" shrinkToFit="1"/>
    </xf>
    <xf numFmtId="0" fontId="4" fillId="0" borderId="0" xfId="0" applyFont="1" applyAlignment="1">
      <alignment horizontal="center" wrapText="1"/>
    </xf>
    <xf numFmtId="0" fontId="3" fillId="0" borderId="1" xfId="114" applyFont="1" applyBorder="1" applyAlignment="1" applyProtection="1">
      <alignment horizontal="center"/>
      <protection locked="0"/>
    </xf>
    <xf numFmtId="0" fontId="16" fillId="8" borderId="23" xfId="95" applyFont="1" applyFill="1" applyBorder="1" applyAlignment="1">
      <alignment horizontal="left"/>
    </xf>
    <xf numFmtId="0" fontId="16" fillId="8" borderId="4" xfId="95" applyFont="1" applyFill="1" applyBorder="1" applyAlignment="1">
      <alignment horizontal="left"/>
    </xf>
    <xf numFmtId="0" fontId="16" fillId="8" borderId="33" xfId="95" applyFont="1" applyFill="1" applyBorder="1" applyAlignment="1">
      <alignment horizontal="left"/>
    </xf>
    <xf numFmtId="0" fontId="0" fillId="0" borderId="1" xfId="0" applyBorder="1" applyAlignment="1" applyProtection="1">
      <alignment shrinkToFit="1"/>
      <protection locked="0"/>
    </xf>
    <xf numFmtId="0" fontId="0" fillId="0" borderId="1" xfId="114" applyFont="1" applyBorder="1" applyAlignment="1" applyProtection="1">
      <alignment horizontal="center" shrinkToFit="1"/>
      <protection locked="0"/>
    </xf>
    <xf numFmtId="0" fontId="0" fillId="0" borderId="1" xfId="114" applyFont="1" applyBorder="1" applyAlignment="1">
      <alignment horizontal="center" shrinkToFit="1"/>
    </xf>
    <xf numFmtId="0" fontId="0" fillId="0" borderId="1" xfId="114" applyFont="1" applyBorder="1" applyAlignment="1" applyProtection="1">
      <alignment horizontal="center"/>
      <protection locked="0"/>
    </xf>
    <xf numFmtId="183" fontId="16" fillId="0" borderId="0" xfId="0" applyNumberFormat="1" applyFont="1"/>
    <xf numFmtId="0" fontId="4" fillId="0" borderId="0" xfId="57" applyFont="1" applyAlignment="1" applyProtection="1">
      <alignment horizontal="center"/>
    </xf>
    <xf numFmtId="0" fontId="294" fillId="54" borderId="0" xfId="0" applyFont="1" applyFill="1" applyAlignment="1">
      <alignment horizontal="left"/>
    </xf>
    <xf numFmtId="166" fontId="16" fillId="54" borderId="0" xfId="0" applyNumberFormat="1" applyFont="1" applyFill="1"/>
    <xf numFmtId="166" fontId="16" fillId="58" borderId="0" xfId="0" applyNumberFormat="1" applyFont="1" applyFill="1"/>
    <xf numFmtId="183" fontId="16" fillId="0" borderId="0" xfId="0" applyNumberFormat="1" applyFont="1" applyAlignment="1">
      <alignment horizontal="center"/>
    </xf>
    <xf numFmtId="0" fontId="3" fillId="0" borderId="1" xfId="114" applyFont="1" applyBorder="1" applyAlignment="1">
      <alignment horizontal="center"/>
    </xf>
    <xf numFmtId="0" fontId="3" fillId="0" borderId="4" xfId="114" applyFont="1" applyBorder="1" applyAlignment="1" applyProtection="1">
      <alignment horizontal="center"/>
      <protection locked="0"/>
    </xf>
    <xf numFmtId="0" fontId="66" fillId="0" borderId="0" xfId="0" applyFont="1" applyAlignment="1">
      <alignment horizontal="center" wrapText="1"/>
    </xf>
    <xf numFmtId="0" fontId="7" fillId="0" borderId="4" xfId="89" applyFont="1" applyBorder="1" applyProtection="1">
      <protection locked="0"/>
    </xf>
    <xf numFmtId="164" fontId="3" fillId="0" borderId="4" xfId="80" applyNumberFormat="1" applyBorder="1" applyAlignment="1" applyProtection="1">
      <alignment horizontal="center" shrinkToFit="1"/>
      <protection locked="0"/>
    </xf>
    <xf numFmtId="0" fontId="4" fillId="0" borderId="1" xfId="89" applyFont="1" applyBorder="1" applyAlignment="1">
      <alignment horizontal="center"/>
    </xf>
    <xf numFmtId="164" fontId="3" fillId="0" borderId="1" xfId="80" applyNumberFormat="1" applyBorder="1" applyAlignment="1">
      <alignment horizontal="center" shrinkToFit="1"/>
    </xf>
    <xf numFmtId="164" fontId="3" fillId="0" borderId="4" xfId="80" applyNumberFormat="1" applyBorder="1" applyAlignment="1">
      <alignment horizontal="center" shrinkToFit="1"/>
    </xf>
    <xf numFmtId="0" fontId="3" fillId="0" borderId="4" xfId="89" applyFont="1" applyBorder="1" applyAlignment="1" applyProtection="1">
      <alignment horizontal="left"/>
      <protection locked="0"/>
    </xf>
    <xf numFmtId="0" fontId="3" fillId="0" borderId="1" xfId="89" applyFont="1" applyBorder="1" applyAlignment="1" applyProtection="1">
      <alignment horizontal="left"/>
      <protection locked="0"/>
    </xf>
    <xf numFmtId="49" fontId="3" fillId="0" borderId="0" xfId="89" applyNumberFormat="1" applyFont="1" applyAlignment="1">
      <alignment horizontal="left"/>
    </xf>
    <xf numFmtId="49" fontId="6" fillId="0" borderId="0" xfId="117" applyNumberFormat="1" applyFont="1"/>
    <xf numFmtId="49" fontId="3" fillId="0" borderId="0" xfId="117" applyNumberFormat="1"/>
    <xf numFmtId="0" fontId="236" fillId="57" borderId="0" xfId="0" applyFont="1" applyFill="1" applyAlignment="1">
      <alignment horizontal="center"/>
    </xf>
    <xf numFmtId="0" fontId="71" fillId="0" borderId="0" xfId="57" applyFont="1" applyAlignment="1" applyProtection="1">
      <alignment horizontal="left"/>
    </xf>
    <xf numFmtId="0" fontId="55" fillId="0" borderId="0" xfId="0" applyFont="1"/>
    <xf numFmtId="0" fontId="63" fillId="0" borderId="0" xfId="74" applyFont="1" applyAlignment="1">
      <alignment horizontal="left" wrapText="1"/>
    </xf>
    <xf numFmtId="166" fontId="16" fillId="54" borderId="0" xfId="0" applyNumberFormat="1" applyFont="1" applyFill="1" applyAlignment="1">
      <alignment horizontal="center"/>
    </xf>
    <xf numFmtId="183" fontId="294" fillId="54" borderId="0" xfId="0" applyNumberFormat="1" applyFont="1" applyFill="1" applyAlignment="1">
      <alignment horizontal="center"/>
    </xf>
    <xf numFmtId="183" fontId="16" fillId="54" borderId="0" xfId="0" applyNumberFormat="1" applyFont="1" applyFill="1" applyAlignment="1">
      <alignment horizontal="center"/>
    </xf>
    <xf numFmtId="164" fontId="3" fillId="0" borderId="1" xfId="114" applyNumberFormat="1" applyFont="1" applyBorder="1" applyAlignment="1">
      <alignment horizontal="center"/>
    </xf>
    <xf numFmtId="166" fontId="16" fillId="0" borderId="0" xfId="0" applyNumberFormat="1" applyFont="1" applyAlignment="1" applyProtection="1">
      <alignment horizontal="center"/>
      <protection locked="0"/>
    </xf>
    <xf numFmtId="0" fontId="15" fillId="0" borderId="0" xfId="0" applyFont="1" applyAlignment="1">
      <alignment horizontal="left"/>
    </xf>
    <xf numFmtId="0" fontId="3" fillId="0" borderId="45" xfId="0" applyFont="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 xfId="0" applyBorder="1" applyAlignment="1">
      <alignment horizontal="left" vertical="top" wrapText="1"/>
    </xf>
    <xf numFmtId="0" fontId="0" fillId="0" borderId="32" xfId="0" applyBorder="1" applyAlignment="1">
      <alignment horizontal="left" vertical="top" wrapText="1"/>
    </xf>
    <xf numFmtId="187" fontId="16" fillId="0" borderId="0" xfId="27" applyFont="1" applyAlignment="1" applyProtection="1">
      <alignment horizontal="left"/>
      <protection locked="0"/>
    </xf>
    <xf numFmtId="187" fontId="16" fillId="0" borderId="0" xfId="27" applyFont="1" applyAlignment="1" applyProtection="1">
      <alignment horizontal="center"/>
      <protection locked="0"/>
    </xf>
    <xf numFmtId="166" fontId="16" fillId="0" borderId="0" xfId="0" applyNumberFormat="1" applyFont="1" applyAlignment="1" applyProtection="1">
      <alignment horizontal="left"/>
      <protection locked="0"/>
    </xf>
    <xf numFmtId="0" fontId="16" fillId="0" borderId="0" xfId="0" applyFont="1" applyAlignment="1" applyProtection="1">
      <alignment horizontal="left"/>
      <protection locked="0"/>
    </xf>
    <xf numFmtId="0" fontId="89" fillId="0" borderId="0" xfId="0" applyFont="1" applyAlignment="1" applyProtection="1">
      <alignment horizontal="left"/>
      <protection locked="0"/>
    </xf>
    <xf numFmtId="187" fontId="16" fillId="0" borderId="0" xfId="27" applyFont="1" applyProtection="1">
      <protection locked="0"/>
    </xf>
    <xf numFmtId="173" fontId="16" fillId="0" borderId="0" xfId="27" applyNumberFormat="1" applyFont="1" applyAlignment="1" applyProtection="1">
      <alignment horizontal="left"/>
      <protection locked="0"/>
    </xf>
    <xf numFmtId="183" fontId="16" fillId="0" borderId="0" xfId="0" applyNumberFormat="1" applyFont="1" applyAlignment="1" applyProtection="1">
      <alignment horizontal="left"/>
      <protection locked="0"/>
    </xf>
    <xf numFmtId="0" fontId="55" fillId="0" borderId="0" xfId="115" applyFont="1" applyAlignment="1" applyProtection="1">
      <alignment horizontal="center" vertical="center"/>
      <protection locked="0"/>
    </xf>
    <xf numFmtId="0" fontId="11" fillId="0" borderId="23" xfId="0" applyFont="1" applyBorder="1" applyAlignment="1" applyProtection="1">
      <alignment horizontal="center"/>
      <protection hidden="1"/>
    </xf>
    <xf numFmtId="0" fontId="11" fillId="0" borderId="33" xfId="0" applyFont="1" applyBorder="1" applyAlignment="1" applyProtection="1">
      <alignment horizontal="center"/>
      <protection hidden="1"/>
    </xf>
    <xf numFmtId="14" fontId="210" fillId="0" borderId="0" xfId="0" applyNumberFormat="1" applyFont="1" applyBorder="1" applyAlignment="1">
      <alignment horizontal="center"/>
    </xf>
    <xf numFmtId="176" fontId="3" fillId="0" borderId="1" xfId="84" applyNumberFormat="1" applyFont="1" applyFill="1" applyBorder="1" applyProtection="1">
      <protection locked="0"/>
    </xf>
  </cellXfs>
  <cellStyles count="184">
    <cellStyle name="20% - Accent1" xfId="1" builtinId="30" customBuiltin="1"/>
    <cellStyle name="20% - Accent1 2" xfId="140" xr:uid="{913AB230-AECA-462F-BA6A-A08AD403998F}"/>
    <cellStyle name="20% - Accent1 2 2" xfId="170" xr:uid="{E5001716-35A2-488D-B82C-B976A5DB8FB4}"/>
    <cellStyle name="20% - Accent1 3" xfId="156" xr:uid="{21EA111C-03B6-4E73-A775-7C7C9E1BFDFE}"/>
    <cellStyle name="20% - Accent2" xfId="2" builtinId="34" customBuiltin="1"/>
    <cellStyle name="20% - Accent2 2" xfId="141" xr:uid="{9591E0AF-6B93-4718-816C-1A7FBA31DF2A}"/>
    <cellStyle name="20% - Accent2 2 2" xfId="171" xr:uid="{182F0728-5D72-4808-996F-490432C4F28D}"/>
    <cellStyle name="20% - Accent2 3" xfId="157" xr:uid="{4D6221D8-7AE9-47D1-9FE7-1AF3E9442DF3}"/>
    <cellStyle name="20% - Accent3" xfId="3" builtinId="38" customBuiltin="1"/>
    <cellStyle name="20% - Accent3 2" xfId="142" xr:uid="{B1CB5223-624E-4E58-8168-FC229108715B}"/>
    <cellStyle name="20% - Accent3 2 2" xfId="172" xr:uid="{1E540631-7818-4932-B04E-A48DF826C643}"/>
    <cellStyle name="20% - Accent3 3" xfId="158" xr:uid="{7AC784A1-9223-4E1F-AFAA-1027F7C51218}"/>
    <cellStyle name="20% - Accent4" xfId="4" builtinId="42" customBuiltin="1"/>
    <cellStyle name="20% - Accent4 2" xfId="143" xr:uid="{19655590-7C48-429B-9ACA-D097E1ADF208}"/>
    <cellStyle name="20% - Accent4 2 2" xfId="173" xr:uid="{531F72E0-E194-4A82-8B0B-F055C914BF19}"/>
    <cellStyle name="20% - Accent4 3" xfId="159" xr:uid="{09F1CEF6-4922-4DFC-95C4-F5C007EC62B1}"/>
    <cellStyle name="20% - Accent5" xfId="5" builtinId="46" customBuiltin="1"/>
    <cellStyle name="20% - Accent5 2" xfId="144" xr:uid="{AF449C6B-D563-4134-9D43-D80C6792F4F3}"/>
    <cellStyle name="20% - Accent5 2 2" xfId="174" xr:uid="{27C64824-35BB-4955-B2EA-299579C6461D}"/>
    <cellStyle name="20% - Accent5 3" xfId="160" xr:uid="{ED2FD705-D2E2-44C9-A004-DBBF23DA939F}"/>
    <cellStyle name="20% - Accent6" xfId="6" builtinId="50" customBuiltin="1"/>
    <cellStyle name="20% - Accent6 2" xfId="145" xr:uid="{425082D8-4206-4630-B326-32152329B3C8}"/>
    <cellStyle name="20% - Accent6 2 2" xfId="175" xr:uid="{9BE2C398-EA3B-4001-A0DF-28C3A972BF25}"/>
    <cellStyle name="20% - Accent6 3" xfId="161" xr:uid="{F7583977-4BFA-491A-BE1B-F82EA887AEE7}"/>
    <cellStyle name="40% - Accent1" xfId="7" builtinId="31" customBuiltin="1"/>
    <cellStyle name="40% - Accent1 2" xfId="146" xr:uid="{A134F4E6-D323-4407-B8A6-57568652815F}"/>
    <cellStyle name="40% - Accent1 2 2" xfId="176" xr:uid="{607439DF-9425-41CC-A22F-0CA540FB0054}"/>
    <cellStyle name="40% - Accent1 3" xfId="162" xr:uid="{40DE7D7B-8977-4EF4-9846-A183796CB247}"/>
    <cellStyle name="40% - Accent2" xfId="8" builtinId="35" customBuiltin="1"/>
    <cellStyle name="40% - Accent2 2" xfId="147" xr:uid="{8296FBED-2792-4F46-998C-46A0A330B219}"/>
    <cellStyle name="40% - Accent2 2 2" xfId="177" xr:uid="{775286ED-645A-4608-BBDA-294950B4BAFC}"/>
    <cellStyle name="40% - Accent2 3" xfId="163" xr:uid="{B06035C6-5B7D-4853-83E9-7D2DCFAB8583}"/>
    <cellStyle name="40% - Accent3" xfId="9" builtinId="39" customBuiltin="1"/>
    <cellStyle name="40% - Accent3 2" xfId="148" xr:uid="{7AD64DF3-3F7E-4C24-BE78-421403720E62}"/>
    <cellStyle name="40% - Accent3 2 2" xfId="178" xr:uid="{7E1A4AD6-EFD7-43E4-B158-0CC274D353D9}"/>
    <cellStyle name="40% - Accent3 3" xfId="164" xr:uid="{EEB6C3B5-B130-4346-BBF3-6D97ABA36034}"/>
    <cellStyle name="40% - Accent4" xfId="10" builtinId="43" customBuiltin="1"/>
    <cellStyle name="40% - Accent4 2" xfId="149" xr:uid="{5FF8AD78-B60D-4351-8816-639A7F8A90BF}"/>
    <cellStyle name="40% - Accent4 2 2" xfId="179" xr:uid="{CDD003CD-2D1F-4760-ABCD-A244BE754868}"/>
    <cellStyle name="40% - Accent4 3" xfId="165" xr:uid="{DB767660-82DF-4F87-9C40-CDD816953DD0}"/>
    <cellStyle name="40% - Accent5" xfId="11" builtinId="47" customBuiltin="1"/>
    <cellStyle name="40% - Accent5 2" xfId="150" xr:uid="{92ECC5E5-1001-4865-AC90-0E189F03E394}"/>
    <cellStyle name="40% - Accent5 2 2" xfId="180" xr:uid="{1C0B8AB3-BF34-48A0-BB03-CBD13844414C}"/>
    <cellStyle name="40% - Accent5 3" xfId="166" xr:uid="{E057B9B6-308D-4481-9E3B-C75582F77724}"/>
    <cellStyle name="40% - Accent6" xfId="12" builtinId="51" customBuiltin="1"/>
    <cellStyle name="40% - Accent6 2" xfId="151" xr:uid="{6D4245D7-CEB4-476A-8D17-EA65FA2FDCB5}"/>
    <cellStyle name="40% - Accent6 2 2" xfId="181" xr:uid="{8C0A3DB8-01A9-4B79-A094-71A1F4868E88}"/>
    <cellStyle name="40% - Accent6 3" xfId="167" xr:uid="{EB9C038E-61B3-407C-877D-1080AF8BDE2C}"/>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xr:uid="{00000000-0005-0000-0000-00001A000000}"/>
    <cellStyle name="Check Cell" xfId="28" builtinId="23" customBuiltin="1"/>
    <cellStyle name="Comma" xfId="29" builtinId="3"/>
    <cellStyle name="Comma 2" xfId="30" xr:uid="{00000000-0005-0000-0000-00001D000000}"/>
    <cellStyle name="Comma 2 2" xfId="31" xr:uid="{00000000-0005-0000-0000-00001E000000}"/>
    <cellStyle name="Comma 2 3" xfId="32" xr:uid="{00000000-0005-0000-0000-00001F000000}"/>
    <cellStyle name="Comma 2 3 2" xfId="152" xr:uid="{FD63B23C-EB04-4076-BBBE-D49AD185C3E7}"/>
    <cellStyle name="Comma 3" xfId="33" xr:uid="{00000000-0005-0000-0000-000020000000}"/>
    <cellStyle name="Comma 3 2" xfId="34" xr:uid="{00000000-0005-0000-0000-000021000000}"/>
    <cellStyle name="Comma 4" xfId="35" xr:uid="{00000000-0005-0000-0000-000022000000}"/>
    <cellStyle name="Comma 7" xfId="36" xr:uid="{00000000-0005-0000-0000-000023000000}"/>
    <cellStyle name="Comma 8" xfId="37" xr:uid="{00000000-0005-0000-0000-000024000000}"/>
    <cellStyle name="Comma_a4p02" xfId="38" xr:uid="{00000000-0005-0000-0000-000025000000}"/>
    <cellStyle name="Comma_a4p05" xfId="39" xr:uid="{00000000-0005-0000-0000-000026000000}"/>
    <cellStyle name="Currency" xfId="40" builtinId="4"/>
    <cellStyle name="Currency 2" xfId="41" xr:uid="{00000000-0005-0000-0000-000028000000}"/>
    <cellStyle name="Currency 3" xfId="42" xr:uid="{00000000-0005-0000-0000-000029000000}"/>
    <cellStyle name="Exhibit No." xfId="43" xr:uid="{00000000-0005-0000-0000-00002A000000}"/>
    <cellStyle name="Exhibit No. 2" xfId="44" xr:uid="{00000000-0005-0000-0000-00002B000000}"/>
    <cellStyle name="Exhibit No. 3" xfId="45" xr:uid="{00000000-0005-0000-0000-00002C000000}"/>
    <cellStyle name="Explanatory Text" xfId="46" builtinId="53" customBuiltin="1"/>
    <cellStyle name="Good" xfId="47" builtinId="26" customBuiltin="1"/>
    <cellStyle name="Heading 1" xfId="48" builtinId="16" customBuiltin="1"/>
    <cellStyle name="Heading 2" xfId="49" builtinId="17" customBuiltin="1"/>
    <cellStyle name="Heading 3" xfId="50" builtinId="18" customBuiltin="1"/>
    <cellStyle name="Heading 4" xfId="51" builtinId="19" customBuiltin="1"/>
    <cellStyle name="HeadStateofNC" xfId="52" xr:uid="{00000000-0005-0000-0000-000033000000}"/>
    <cellStyle name="HeadStateofNC 2" xfId="53" xr:uid="{00000000-0005-0000-0000-000034000000}"/>
    <cellStyle name="HeadTitles" xfId="54" xr:uid="{00000000-0005-0000-0000-000035000000}"/>
    <cellStyle name="HeadTitles 2" xfId="55" xr:uid="{00000000-0005-0000-0000-000036000000}"/>
    <cellStyle name="HeadYE_Date" xfId="56" xr:uid="{00000000-0005-0000-0000-000037000000}"/>
    <cellStyle name="Hyperlink" xfId="57" builtinId="8" customBuiltin="1"/>
    <cellStyle name="Hyperlink 2" xfId="58" xr:uid="{00000000-0005-0000-0000-000039000000}"/>
    <cellStyle name="Hyperlink 2 2" xfId="59" xr:uid="{00000000-0005-0000-0000-00003A000000}"/>
    <cellStyle name="Hyperlink 2 3" xfId="60" xr:uid="{00000000-0005-0000-0000-00003B000000}"/>
    <cellStyle name="Hyperlink 3" xfId="61" xr:uid="{00000000-0005-0000-0000-00003C000000}"/>
    <cellStyle name="Input" xfId="62" builtinId="20" customBuiltin="1"/>
    <cellStyle name="Linked Cell" xfId="63" builtinId="24" customBuiltin="1"/>
    <cellStyle name="Neutral" xfId="64" builtinId="28" customBuiltin="1"/>
    <cellStyle name="Normal" xfId="0" builtinId="0"/>
    <cellStyle name="Normal 2" xfId="65" xr:uid="{00000000-0005-0000-0000-000041000000}"/>
    <cellStyle name="Normal 2 2" xfId="66" xr:uid="{00000000-0005-0000-0000-000042000000}"/>
    <cellStyle name="Normal 2 2 2" xfId="67" xr:uid="{00000000-0005-0000-0000-000043000000}"/>
    <cellStyle name="Normal 2 3" xfId="68" xr:uid="{00000000-0005-0000-0000-000044000000}"/>
    <cellStyle name="Normal 2 5" xfId="135" xr:uid="{00000000-0005-0000-0000-000045000000}"/>
    <cellStyle name="Normal 3" xfId="69" xr:uid="{00000000-0005-0000-0000-000046000000}"/>
    <cellStyle name="Normal 3 2" xfId="70" xr:uid="{00000000-0005-0000-0000-000047000000}"/>
    <cellStyle name="Normal 3 2 2" xfId="154" xr:uid="{898039F3-AA11-4B2F-91B5-F13099C703EA}"/>
    <cellStyle name="Normal 3 2 2 2" xfId="183" xr:uid="{CF46906F-8836-4482-981F-76363FDB2A0E}"/>
    <cellStyle name="Normal 3 2 3" xfId="169" xr:uid="{D9D82900-805A-4084-9D82-75CB25F3D6E9}"/>
    <cellStyle name="Normal 3 3" xfId="71" xr:uid="{00000000-0005-0000-0000-000048000000}"/>
    <cellStyle name="Normal 3 4" xfId="72" xr:uid="{00000000-0005-0000-0000-000049000000}"/>
    <cellStyle name="Normal 3 5" xfId="153" xr:uid="{DC21F60A-4C3E-4186-B3A0-1DE12634EC44}"/>
    <cellStyle name="Normal 3 5 2" xfId="182" xr:uid="{A5DE7354-D292-4996-A289-4C14BF0AFF5E}"/>
    <cellStyle name="Normal 3 6" xfId="168" xr:uid="{5D4DAE16-D907-4BD7-9DA4-B52CDC453AB8}"/>
    <cellStyle name="Normal 4" xfId="73" xr:uid="{00000000-0005-0000-0000-00004A000000}"/>
    <cellStyle name="Normal 5" xfId="74" xr:uid="{00000000-0005-0000-0000-00004B000000}"/>
    <cellStyle name="Normal 5 2" xfId="75" xr:uid="{00000000-0005-0000-0000-00004C000000}"/>
    <cellStyle name="Normal 5 3" xfId="76" xr:uid="{00000000-0005-0000-0000-00004D000000}"/>
    <cellStyle name="Normal 5 4" xfId="77" xr:uid="{00000000-0005-0000-0000-00004E000000}"/>
    <cellStyle name="Normal 6" xfId="78" xr:uid="{00000000-0005-0000-0000-00004F000000}"/>
    <cellStyle name="Normal 6 2" xfId="79" xr:uid="{00000000-0005-0000-0000-000050000000}"/>
    <cellStyle name="Normal_2002 pkg changesMartha" xfId="80" xr:uid="{00000000-0005-0000-0000-000051000000}"/>
    <cellStyle name="Normal_a3p04" xfId="81" xr:uid="{00000000-0005-0000-0000-000052000000}"/>
    <cellStyle name="Normal_a3p04_2002NCASfawhsts" xfId="82" xr:uid="{00000000-0005-0000-0000-000053000000}"/>
    <cellStyle name="Normal_a3p04_attch5" xfId="83" xr:uid="{00000000-0005-0000-0000-000054000000}"/>
    <cellStyle name="Normal_a3p06_1" xfId="84" xr:uid="{00000000-0005-0000-0000-000055000000}"/>
    <cellStyle name="Normal_a3p06_2002NCASfawhsts" xfId="85" xr:uid="{00000000-0005-0000-0000-000056000000}"/>
    <cellStyle name="Normal_a3p07_attch3" xfId="86" xr:uid="{00000000-0005-0000-0000-000057000000}"/>
    <cellStyle name="Normal_a3p07_NCAS a3p08" xfId="87" xr:uid="{00000000-0005-0000-0000-000058000000}"/>
    <cellStyle name="Normal_a3p08" xfId="88" xr:uid="{00000000-0005-0000-0000-000059000000}"/>
    <cellStyle name="Normal_a3p09" xfId="89" xr:uid="{00000000-0005-0000-0000-00005A000000}"/>
    <cellStyle name="Normal_a3p10-15" xfId="90" xr:uid="{00000000-0005-0000-0000-00005B000000}"/>
    <cellStyle name="Normal_a3p10-15 2" xfId="91" xr:uid="{00000000-0005-0000-0000-00005C000000}"/>
    <cellStyle name="Normal_a3p11" xfId="92" xr:uid="{00000000-0005-0000-0000-00005D000000}"/>
    <cellStyle name="Normal_a3p14" xfId="93" xr:uid="{00000000-0005-0000-0000-00005E000000}"/>
    <cellStyle name="Normal_a3p15" xfId="94" xr:uid="{00000000-0005-0000-0000-00005F000000}"/>
    <cellStyle name="Normal_a3p19" xfId="95" xr:uid="{00000000-0005-0000-0000-000060000000}"/>
    <cellStyle name="Normal_a4p01_CmCoExcl" xfId="96" xr:uid="{00000000-0005-0000-0000-000061000000}"/>
    <cellStyle name="Normal_a4p01_segment2" xfId="97" xr:uid="{00000000-0005-0000-0000-000062000000}"/>
    <cellStyle name="Normal_a4p02" xfId="98" xr:uid="{00000000-0005-0000-0000-000063000000}"/>
    <cellStyle name="Normal_a4p02_CmCoExcl" xfId="99" xr:uid="{00000000-0005-0000-0000-000064000000}"/>
    <cellStyle name="Normal_a4p02_segment2" xfId="100" xr:uid="{00000000-0005-0000-0000-000065000000}"/>
    <cellStyle name="Normal_a4p05" xfId="101" xr:uid="{00000000-0005-0000-0000-000066000000}"/>
    <cellStyle name="Normal_a4p08" xfId="102" xr:uid="{00000000-0005-0000-0000-000068000000}"/>
    <cellStyle name="Normal_a5p07-09" xfId="103" xr:uid="{00000000-0005-0000-0000-000069000000}"/>
    <cellStyle name="Normal_a5p09" xfId="104" xr:uid="{00000000-0005-0000-0000-00006A000000}"/>
    <cellStyle name="Normal_a5p10" xfId="105" xr:uid="{00000000-0005-0000-0000-00006B000000}"/>
    <cellStyle name="Normal_a5p11" xfId="106" xr:uid="{00000000-0005-0000-0000-00006C000000}"/>
    <cellStyle name="Normal_a7p01" xfId="107" xr:uid="{00000000-0005-0000-0000-00006D000000}"/>
    <cellStyle name="Normal_a7p02" xfId="108" xr:uid="{00000000-0005-0000-0000-00006E000000}"/>
    <cellStyle name="Normal_a7p02 2" xfId="109" xr:uid="{00000000-0005-0000-0000-00006F000000}"/>
    <cellStyle name="Normal_a7p03" xfId="110" xr:uid="{00000000-0005-0000-0000-000070000000}"/>
    <cellStyle name="Normal_a7p04" xfId="111" xr:uid="{00000000-0005-0000-0000-000071000000}"/>
    <cellStyle name="Normal_a7p05" xfId="112" xr:uid="{00000000-0005-0000-0000-000072000000}"/>
    <cellStyle name="Normal_a7p07" xfId="138" xr:uid="{00000000-0005-0000-0000-000073000000}"/>
    <cellStyle name="Normal_a7p08" xfId="139" xr:uid="{00000000-0005-0000-0000-000074000000}"/>
    <cellStyle name="Normal_a7p09" xfId="137" xr:uid="{00000000-0005-0000-0000-000075000000}"/>
    <cellStyle name="Normal_a7p10" xfId="136" xr:uid="{00000000-0005-0000-0000-000076000000}"/>
    <cellStyle name="Normal_a7p12" xfId="113" xr:uid="{00000000-0005-0000-0000-000077000000}"/>
    <cellStyle name="Normal_allocation_worksheet" xfId="114" xr:uid="{00000000-0005-0000-0000-000078000000}"/>
    <cellStyle name="Normal_CmCoExcl" xfId="115" xr:uid="{00000000-0005-0000-0000-000079000000}"/>
    <cellStyle name="Normal_CmCoExcl 2" xfId="116" xr:uid="{00000000-0005-0000-0000-00007A000000}"/>
    <cellStyle name="Normal_Related_Party" xfId="117" xr:uid="{00000000-0005-0000-0000-00007B000000}"/>
    <cellStyle name="Normal_Sheet1" xfId="118" xr:uid="{00000000-0005-0000-0000-00007C000000}"/>
    <cellStyle name="Normal_UnivExcl" xfId="119" xr:uid="{00000000-0005-0000-0000-00007D000000}"/>
    <cellStyle name="Note 2" xfId="120" xr:uid="{00000000-0005-0000-0000-00007E000000}"/>
    <cellStyle name="Note 2 2" xfId="155" xr:uid="{41DBA68D-DA9B-46C6-9CA4-A38660632CE5}"/>
    <cellStyle name="Number$ -" xfId="121" xr:uid="{00000000-0005-0000-0000-00007F000000}"/>
    <cellStyle name="Number-no $ -" xfId="122" xr:uid="{00000000-0005-0000-0000-000080000000}"/>
    <cellStyle name="Number-no $ -_2006Agencyproforma" xfId="123" xr:uid="{00000000-0005-0000-0000-000081000000}"/>
    <cellStyle name="NumberTotal$ -" xfId="124" xr:uid="{00000000-0005-0000-0000-000082000000}"/>
    <cellStyle name="NumberTotal-no $ -" xfId="125" xr:uid="{00000000-0005-0000-0000-000083000000}"/>
    <cellStyle name="NumNo$" xfId="126" xr:uid="{00000000-0005-0000-0000-000084000000}"/>
    <cellStyle name="NumTotD" xfId="127" xr:uid="{00000000-0005-0000-0000-000085000000}"/>
    <cellStyle name="NumTotNo$" xfId="128" xr:uid="{00000000-0005-0000-0000-000086000000}"/>
    <cellStyle name="Output" xfId="129" builtinId="21" customBuiltin="1"/>
    <cellStyle name="Percent" xfId="130" builtinId="5"/>
    <cellStyle name="Percent 2" xfId="131" xr:uid="{00000000-0005-0000-0000-000089000000}"/>
    <cellStyle name="Title" xfId="132" builtinId="15" customBuiltin="1"/>
    <cellStyle name="Total" xfId="133" builtinId="25" customBuiltin="1"/>
    <cellStyle name="Warning Text" xfId="134" builtinId="11" customBuiltin="1"/>
  </cellStyles>
  <dxfs count="17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border>
        <left style="thin">
          <color indexed="64"/>
        </left>
        <right style="thin">
          <color indexed="64"/>
        </right>
        <top style="thin">
          <color indexed="64"/>
        </top>
        <bottom style="thin">
          <color indexed="64"/>
        </bottom>
      </border>
    </dxf>
    <dxf>
      <font>
        <color rgb="FF9C0006"/>
      </font>
      <fill>
        <patternFill>
          <bgColor rgb="FFFFC7CE"/>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font>
        <color rgb="FF0000FF"/>
      </font>
    </dxf>
    <dxf>
      <font>
        <color rgb="FFFF0000"/>
      </font>
    </dxf>
    <dxf>
      <fill>
        <patternFill>
          <bgColor indexed="26"/>
        </patternFill>
      </fill>
    </dxf>
  </dxfs>
  <tableStyles count="0" defaultTableStyle="TableStyleMedium9" defaultPivotStyle="PivotStyleLight16"/>
  <colors>
    <mruColors>
      <color rgb="FF0000FF"/>
      <color rgb="FFCCCCFF"/>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eetMetadata" Target="metadata.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microsoft.com/office/2017/10/relationships/person" Target="persons/perso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63</xdr:row>
      <xdr:rowOff>0</xdr:rowOff>
    </xdr:from>
    <xdr:to>
      <xdr:col>10</xdr:col>
      <xdr:colOff>331478</xdr:colOff>
      <xdr:row>69</xdr:row>
      <xdr:rowOff>123825</xdr:rowOff>
    </xdr:to>
    <xdr:sp macro="" textlink="">
      <xdr:nvSpPr>
        <xdr:cNvPr id="37889" name="Text Box 1">
          <a:extLst>
            <a:ext uri="{FF2B5EF4-FFF2-40B4-BE49-F238E27FC236}">
              <a16:creationId xmlns:a16="http://schemas.microsoft.com/office/drawing/2014/main" id="{00000000-0008-0000-0A00-000001940000}"/>
            </a:ext>
          </a:extLst>
        </xdr:cNvPr>
        <xdr:cNvSpPr txBox="1">
          <a:spLocks noChangeArrowheads="1"/>
        </xdr:cNvSpPr>
      </xdr:nvSpPr>
      <xdr:spPr bwMode="auto">
        <a:xfrm>
          <a:off x="219075" y="8410575"/>
          <a:ext cx="4017653" cy="9429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strike="noStrike">
              <a:solidFill>
                <a:srgbClr val="000000"/>
              </a:solidFill>
              <a:latin typeface="Arial"/>
              <a:cs typeface="Arial"/>
            </a:rPr>
            <a:t>Note:  The impairment loss should be reported net of the associated insurance recovery when the recovery and loss occur in the same year.  Insurance recoveries reported in subsequent years should be reported only when realized or realizable.  For example, if an insurer has admitted or acknowledged coverage, an insurance recovery would be realizable (GASB 42, paragraph 21).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33</xdr:row>
      <xdr:rowOff>150497</xdr:rowOff>
    </xdr:from>
    <xdr:to>
      <xdr:col>16</xdr:col>
      <xdr:colOff>1257330</xdr:colOff>
      <xdr:row>38</xdr:row>
      <xdr:rowOff>47631</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3181350" y="5372102"/>
          <a:ext cx="4648200" cy="71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en-US" sz="1000" b="0" i="0" u="none" strike="noStrike">
              <a:solidFill>
                <a:schemeClr val="dk1"/>
              </a:solidFill>
              <a:latin typeface="Arial" pitchFamily="34" charset="0"/>
              <a:ea typeface="+mn-ea"/>
              <a:cs typeface="Arial" pitchFamily="34" charset="0"/>
            </a:rPr>
            <a:t>Note: Hedging derivative instruments must meet </a:t>
          </a:r>
          <a:r>
            <a:rPr lang="en-US" sz="1000" b="0" i="0" u="sng" strike="noStrike">
              <a:solidFill>
                <a:schemeClr val="dk1"/>
              </a:solidFill>
              <a:latin typeface="Arial" pitchFamily="34" charset="0"/>
              <a:ea typeface="+mn-ea"/>
              <a:cs typeface="Arial" pitchFamily="34" charset="0"/>
            </a:rPr>
            <a:t>annual</a:t>
          </a:r>
          <a:r>
            <a:rPr lang="en-US" sz="1000" b="0" i="0" u="none" strike="noStrike">
              <a:solidFill>
                <a:schemeClr val="dk1"/>
              </a:solidFill>
              <a:latin typeface="Arial" pitchFamily="34" charset="0"/>
              <a:ea typeface="+mn-ea"/>
              <a:cs typeface="Arial" pitchFamily="34" charset="0"/>
            </a:rPr>
            <a:t> effectiveness</a:t>
          </a:r>
          <a:r>
            <a:rPr lang="en-US" sz="1000" b="0" i="0" u="none" strike="noStrike" baseline="0">
              <a:solidFill>
                <a:schemeClr val="dk1"/>
              </a:solidFill>
              <a:latin typeface="Arial" pitchFamily="34" charset="0"/>
              <a:ea typeface="+mn-ea"/>
              <a:cs typeface="Arial" pitchFamily="34" charset="0"/>
            </a:rPr>
            <a:t> tests.  Indicate the method(s) used to determine effectiveness by </a:t>
          </a:r>
          <a:r>
            <a:rPr lang="en-US" sz="1000" b="1" i="0" u="none" strike="noStrike" baseline="0">
              <a:solidFill>
                <a:schemeClr val="dk1"/>
              </a:solidFill>
              <a:latin typeface="Arial" pitchFamily="34" charset="0"/>
              <a:ea typeface="+mn-ea"/>
              <a:cs typeface="Arial" pitchFamily="34" charset="0"/>
            </a:rPr>
            <a:t>keying the line numbers</a:t>
          </a:r>
          <a:r>
            <a:rPr lang="en-US" sz="1000" b="0" i="0" u="none" strike="noStrike" baseline="0">
              <a:solidFill>
                <a:schemeClr val="dk1"/>
              </a:solidFill>
              <a:latin typeface="Arial" pitchFamily="34" charset="0"/>
              <a:ea typeface="+mn-ea"/>
              <a:cs typeface="Arial" pitchFamily="34" charset="0"/>
            </a:rPr>
            <a:t> of the hedging derivative instruments above. A method can have more than one line number.</a:t>
          </a:r>
          <a:endParaRPr lang="en-US" sz="10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182880</xdr:rowOff>
    </xdr:from>
    <xdr:to>
      <xdr:col>16</xdr:col>
      <xdr:colOff>0</xdr:colOff>
      <xdr:row>22</xdr:row>
      <xdr:rowOff>178792</xdr:rowOff>
    </xdr:to>
    <xdr:pic>
      <xdr:nvPicPr>
        <xdr:cNvPr id="12" name="Picture 1">
          <a:extLst>
            <a:ext uri="{FF2B5EF4-FFF2-40B4-BE49-F238E27FC236}">
              <a16:creationId xmlns:a16="http://schemas.microsoft.com/office/drawing/2014/main" id="{38B32FBB-00FD-09D6-E228-C05D257412D8}"/>
            </a:ext>
          </a:extLst>
        </xdr:cNvPr>
        <xdr:cNvPicPr>
          <a:picLocks noChangeAspect="1"/>
        </xdr:cNvPicPr>
      </xdr:nvPicPr>
      <xdr:blipFill>
        <a:blip xmlns:r="http://schemas.openxmlformats.org/officeDocument/2006/relationships" r:embed="rId1"/>
        <a:stretch>
          <a:fillRect/>
        </a:stretch>
      </xdr:blipFill>
      <xdr:spPr>
        <a:xfrm>
          <a:off x="0" y="3360420"/>
          <a:ext cx="6317455" cy="1138912"/>
        </a:xfrm>
        <a:prstGeom prst="rect">
          <a:avLst/>
        </a:prstGeom>
      </xdr:spPr>
    </xdr:pic>
    <xdr:clientData/>
  </xdr:twoCellAnchor>
  <xdr:twoCellAnchor editAs="oneCell">
    <xdr:from>
      <xdr:col>0</xdr:col>
      <xdr:colOff>1</xdr:colOff>
      <xdr:row>34</xdr:row>
      <xdr:rowOff>30480</xdr:rowOff>
    </xdr:from>
    <xdr:to>
      <xdr:col>15</xdr:col>
      <xdr:colOff>264133</xdr:colOff>
      <xdr:row>39</xdr:row>
      <xdr:rowOff>99060</xdr:rowOff>
    </xdr:to>
    <xdr:pic>
      <xdr:nvPicPr>
        <xdr:cNvPr id="18" name="Picture 2">
          <a:extLst>
            <a:ext uri="{FF2B5EF4-FFF2-40B4-BE49-F238E27FC236}">
              <a16:creationId xmlns:a16="http://schemas.microsoft.com/office/drawing/2014/main" id="{0F0136D0-E008-DF35-CA5E-F54054136F1A}"/>
            </a:ext>
          </a:extLst>
        </xdr:cNvPr>
        <xdr:cNvPicPr>
          <a:picLocks noChangeAspect="1"/>
        </xdr:cNvPicPr>
      </xdr:nvPicPr>
      <xdr:blipFill>
        <a:blip xmlns:r="http://schemas.openxmlformats.org/officeDocument/2006/relationships" r:embed="rId2"/>
        <a:stretch>
          <a:fillRect/>
        </a:stretch>
      </xdr:blipFill>
      <xdr:spPr>
        <a:xfrm>
          <a:off x="1" y="6637020"/>
          <a:ext cx="6276312" cy="1021080"/>
        </a:xfrm>
        <a:prstGeom prst="rect">
          <a:avLst/>
        </a:prstGeom>
      </xdr:spPr>
    </xdr:pic>
    <xdr:clientData/>
  </xdr:twoCellAnchor>
  <xdr:twoCellAnchor editAs="oneCell">
    <xdr:from>
      <xdr:col>0</xdr:col>
      <xdr:colOff>1</xdr:colOff>
      <xdr:row>51</xdr:row>
      <xdr:rowOff>26322</xdr:rowOff>
    </xdr:from>
    <xdr:to>
      <xdr:col>15</xdr:col>
      <xdr:colOff>281941</xdr:colOff>
      <xdr:row>56</xdr:row>
      <xdr:rowOff>121919</xdr:rowOff>
    </xdr:to>
    <xdr:pic>
      <xdr:nvPicPr>
        <xdr:cNvPr id="19" name="Picture 3">
          <a:extLst>
            <a:ext uri="{FF2B5EF4-FFF2-40B4-BE49-F238E27FC236}">
              <a16:creationId xmlns:a16="http://schemas.microsoft.com/office/drawing/2014/main" id="{94B7FA5B-F626-D6E1-C2FC-DDBA888A2755}"/>
            </a:ext>
          </a:extLst>
        </xdr:cNvPr>
        <xdr:cNvPicPr>
          <a:picLocks noChangeAspect="1"/>
        </xdr:cNvPicPr>
      </xdr:nvPicPr>
      <xdr:blipFill>
        <a:blip xmlns:r="http://schemas.openxmlformats.org/officeDocument/2006/relationships" r:embed="rId3"/>
        <a:stretch>
          <a:fillRect/>
        </a:stretch>
      </xdr:blipFill>
      <xdr:spPr>
        <a:xfrm>
          <a:off x="1" y="9642762"/>
          <a:ext cx="6294120" cy="10480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76200</xdr:rowOff>
    </xdr:from>
    <xdr:to>
      <xdr:col>21</xdr:col>
      <xdr:colOff>866563</xdr:colOff>
      <xdr:row>13</xdr:row>
      <xdr:rowOff>912395</xdr:rowOff>
    </xdr:to>
    <xdr:sp macro="" textlink="">
      <xdr:nvSpPr>
        <xdr:cNvPr id="24629" name="Text Box 1">
          <a:extLst>
            <a:ext uri="{FF2B5EF4-FFF2-40B4-BE49-F238E27FC236}">
              <a16:creationId xmlns:a16="http://schemas.microsoft.com/office/drawing/2014/main" id="{00000000-0008-0000-3700-000035600000}"/>
            </a:ext>
          </a:extLst>
        </xdr:cNvPr>
        <xdr:cNvSpPr txBox="1">
          <a:spLocks noChangeArrowheads="1"/>
        </xdr:cNvSpPr>
      </xdr:nvSpPr>
      <xdr:spPr bwMode="auto">
        <a:xfrm>
          <a:off x="0" y="1600200"/>
          <a:ext cx="9474870" cy="1788695"/>
        </a:xfrm>
        <a:prstGeom prst="rect">
          <a:avLst/>
        </a:prstGeom>
        <a:no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For each </a:t>
          </a:r>
          <a:r>
            <a:rPr lang="en-US" sz="900" b="1" i="0" strike="noStrike">
              <a:solidFill>
                <a:srgbClr val="000000"/>
              </a:solidFill>
              <a:latin typeface="Arial"/>
              <a:cs typeface="Arial"/>
            </a:rPr>
            <a:t>GASB fund number</a:t>
          </a:r>
          <a:r>
            <a:rPr lang="en-US" sz="900" b="0" i="0" strike="noStrike">
              <a:solidFill>
                <a:srgbClr val="000000"/>
              </a:solidFill>
              <a:latin typeface="Arial"/>
              <a:cs typeface="Arial"/>
            </a:rPr>
            <a:t>, analyze </a:t>
          </a:r>
          <a:r>
            <a:rPr lang="en-US" sz="900" b="1" i="0" strike="noStrike">
              <a:solidFill>
                <a:srgbClr val="000000"/>
              </a:solidFill>
              <a:latin typeface="Arial"/>
              <a:cs typeface="Arial"/>
            </a:rPr>
            <a:t>SIGNIFICANT INCREASES/DECREASES</a:t>
          </a:r>
          <a:r>
            <a:rPr lang="en-US" sz="900" b="0" i="0" strike="noStrike">
              <a:solidFill>
                <a:srgbClr val="000000"/>
              </a:solidFill>
              <a:latin typeface="Arial"/>
              <a:cs typeface="Arial"/>
            </a:rPr>
            <a:t> from the prior year at the financial statement report caption level . The threshold for significant is defined as a change of 15% AND a dollar amount of $15 million or greater for primary government agencies/</a:t>
          </a:r>
          <a:r>
            <a:rPr lang="en-US" sz="900" b="0" i="0" strike="noStrike" baseline="0">
              <a:solidFill>
                <a:srgbClr val="000000"/>
              </a:solidFill>
              <a:latin typeface="Arial"/>
              <a:cs typeface="Arial"/>
            </a:rPr>
            <a:t> $40 million or greater for UNC Chapel Hill and the UNC Health Care System/ $30 million or greater for North Carolina State University/</a:t>
          </a:r>
          <a:r>
            <a:rPr lang="en-US" sz="900" b="0" i="0" strike="noStrike">
              <a:solidFill>
                <a:srgbClr val="000000"/>
              </a:solidFill>
              <a:latin typeface="Arial"/>
              <a:cs typeface="Arial"/>
            </a:rPr>
            <a:t> $10 million or greater for all other universities and major component units/ $2 million or greater for colleges and nonmajor component units. Start with the operating statement and analyze revenues and other financing sources, and expenditures/expenses and other uses. </a:t>
          </a:r>
          <a:r>
            <a:rPr lang="en-US" sz="900" b="0" i="0">
              <a:effectLst/>
              <a:latin typeface="Arial" pitchFamily="34" charset="0"/>
              <a:ea typeface="+mn-ea"/>
              <a:cs typeface="Arial" pitchFamily="34" charset="0"/>
            </a:rPr>
            <a:t>First explain the operating statement variances.</a:t>
          </a:r>
          <a:r>
            <a:rPr lang="en-US" sz="1000" b="0" i="0">
              <a:effectLst/>
              <a:latin typeface="+mn-lt"/>
              <a:ea typeface="+mn-ea"/>
              <a:cs typeface="+mn-cs"/>
            </a:rPr>
            <a:t> </a:t>
          </a:r>
          <a:r>
            <a:rPr lang="en-US" sz="900" b="0" i="0" strike="noStrike">
              <a:solidFill>
                <a:srgbClr val="000000"/>
              </a:solidFill>
              <a:latin typeface="Arial"/>
              <a:cs typeface="Arial"/>
            </a:rPr>
            <a:t>Then look at assets and liabilities</a:t>
          </a:r>
          <a:r>
            <a:rPr lang="en-US" sz="900" b="0" i="0" u="sng" strike="noStrike">
              <a:solidFill>
                <a:srgbClr val="000000"/>
              </a:solidFill>
              <a:latin typeface="Arial"/>
              <a:cs typeface="Arial"/>
            </a:rPr>
            <a:t>,</a:t>
          </a:r>
          <a:r>
            <a:rPr lang="en-US" sz="900" b="0" i="0" u="sng" strike="noStrike" baseline="0">
              <a:solidFill>
                <a:srgbClr val="000000"/>
              </a:solidFill>
              <a:latin typeface="Arial"/>
              <a:cs typeface="Arial"/>
            </a:rPr>
            <a:t>deferred outflows and inflows. </a:t>
          </a:r>
          <a:r>
            <a:rPr lang="en-US" sz="900" b="0" i="0" u="sng" strike="noStrike">
              <a:solidFill>
                <a:srgbClr val="000000"/>
              </a:solidFill>
              <a:latin typeface="Arial"/>
              <a:cs typeface="Arial"/>
            </a:rPr>
            <a:t> For BTAs, if</a:t>
          </a:r>
          <a:r>
            <a:rPr lang="en-US" sz="900" b="0" i="0" u="sng" strike="noStrike" baseline="0">
              <a:solidFill>
                <a:srgbClr val="000000"/>
              </a:solidFill>
              <a:latin typeface="Arial"/>
              <a:cs typeface="Arial"/>
            </a:rPr>
            <a:t> it is helpful for your explanation, you may combine the current and noncurrent portions for assets and liabilities to provide one explanation for significant changes.</a:t>
          </a:r>
          <a:r>
            <a:rPr lang="en-US" sz="900" b="0" i="0" strike="noStrike" baseline="0">
              <a:solidFill>
                <a:srgbClr val="000000"/>
              </a:solidFill>
              <a:latin typeface="Arial"/>
              <a:cs typeface="Arial"/>
            </a:rPr>
            <a:t> E</a:t>
          </a:r>
          <a:r>
            <a:rPr lang="en-US" sz="900" b="0" i="0" strike="noStrike">
              <a:solidFill>
                <a:srgbClr val="000000"/>
              </a:solidFill>
              <a:latin typeface="Arial"/>
              <a:cs typeface="Arial"/>
            </a:rPr>
            <a:t>xplain balance sheet variances if not already explained by the operating statement. Write an </a:t>
          </a:r>
          <a:r>
            <a:rPr lang="en-US" sz="900" b="0" i="0" u="sng" strike="noStrike">
              <a:solidFill>
                <a:srgbClr val="000000"/>
              </a:solidFill>
              <a:latin typeface="Arial"/>
              <a:cs typeface="Arial"/>
            </a:rPr>
            <a:t>informative</a:t>
          </a:r>
          <a:r>
            <a:rPr lang="en-US" sz="900" b="0" i="0" strike="noStrike">
              <a:solidFill>
                <a:srgbClr val="000000"/>
              </a:solidFill>
              <a:latin typeface="Arial"/>
              <a:cs typeface="Arial"/>
            </a:rPr>
            <a:t> description to explain variances, indicating the </a:t>
          </a:r>
          <a:r>
            <a:rPr lang="en-US" sz="900" b="1" i="1" u="sng" strike="noStrike">
              <a:solidFill>
                <a:srgbClr val="000000"/>
              </a:solidFill>
              <a:latin typeface="Arial"/>
              <a:cs typeface="Arial"/>
            </a:rPr>
            <a:t>REASON , e.g., Why did sales increase? What happened this year to cause this variance?</a:t>
          </a:r>
          <a:r>
            <a:rPr lang="en-US" sz="900" b="0" i="0" strike="noStrike">
              <a:solidFill>
                <a:srgbClr val="000000"/>
              </a:solidFill>
              <a:latin typeface="Arial"/>
              <a:cs typeface="Arial"/>
            </a:rPr>
            <a:t>  Variances</a:t>
          </a:r>
          <a:r>
            <a:rPr lang="en-US" sz="900" b="0" i="0" strike="noStrike" baseline="0">
              <a:solidFill>
                <a:srgbClr val="000000"/>
              </a:solidFill>
              <a:latin typeface="Arial"/>
              <a:cs typeface="Arial"/>
            </a:rPr>
            <a:t> in fund equity do not require explanation. </a:t>
          </a:r>
          <a:r>
            <a:rPr lang="en-US" sz="900" b="0" i="0" strike="noStrike">
              <a:solidFill>
                <a:srgbClr val="000000"/>
              </a:solidFill>
              <a:latin typeface="Arial"/>
              <a:cs typeface="Arial"/>
            </a:rPr>
            <a:t>The description area is formatted to wrap text, so take as much space as needed to explain, and just increase the height of the row to show the text. Create copies of this page for different GASBs and more space as needed. This worksheet should include unusual and significant items.  NCAS agencies should use DSS COMP reports to accumulate this information, with two-year comparative statements available to assist you. </a:t>
          </a:r>
          <a:r>
            <a:rPr lang="en-US" sz="900" b="0" i="0" u="sng" strike="noStrike">
              <a:solidFill>
                <a:srgbClr val="000000"/>
              </a:solidFill>
              <a:latin typeface="Arial"/>
              <a:cs typeface="Arial"/>
            </a:rPr>
            <a:t>Pay</a:t>
          </a:r>
          <a:r>
            <a:rPr lang="en-US" sz="900" b="0" i="0" u="sng" strike="noStrike" baseline="0">
              <a:solidFill>
                <a:srgbClr val="000000"/>
              </a:solidFill>
              <a:latin typeface="Arial"/>
              <a:cs typeface="Arial"/>
            </a:rPr>
            <a:t> particular attention to 100% or /0 changes where there is a value in the caption in one year, but not the other year.  This could indicate a misclassification which would need to be corrected or a new item/change that would need to be explained. Please use this worksheet as a tool for your own review of the statements to see that amounts are reasonable/expected and big changes can be explained. </a:t>
          </a:r>
          <a:r>
            <a:rPr lang="en-US" sz="900" b="0" i="0" u="sng" strike="noStrike">
              <a:solidFill>
                <a:srgbClr val="000000"/>
              </a:solidFill>
              <a:latin typeface="Arial"/>
              <a:cs typeface="Arial"/>
            </a:rPr>
            <a:t>See instructions for more detail</a:t>
          </a:r>
          <a:r>
            <a:rPr lang="en-US" sz="900" b="0" i="0" u="sng" strike="noStrike" baseline="0">
              <a:solidFill>
                <a:srgbClr val="000000"/>
              </a:solidFill>
              <a:latin typeface="Arial"/>
              <a:cs typeface="Arial"/>
            </a:rPr>
            <a:t> or contact your OSC analyst for additional guidance</a:t>
          </a:r>
          <a:r>
            <a:rPr lang="en-US" sz="900" b="0" i="0" u="sng" strike="noStrike">
              <a:solidFill>
                <a:srgbClr val="000000"/>
              </a:solidFill>
              <a:latin typeface="Arial"/>
              <a:cs typeface="Arial"/>
            </a:rPr>
            <a:t>.</a:t>
          </a:r>
        </a:p>
      </xdr:txBody>
    </xdr:sp>
    <xdr:clientData/>
  </xdr:twoCellAnchor>
  <xdr:twoCellAnchor>
    <xdr:from>
      <xdr:col>1</xdr:col>
      <xdr:colOff>19050</xdr:colOff>
      <xdr:row>25</xdr:row>
      <xdr:rowOff>0</xdr:rowOff>
    </xdr:from>
    <xdr:to>
      <xdr:col>22</xdr:col>
      <xdr:colOff>0</xdr:colOff>
      <xdr:row>27</xdr:row>
      <xdr:rowOff>114300</xdr:rowOff>
    </xdr:to>
    <xdr:sp macro="" textlink="">
      <xdr:nvSpPr>
        <xdr:cNvPr id="24630" name="Text Box 2">
          <a:extLst>
            <a:ext uri="{FF2B5EF4-FFF2-40B4-BE49-F238E27FC236}">
              <a16:creationId xmlns:a16="http://schemas.microsoft.com/office/drawing/2014/main" id="{00000000-0008-0000-3700-000036600000}"/>
            </a:ext>
          </a:extLst>
        </xdr:cNvPr>
        <xdr:cNvSpPr txBox="1">
          <a:spLocks noChangeArrowheads="1"/>
        </xdr:cNvSpPr>
      </xdr:nvSpPr>
      <xdr:spPr bwMode="auto">
        <a:xfrm>
          <a:off x="19050" y="7524750"/>
          <a:ext cx="9267825" cy="495300"/>
        </a:xfrm>
        <a:prstGeom prst="rect">
          <a:avLst/>
        </a:prstGeom>
        <a:no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in the attached </a:t>
          </a:r>
          <a:r>
            <a:rPr lang="en-US" sz="900" b="1" i="0" strike="noStrike">
              <a:solidFill>
                <a:srgbClr val="000000"/>
              </a:solidFill>
              <a:latin typeface="Arial"/>
              <a:cs typeface="Arial"/>
            </a:rPr>
            <a:t>ACFR Package Narratives</a:t>
          </a:r>
          <a:r>
            <a:rPr lang="en-US" sz="900" b="0" i="0" strike="noStrike">
              <a:solidFill>
                <a:srgbClr val="000000"/>
              </a:solidFill>
              <a:latin typeface="Arial"/>
              <a:cs typeface="Aria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9</xdr:row>
      <xdr:rowOff>104774</xdr:rowOff>
    </xdr:from>
    <xdr:to>
      <xdr:col>12</xdr:col>
      <xdr:colOff>0</xdr:colOff>
      <xdr:row>19</xdr:row>
      <xdr:rowOff>30480</xdr:rowOff>
    </xdr:to>
    <xdr:sp macro="" textlink="">
      <xdr:nvSpPr>
        <xdr:cNvPr id="4" name="TextBox 3">
          <a:extLst>
            <a:ext uri="{FF2B5EF4-FFF2-40B4-BE49-F238E27FC236}">
              <a16:creationId xmlns:a16="http://schemas.microsoft.com/office/drawing/2014/main" id="{00000000-0008-0000-3900-000004000000}"/>
            </a:ext>
          </a:extLst>
        </xdr:cNvPr>
        <xdr:cNvSpPr txBox="1"/>
      </xdr:nvSpPr>
      <xdr:spPr>
        <a:xfrm>
          <a:off x="28575" y="1704974"/>
          <a:ext cx="7149465" cy="1602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GASB Statement 77 establishes</a:t>
          </a:r>
          <a:r>
            <a:rPr lang="en-US" sz="1100" baseline="0">
              <a:latin typeface="Arial" panose="020B0604020202020204" pitchFamily="34" charset="0"/>
              <a:cs typeface="Arial" panose="020B0604020202020204" pitchFamily="34" charset="0"/>
            </a:rPr>
            <a:t> accounting and financial reporting standards for tax abatement disclosures.  GASB 77 defines tax abatements for financial reporting purposes as, "A reduction in tax revenues that results from an agreement between one or more governments and an individual or entity in which (a) one or more governments promise to forgo tax revenues to which they are otherwise entitled and (b) the individual or entity promises to take a specific action after the agreement has been entered into that contributes to economic development or otherwise benefits the governments or the citizens of those governments."</a:t>
          </a:r>
        </a:p>
        <a:p>
          <a:endParaRPr lang="en-US" sz="1100" baseline="0">
            <a:latin typeface="Arial" panose="020B0604020202020204" pitchFamily="34" charset="0"/>
            <a:cs typeface="Arial" panose="020B0604020202020204" pitchFamily="34" charset="0"/>
          </a:endParaRPr>
        </a:p>
        <a:p>
          <a:r>
            <a:rPr lang="en-US" sz="1100" b="1" u="sng" baseline="0">
              <a:latin typeface="Arial" panose="020B0604020202020204" pitchFamily="34" charset="0"/>
              <a:cs typeface="Arial" panose="020B0604020202020204" pitchFamily="34" charset="0"/>
            </a:rPr>
            <a:t>This worksheet applies only to the Department of Commerce</a:t>
          </a:r>
          <a:r>
            <a:rPr lang="en-US" sz="1100" b="0" u="none" baseline="0">
              <a:latin typeface="Arial" panose="020B0604020202020204" pitchFamily="34" charset="0"/>
              <a:cs typeface="Arial" panose="020B0604020202020204" pitchFamily="34" charset="0"/>
            </a:rPr>
            <a:t> (NA for all other agencies and component units).</a:t>
          </a:r>
          <a:endParaRPr lang="en-US" sz="11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605790</xdr:colOff>
      <xdr:row>39</xdr:row>
      <xdr:rowOff>161925</xdr:rowOff>
    </xdr:from>
    <xdr:to>
      <xdr:col>16</xdr:col>
      <xdr:colOff>596265</xdr:colOff>
      <xdr:row>42</xdr:row>
      <xdr:rowOff>19050</xdr:rowOff>
    </xdr:to>
    <xdr:sp macro="" textlink="">
      <xdr:nvSpPr>
        <xdr:cNvPr id="30721" name="Text 2">
          <a:extLst>
            <a:ext uri="{FF2B5EF4-FFF2-40B4-BE49-F238E27FC236}">
              <a16:creationId xmlns:a16="http://schemas.microsoft.com/office/drawing/2014/main" id="{00000000-0008-0000-3B00-000001780000}"/>
            </a:ext>
          </a:extLst>
        </xdr:cNvPr>
        <xdr:cNvSpPr>
          <a:spLocks noChangeArrowheads="1"/>
        </xdr:cNvSpPr>
      </xdr:nvSpPr>
      <xdr:spPr bwMode="auto">
        <a:xfrm>
          <a:off x="4184650" y="6010275"/>
          <a:ext cx="1914525" cy="3524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Note:  </a:t>
          </a:r>
          <a:r>
            <a:rPr lang="en-US" sz="800" b="0" i="0" strike="noStrike">
              <a:solidFill>
                <a:srgbClr val="000000"/>
              </a:solidFill>
              <a:latin typeface="Arial"/>
              <a:cs typeface="Arial"/>
            </a:rPr>
            <a:t>The sum of columns </a:t>
          </a:r>
          <a:r>
            <a:rPr lang="en-US" sz="800" b="1" i="0" strike="noStrike">
              <a:solidFill>
                <a:srgbClr val="000000"/>
              </a:solidFill>
              <a:latin typeface="Arial"/>
              <a:cs typeface="Arial"/>
            </a:rPr>
            <a:t>(B)</a:t>
          </a:r>
          <a:r>
            <a:rPr lang="en-US" sz="800" b="0" i="0" strike="noStrike">
              <a:solidFill>
                <a:srgbClr val="000000"/>
              </a:solidFill>
              <a:latin typeface="Arial"/>
              <a:cs typeface="Arial"/>
            </a:rPr>
            <a:t>, </a:t>
          </a:r>
          <a:r>
            <a:rPr lang="en-US" sz="800" b="1" i="0" strike="noStrike">
              <a:solidFill>
                <a:srgbClr val="000000"/>
              </a:solidFill>
              <a:latin typeface="Arial"/>
              <a:cs typeface="Arial"/>
            </a:rPr>
            <a:t>(C)</a:t>
          </a:r>
          <a:r>
            <a:rPr lang="en-US" sz="800" b="0" i="0" strike="noStrike">
              <a:solidFill>
                <a:srgbClr val="000000"/>
              </a:solidFill>
              <a:latin typeface="Arial"/>
              <a:cs typeface="Arial"/>
            </a:rPr>
            <a:t> and</a:t>
          </a:r>
          <a:r>
            <a:rPr lang="en-US" sz="800" b="1" i="0" strike="noStrike">
              <a:solidFill>
                <a:srgbClr val="000000"/>
              </a:solidFill>
              <a:latin typeface="Arial"/>
              <a:cs typeface="Arial"/>
            </a:rPr>
            <a:t> (D)</a:t>
          </a:r>
          <a:r>
            <a:rPr lang="en-US" sz="800" b="0" i="0" strike="noStrike">
              <a:solidFill>
                <a:srgbClr val="000000"/>
              </a:solidFill>
              <a:latin typeface="Arial"/>
              <a:cs typeface="Arial"/>
            </a:rPr>
            <a:t> must equal column </a:t>
          </a:r>
          <a:r>
            <a:rPr lang="en-US" sz="800" b="1" i="0" strike="noStrike">
              <a:solidFill>
                <a:srgbClr val="000000"/>
              </a:solidFill>
              <a:latin typeface="Arial"/>
              <a:cs typeface="Arial"/>
            </a:rPr>
            <a:t>(A)</a:t>
          </a:r>
          <a:r>
            <a:rPr lang="en-US" sz="800" b="0" i="0" strike="noStrike">
              <a:solidFill>
                <a:srgbClr val="000000"/>
              </a:solidFill>
              <a:latin typeface="Arial"/>
              <a:cs typeface="Arial"/>
            </a:rPr>
            <a:t>.</a:t>
          </a:r>
        </a:p>
      </xdr:txBody>
    </xdr:sp>
    <xdr:clientData/>
  </xdr:twoCellAnchor>
  <xdr:twoCellAnchor>
    <xdr:from>
      <xdr:col>1</xdr:col>
      <xdr:colOff>255270</xdr:colOff>
      <xdr:row>62</xdr:row>
      <xdr:rowOff>87630</xdr:rowOff>
    </xdr:from>
    <xdr:to>
      <xdr:col>10</xdr:col>
      <xdr:colOff>609600</xdr:colOff>
      <xdr:row>67</xdr:row>
      <xdr:rowOff>66675</xdr:rowOff>
    </xdr:to>
    <xdr:sp macro="" textlink="">
      <xdr:nvSpPr>
        <xdr:cNvPr id="30722" name="Text 1">
          <a:extLst>
            <a:ext uri="{FF2B5EF4-FFF2-40B4-BE49-F238E27FC236}">
              <a16:creationId xmlns:a16="http://schemas.microsoft.com/office/drawing/2014/main" id="{00000000-0008-0000-3B00-000002780000}"/>
            </a:ext>
          </a:extLst>
        </xdr:cNvPr>
        <xdr:cNvSpPr>
          <a:spLocks noChangeArrowheads="1"/>
        </xdr:cNvSpPr>
      </xdr:nvSpPr>
      <xdr:spPr bwMode="auto">
        <a:xfrm>
          <a:off x="255270" y="9364980"/>
          <a:ext cx="2754630" cy="779145"/>
        </a:xfrm>
        <a:prstGeom prst="roundRect">
          <a:avLst>
            <a:gd name="adj" fmla="val 16667"/>
          </a:avLst>
        </a:prstGeom>
        <a:solidFill>
          <a:sysClr val="window" lastClr="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en-US" sz="900" b="1" i="0" strike="noStrike">
              <a:solidFill>
                <a:srgbClr val="000000"/>
              </a:solidFill>
              <a:latin typeface="Arial"/>
              <a:cs typeface="Arial"/>
            </a:rPr>
            <a:t>Note:</a:t>
          </a:r>
          <a:endParaRPr lang="en-US" sz="900" b="0" i="0" strike="noStrike">
            <a:solidFill>
              <a:srgbClr val="000000"/>
            </a:solidFill>
            <a:latin typeface="Arial"/>
            <a:cs typeface="Arial"/>
          </a:endParaRPr>
        </a:p>
        <a:p>
          <a:pPr algn="ctr" rtl="0">
            <a:defRPr sz="1000"/>
          </a:pPr>
          <a:r>
            <a:rPr lang="en-US" sz="900" b="0" i="1" strike="noStrike">
              <a:solidFill>
                <a:srgbClr val="000000"/>
              </a:solidFill>
              <a:latin typeface="Arial"/>
              <a:cs typeface="Arial"/>
            </a:rPr>
            <a:t>Total must equal 11G/11P/11F/905.  </a:t>
          </a:r>
          <a:r>
            <a:rPr lang="en-US" sz="900" b="1" i="1" strike="noStrike">
              <a:solidFill>
                <a:srgbClr val="000000"/>
              </a:solidFill>
              <a:latin typeface="Arial"/>
              <a:cs typeface="Arial"/>
            </a:rPr>
            <a:t>Exception for Universities:  </a:t>
          </a:r>
          <a:r>
            <a:rPr lang="en-US" sz="900" b="0" i="1" strike="noStrike">
              <a:solidFill>
                <a:srgbClr val="000000"/>
              </a:solidFill>
              <a:latin typeface="Arial"/>
              <a:cs typeface="Arial"/>
            </a:rPr>
            <a:t>Any difference must be equal to GASB 39 foundation investments and/or</a:t>
          </a:r>
          <a:r>
            <a:rPr lang="en-US" sz="900" b="0" i="1" strike="noStrike" baseline="0">
              <a:solidFill>
                <a:srgbClr val="000000"/>
              </a:solidFill>
              <a:latin typeface="Arial"/>
              <a:cs typeface="Arial"/>
            </a:rPr>
            <a:t> external investment pools</a:t>
          </a:r>
          <a:r>
            <a:rPr lang="en-US" sz="900" b="0" i="1" strike="noStrike">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66675</xdr:colOff>
      <xdr:row>42</xdr:row>
      <xdr:rowOff>11430</xdr:rowOff>
    </xdr:from>
    <xdr:to>
      <xdr:col>15</xdr:col>
      <xdr:colOff>66675</xdr:colOff>
      <xdr:row>47</xdr:row>
      <xdr:rowOff>133350</xdr:rowOff>
    </xdr:to>
    <xdr:sp macro="" textlink="">
      <xdr:nvSpPr>
        <xdr:cNvPr id="31745" name="Text 2">
          <a:extLst>
            <a:ext uri="{FF2B5EF4-FFF2-40B4-BE49-F238E27FC236}">
              <a16:creationId xmlns:a16="http://schemas.microsoft.com/office/drawing/2014/main" id="{00000000-0008-0000-3E00-0000017C0000}"/>
            </a:ext>
          </a:extLst>
        </xdr:cNvPr>
        <xdr:cNvSpPr>
          <a:spLocks noChangeArrowheads="1"/>
        </xdr:cNvSpPr>
      </xdr:nvSpPr>
      <xdr:spPr bwMode="auto">
        <a:xfrm>
          <a:off x="5057775" y="5915025"/>
          <a:ext cx="2076450" cy="5429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Note:  </a:t>
          </a:r>
          <a:r>
            <a:rPr lang="en-US" sz="800" b="0" i="0" strike="noStrike">
              <a:solidFill>
                <a:srgbClr val="000000"/>
              </a:solidFill>
              <a:latin typeface="Arial"/>
              <a:cs typeface="Arial"/>
            </a:rPr>
            <a:t>For investments subject to interest rate risk, the sum of columns </a:t>
          </a:r>
          <a:r>
            <a:rPr lang="en-US" sz="800" b="1" i="0" strike="noStrike">
              <a:solidFill>
                <a:srgbClr val="000000"/>
              </a:solidFill>
              <a:latin typeface="Arial"/>
              <a:cs typeface="Arial"/>
            </a:rPr>
            <a:t>(B)</a:t>
          </a:r>
          <a:r>
            <a:rPr lang="en-US" sz="800" b="0" i="0" strike="noStrike">
              <a:solidFill>
                <a:srgbClr val="000000"/>
              </a:solidFill>
              <a:latin typeface="Arial"/>
              <a:cs typeface="Arial"/>
            </a:rPr>
            <a:t>, </a:t>
          </a:r>
          <a:r>
            <a:rPr lang="en-US" sz="800" b="1" i="0" strike="noStrike">
              <a:solidFill>
                <a:srgbClr val="000000"/>
              </a:solidFill>
              <a:latin typeface="Arial"/>
              <a:cs typeface="Arial"/>
            </a:rPr>
            <a:t>(C)</a:t>
          </a:r>
          <a:r>
            <a:rPr lang="en-US" sz="800" b="0" i="0" strike="noStrike">
              <a:solidFill>
                <a:srgbClr val="000000"/>
              </a:solidFill>
              <a:latin typeface="Arial"/>
              <a:cs typeface="Arial"/>
            </a:rPr>
            <a:t> </a:t>
          </a:r>
          <a:r>
            <a:rPr lang="en-US" sz="800" b="1" i="0" strike="noStrike">
              <a:solidFill>
                <a:srgbClr val="000000"/>
              </a:solidFill>
              <a:latin typeface="Arial"/>
              <a:cs typeface="Arial"/>
            </a:rPr>
            <a:t>(D), and (E) </a:t>
          </a:r>
          <a:r>
            <a:rPr lang="en-US" sz="800" b="0" i="0" strike="noStrike">
              <a:solidFill>
                <a:srgbClr val="000000"/>
              </a:solidFill>
              <a:latin typeface="Arial"/>
              <a:cs typeface="Arial"/>
            </a:rPr>
            <a:t>must equal column </a:t>
          </a:r>
          <a:r>
            <a:rPr lang="en-US" sz="800" b="1" i="0" strike="noStrike">
              <a:solidFill>
                <a:srgbClr val="000000"/>
              </a:solidFill>
              <a:latin typeface="Arial"/>
              <a:cs typeface="Arial"/>
            </a:rPr>
            <a:t>(A)</a:t>
          </a:r>
          <a:r>
            <a:rPr lang="en-US" sz="800" b="0" i="0" strike="noStrike">
              <a:solidFill>
                <a:srgbClr val="000000"/>
              </a:solidFill>
              <a:latin typeface="Arial"/>
              <a:cs typeface="Aria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85725</xdr:colOff>
      <xdr:row>11</xdr:row>
      <xdr:rowOff>57150</xdr:rowOff>
    </xdr:from>
    <xdr:to>
      <xdr:col>11</xdr:col>
      <xdr:colOff>28575</xdr:colOff>
      <xdr:row>15</xdr:row>
      <xdr:rowOff>57150</xdr:rowOff>
    </xdr:to>
    <xdr:sp macro="" textlink="">
      <xdr:nvSpPr>
        <xdr:cNvPr id="2" name="Text 2">
          <a:extLst>
            <a:ext uri="{FF2B5EF4-FFF2-40B4-BE49-F238E27FC236}">
              <a16:creationId xmlns:a16="http://schemas.microsoft.com/office/drawing/2014/main" id="{00000000-0008-0000-4400-000002000000}"/>
            </a:ext>
          </a:extLst>
        </xdr:cNvPr>
        <xdr:cNvSpPr>
          <a:spLocks noChangeArrowheads="1"/>
        </xdr:cNvSpPr>
      </xdr:nvSpPr>
      <xdr:spPr bwMode="auto">
        <a:xfrm>
          <a:off x="1762125" y="1876425"/>
          <a:ext cx="1666875" cy="4667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Note:  </a:t>
          </a:r>
          <a:r>
            <a:rPr lang="en-US" sz="800" b="0" i="0" strike="noStrike">
              <a:solidFill>
                <a:srgbClr val="000000"/>
              </a:solidFill>
              <a:latin typeface="Arial"/>
              <a:cs typeface="Arial"/>
            </a:rPr>
            <a:t>The sum of columns </a:t>
          </a:r>
          <a:r>
            <a:rPr lang="en-US" sz="800" b="1" i="0" strike="noStrike">
              <a:solidFill>
                <a:srgbClr val="000000"/>
              </a:solidFill>
              <a:latin typeface="Arial"/>
              <a:cs typeface="Arial"/>
            </a:rPr>
            <a:t>(B)</a:t>
          </a:r>
          <a:r>
            <a:rPr lang="en-US" sz="800" b="0" i="0" strike="noStrike">
              <a:solidFill>
                <a:srgbClr val="000000"/>
              </a:solidFill>
              <a:latin typeface="Arial"/>
              <a:cs typeface="Arial"/>
            </a:rPr>
            <a:t>, </a:t>
          </a:r>
          <a:r>
            <a:rPr lang="en-US" sz="800" b="1" i="0" strike="noStrike">
              <a:solidFill>
                <a:srgbClr val="000000"/>
              </a:solidFill>
              <a:latin typeface="Arial"/>
              <a:cs typeface="Arial"/>
            </a:rPr>
            <a:t>(C), (D)</a:t>
          </a:r>
          <a:r>
            <a:rPr lang="en-US" sz="800" b="0" i="0" strike="noStrike">
              <a:solidFill>
                <a:srgbClr val="000000"/>
              </a:solidFill>
              <a:latin typeface="Arial"/>
              <a:cs typeface="Arial"/>
            </a:rPr>
            <a:t>,</a:t>
          </a:r>
          <a:r>
            <a:rPr lang="en-US" sz="800" b="0" i="0" strike="noStrike" baseline="0">
              <a:solidFill>
                <a:srgbClr val="000000"/>
              </a:solidFill>
              <a:latin typeface="Arial"/>
              <a:cs typeface="Arial"/>
            </a:rPr>
            <a:t> and </a:t>
          </a:r>
          <a:r>
            <a:rPr lang="en-US" sz="800" b="1" i="0" strike="noStrike" baseline="0">
              <a:solidFill>
                <a:srgbClr val="000000"/>
              </a:solidFill>
              <a:latin typeface="Arial"/>
              <a:cs typeface="Arial"/>
            </a:rPr>
            <a:t>(E)</a:t>
          </a:r>
          <a:r>
            <a:rPr lang="en-US" sz="800" b="0" i="0" strike="noStrike" baseline="0">
              <a:solidFill>
                <a:srgbClr val="000000"/>
              </a:solidFill>
              <a:latin typeface="Arial"/>
              <a:cs typeface="Arial"/>
            </a:rPr>
            <a:t> </a:t>
          </a:r>
          <a:r>
            <a:rPr lang="en-US" sz="800" b="0" i="0" strike="noStrike">
              <a:solidFill>
                <a:srgbClr val="000000"/>
              </a:solidFill>
              <a:latin typeface="Arial"/>
              <a:cs typeface="Arial"/>
            </a:rPr>
            <a:t>must equal column </a:t>
          </a:r>
          <a:r>
            <a:rPr lang="en-US" sz="800" b="1" i="0" strike="noStrike">
              <a:solidFill>
                <a:srgbClr val="000000"/>
              </a:solidFill>
              <a:latin typeface="Arial"/>
              <a:cs typeface="Arial"/>
            </a:rPr>
            <a:t>(A)</a:t>
          </a:r>
          <a:r>
            <a:rPr lang="en-US" sz="800" b="0" i="0" strike="noStrike">
              <a:solidFill>
                <a:srgbClr val="000000"/>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onga/Desktop/Consolidation%20-%20NC/Macro/All%20Execution/Agency/13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
      <sheetName val="Pkg Updates"/>
      <sheetName val="Index"/>
      <sheetName val="101"/>
      <sheetName val="105"/>
      <sheetName val="110"/>
      <sheetName val="120"/>
      <sheetName val="201 (2702)"/>
      <sheetName val="201 (2706)"/>
      <sheetName val="201 (2714)"/>
      <sheetName val="201 (2723)"/>
      <sheetName val="202"/>
      <sheetName val="203"/>
      <sheetName val="204"/>
      <sheetName val="210 (2702)"/>
      <sheetName val="210 (2706)"/>
      <sheetName val="210 (2714)"/>
      <sheetName val="210 (2723)"/>
      <sheetName val="215"/>
      <sheetName val="220"/>
      <sheetName val="301"/>
      <sheetName val="305"/>
      <sheetName val="310 (2702)"/>
      <sheetName val="310 (2706)"/>
      <sheetName val="310 (2714)"/>
      <sheetName val="310 (2723)"/>
      <sheetName val="310 (2728)"/>
      <sheetName val="315"/>
      <sheetName val="320"/>
      <sheetName val="322"/>
      <sheetName val="325"/>
      <sheetName val="330"/>
      <sheetName val="338"/>
      <sheetName val="340"/>
      <sheetName val="341"/>
      <sheetName val="342"/>
      <sheetName val="345"/>
      <sheetName val="350"/>
      <sheetName val="355"/>
      <sheetName val="365"/>
      <sheetName val="370"/>
      <sheetName val="401"/>
      <sheetName val="405"/>
      <sheetName val="410"/>
      <sheetName val="415"/>
      <sheetName val="420"/>
      <sheetName val="425"/>
      <sheetName val="430G"/>
      <sheetName val="430BTA (2723)"/>
      <sheetName val="431G"/>
      <sheetName val="430BTA (2728)"/>
      <sheetName val="431G "/>
      <sheetName val="431BTA (2723)"/>
      <sheetName val="431BTA (2728)"/>
      <sheetName val="501"/>
      <sheetName val="505"/>
      <sheetName val="510"/>
      <sheetName val="515"/>
      <sheetName val="520"/>
      <sheetName val="525"/>
      <sheetName val="530"/>
      <sheetName val="535"/>
      <sheetName val="540"/>
      <sheetName val="545"/>
      <sheetName val="550 (1100)"/>
      <sheetName val="550 (1200)"/>
      <sheetName val="550 (1400)"/>
      <sheetName val="550 (1426)"/>
      <sheetName val="550 (2714)"/>
      <sheetName val="555 (1100)"/>
      <sheetName val="555 (2714)"/>
      <sheetName val="560"/>
      <sheetName val="565"/>
      <sheetName val="570"/>
      <sheetName val="605"/>
      <sheetName val="610"/>
      <sheetName val="615"/>
      <sheetName val="616"/>
      <sheetName val="620"/>
      <sheetName val="625"/>
      <sheetName val="635"/>
      <sheetName val="640"/>
      <sheetName val="705"/>
      <sheetName val="710"/>
      <sheetName val="715"/>
      <sheetName val="720"/>
      <sheetName val="725"/>
      <sheetName val="730"/>
      <sheetName val="735"/>
      <sheetName val="740"/>
      <sheetName val="745"/>
      <sheetName val="755"/>
      <sheetName val="756"/>
      <sheetName val="760"/>
      <sheetName val="765"/>
      <sheetName val="905"/>
      <sheetName val="For 905-NCAS Acct Roll-up"/>
      <sheetName val="905Hosp"/>
      <sheetName val="906-6B"/>
      <sheetName val="906-6C"/>
      <sheetName val="906-6BC"/>
      <sheetName val="907"/>
      <sheetName val="910"/>
      <sheetName val="910Hosp"/>
      <sheetName val="911-6B"/>
      <sheetName val="911-6C"/>
      <sheetName val="Explanations"/>
      <sheetName val="Comments"/>
      <sheetName val="Agencies"/>
      <sheetName val="Functional"/>
      <sheetName val="NetPosition"/>
      <sheetName val="PriorYr905"/>
      <sheetName val="PriorYr906"/>
      <sheetName val="Data"/>
      <sheetName val="All Agencies"/>
      <sheetName val="OSC Analysts"/>
      <sheetName val="Errors"/>
      <sheetName val="Notes"/>
    </sheetNames>
    <sheetDataSet>
      <sheetData sheetId="0" refreshError="1"/>
      <sheetData sheetId="1" refreshError="1"/>
      <sheetData sheetId="2" refreshError="1">
        <row r="54">
          <cell r="B54"/>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persons/person.xml><?xml version="1.0" encoding="utf-8"?>
<personList xmlns="http://schemas.microsoft.com/office/spreadsheetml/2018/threadedcomments" xmlns:x="http://schemas.openxmlformats.org/spreadsheetml/2006/main">
  <person displayName="Kidking, Patcha" id="{26F94831-2B19-4799-854E-3C9F55ACA907}" userId="Kidking, Patcha" providerId="None"/>
  <person displayName="Jani, Shivani R" id="{740380A9-CF4E-4B87-8031-BF1D1DE7B644}" userId="S::Shivani.Jani@osc.nc.gov::8bd54d9f-5548-45b6-ba73-81064f073bb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1" dT="2023-03-17T16:49:35.87" personId="{26F94831-2B19-4799-854E-3C9F55ACA907}" id="{6E589C20-8CC6-48E5-9761-4F45E006DB12}">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B50" dT="2023-03-17T17:00:05.95" personId="{26F94831-2B19-4799-854E-3C9F55ACA907}" id="{F9708C46-9873-4941-B230-59E081783605}">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https://www.osc.nc.gov/state-agency-resources/chart-of-accounts?field_site_page_terms_target_id_1=2119&amp;combine=</text>
    <extLst>
      <x:ext xmlns:xltc2="http://schemas.microsoft.com/office/spreadsheetml/2020/threadedcomments2" uri="{F7C98A9C-CBB3-438F-8F68-D28B6AF4A901}">
        <xltc2:checksum>377163041</xltc2:checksum>
        <xltc2:hyperlink startIndex="381" length="111" url="https://www.osc.nc.gov/state-agency-resources/chart-of-accounts?field_site_page_terms_target_id_1=2119&amp;combine="/>
      </x:ext>
    </extLst>
  </threadedComment>
  <threadedComment ref="B81" dT="2023-03-06T21:30:23.92" personId="{26F94831-2B19-4799-854E-3C9F55ACA907}" id="{58892122-B2EB-45B2-B33D-B968846C629F}">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82" dT="2023-03-06T21:36:53.27" personId="{26F94831-2B19-4799-854E-3C9F55ACA907}" id="{FDFB080B-7697-4EE2-AC35-246E5D5BC83F}">
    <text xml:space="preserve">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5" dT="2023-03-06T21:41:06.49" personId="{26F94831-2B19-4799-854E-3C9F55ACA907}" id="{E516E17E-FF41-4685-A8CE-FF4788FBCBD0}">
    <text xml:space="preserve">This account represents the current portion of subscription-based IT arrangements obligations due within the current year or within one year of the reporting date.  This account is not for use by governmental funds. </text>
  </threadedComment>
  <threadedComment ref="K150" dT="2023-03-17T20:07:10.14" personId="{26F94831-2B19-4799-854E-3C9F55ACA907}" id="{F236B703-065B-44F7-9B54-0E6382764ABB}">
    <text>from lease payable to lease liability</text>
  </threadedComment>
  <threadedComment ref="B151" dT="2023-03-06T21:41:29.66" personId="{26F94831-2B19-4799-854E-3C9F55ACA907}" id="{21F9FA95-98E5-4723-8F27-74809263C196}">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169" dT="2023-03-17T18:32:08.17" personId="{26F94831-2B19-4799-854E-3C9F55ACA907}" id="{8C0E3826-3596-4385-8E32-7756BE9D2DDA}">
    <text>* For FY13, new NCAS acct 229202 added for implementation of GASB60 Service Concession Arrangements.
* For FY23, new title changed from Service Concession Arrangement (SCA) revenue applicable to future years to Deferred inflows for PPP Arrangements per GASB94.</text>
  </threadedComment>
  <threadedComment ref="B233" dT="2020-05-20T19:11:00.42" personId="{740380A9-CF4E-4B87-8031-BF1D1DE7B644}" id="{A615783C-1191-4045-98F6-5DA93EB3548F}">
    <text>This account maps to NCAS Account 432905. This account should only be used for entities receiving coronavirus relief funds or American Rescue Plan State Fiscal Recovery Funds DIRECTLY from OSBM. Coronavirus relief funds or ARP State Fiscal Recovery Funds received from the UNC System Office should be reported in University Transfers Account 438700, and Worksheet 565 should be filled out.</text>
  </threadedComment>
  <threadedComment ref="B235" dT="2020-05-18T15:55:48.96" personId="{740380A9-CF4E-4B87-8031-BF1D1DE7B644}" id="{E88BAAE7-59B6-49B2-BFA5-5FE8C4DBA888}">
    <text>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ext>
  </threadedComment>
  <threadedComment ref="B237" dT="2021-05-25T21:18:39.96" personId="{740380A9-CF4E-4B87-8031-BF1D1DE7B644}" id="{0665821F-2F78-4D93-BB0F-0CF65F131A8B}">
    <text>This is a new account caption on the 905 and in NCAS for FY2021. Amounts in this caption should reflect the proportionate share of the State Health Plan's contribution to the Retiree Health Benefit Fund (RHBF) for employer participants. This caption maps to NCAS Account 436207.</text>
  </threadedComment>
  <threadedComment ref="B238" dT="2023-03-06T22:09:47.01" personId="{26F94831-2B19-4799-854E-3C9F55ACA907}" id="{C9B88260-7184-4C17-BD71-E4AA1246D0AC}">
    <text>This includes new account - 535327 SBITA INTEREST PAYMENTS.</text>
  </threadedComment>
</ThreadedComments>
</file>

<file path=xl/threadedComments/threadedComment2.xml><?xml version="1.0" encoding="utf-8"?>
<ThreadedComments xmlns="http://schemas.microsoft.com/office/spreadsheetml/2018/threadedcomments" xmlns:x="http://schemas.openxmlformats.org/spreadsheetml/2006/main">
  <threadedComment ref="A162" dT="2023-03-17T18:27:23.46" personId="{26F94831-2B19-4799-854E-3C9F55ACA907}" id="{5E0EC07F-2FD0-42BD-8F67-AD975E4240E6}">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A282" dT="2023-03-17T18:27:23.46" personId="{26F94831-2B19-4799-854E-3C9F55ACA907}" id="{B83E7636-C6AD-4B09-A2E8-7267B7FA5B91}">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C688" dT="2023-04-21T14:50:27.25" personId="{26F94831-2B19-4799-854E-3C9F55ACA907}" id="{7C6CE1D7-3D60-4313-897C-9BE7C8BC3C3F}">
    <text xml:space="preserve">Added in FY2023.
No balance in the past. </text>
  </threadedComment>
  <threadedComment ref="A711" dT="2023-03-17T17:25:41.74" personId="{26F94831-2B19-4799-854E-3C9F55ACA907}" id="{65E3A937-0C3C-4804-BC4D-57980FA99690}">
    <text>Title change from "SCA REV APPLIC FUTURE YRS" tp "Deferred Inflows for PPP Arrangements".</text>
  </threadedComment>
</ThreadedComments>
</file>

<file path=xl/threadedComments/threadedComment3.xml><?xml version="1.0" encoding="utf-8"?>
<ThreadedComments xmlns="http://schemas.microsoft.com/office/spreadsheetml/2018/threadedcomments" xmlns:x="http://schemas.openxmlformats.org/spreadsheetml/2006/main">
  <threadedComment ref="B32" dT="2023-03-17T19:26:14.17" personId="{26F94831-2B19-4799-854E-3C9F55ACA907}" id="{E05F9015-BBA7-4F41-B3C6-BFC0CCC75953}">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1" dT="2023-03-17T19:25:32.52" personId="{26F94831-2B19-4799-854E-3C9F55ACA907}" id="{3C06B7EF-E58B-4228-9127-17537D60B5D2}">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2" dT="2023-03-06T21:30:23.92" personId="{26F94831-2B19-4799-854E-3C9F55ACA907}" id="{FECDB75A-DE6D-4152-89F7-E5E48BD40ED0}">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83" dT="2023-03-06T21:36:53.27" personId="{26F94831-2B19-4799-854E-3C9F55ACA907}" id="{54D3CDC2-C2C8-4E6B-8846-5F0F63B706B3}">
    <text xml:space="preserve">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6" dT="2023-03-06T21:42:56.84" personId="{26F94831-2B19-4799-854E-3C9F55ACA907}" id="{1AD230D2-1978-4F76-8203-C86148E0DE78}">
    <text xml:space="preserve">This account represents the current portion of subscription-based IT arrangements obligations due within the current year or within one year of the reporting date.  This account is not for use by governmental funds. 
</text>
  </threadedComment>
  <threadedComment ref="B152" dT="2023-03-06T21:41:29.66" personId="{26F94831-2B19-4799-854E-3C9F55ACA907}" id="{47ECF78E-7D66-434D-917F-F9752AA0C418}">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170" dT="2023-03-17T19:33:35.24" personId="{26F94831-2B19-4799-854E-3C9F55ACA907}" id="{76EA8710-07A3-480D-B4C3-12002537D5C0}">
    <text xml:space="preserve">* For FY13, new NCAS acct 229202 added for implementation of GASB60 Service Concession Arrangements.
* For FY23, new title changed from Service Concession Arrangement (SCA) revenue applicable to future years to Deferred inflows for PPP Arrangements per GASB94.
</text>
  </threadedComment>
  <threadedComment ref="B235" dT="2021-05-25T21:18:39.96" personId="{740380A9-CF4E-4B87-8031-BF1D1DE7B644}" id="{C46C3533-8015-459F-8AF8-C93EA45BF696}">
    <text>This is a new account caption on the 905 and in NCAS for FY2021. Amounts in this caption should reflect the proportionate share of the State Health Plan's contribution to the Retiree Health Benefit Fund (RHBF) for employer participants. This caption maps to NCAS Account 436207.</text>
  </threadedComment>
  <threadedComment ref="B236" dT="2023-03-06T22:09:47.01" personId="{26F94831-2B19-4799-854E-3C9F55ACA907}" id="{0CEA98A3-49A5-493C-A194-BF74532B95A1}">
    <text>This includes new account - 535327 SBITA INTEREST PAYMENTS.</text>
  </threadedComment>
</ThreadedComments>
</file>

<file path=xl/threadedComments/threadedComment4.xml><?xml version="1.0" encoding="utf-8"?>
<ThreadedComments xmlns="http://schemas.microsoft.com/office/spreadsheetml/2018/threadedcomments" xmlns:x="http://schemas.openxmlformats.org/spreadsheetml/2006/main">
  <threadedComment ref="B31" dT="2023-03-17T19:26:14.17" personId="{26F94831-2B19-4799-854E-3C9F55ACA907}" id="{7514A894-4CD8-4D7A-9BA0-ED5B859E3356}">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0" dT="2023-03-17T19:25:32.52" personId="{26F94831-2B19-4799-854E-3C9F55ACA907}" id="{8F06C560-DC65-4C5A-8FA6-DF394E5B7654}">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1" dT="2023-03-06T21:30:23.92" personId="{26F94831-2B19-4799-854E-3C9F55ACA907}" id="{F82ED83D-5764-49EC-AD01-49AFC12A5668}">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82" dT="2023-03-06T21:36:53.27" personId="{26F94831-2B19-4799-854E-3C9F55ACA907}" id="{31599161-0926-40D4-BB96-00906B62F720}">
    <text xml:space="preserve">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5" dT="2023-03-06T21:41:06.49" personId="{26F94831-2B19-4799-854E-3C9F55ACA907}" id="{6F1EFC1A-AB55-4899-A7BC-969273916635}">
    <text xml:space="preserve">This account represents the current portion of subscription-based IT arrangements obligations due within the current year or within one year of the reporting date.  This account is not for use by governmental funds. </text>
  </threadedComment>
  <threadedComment ref="B151" dT="2023-03-06T21:41:29.66" personId="{26F94831-2B19-4799-854E-3C9F55ACA907}" id="{DDD2FC2B-3215-47D8-8309-03C9BAAB1F21}">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s>
</file>

<file path=xl/threadedComments/threadedComment5.xml><?xml version="1.0" encoding="utf-8"?>
<ThreadedComments xmlns="http://schemas.microsoft.com/office/spreadsheetml/2018/threadedcomments" xmlns:x="http://schemas.openxmlformats.org/spreadsheetml/2006/main">
  <threadedComment ref="B31" dT="2023-03-17T19:26:14.17" personId="{26F94831-2B19-4799-854E-3C9F55ACA907}" id="{AF03DD84-5C48-42A2-BF0C-EB83C528DD40}">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0" dT="2023-03-17T19:25:32.52" personId="{26F94831-2B19-4799-854E-3C9F55ACA907}" id="{D7347BB3-7F16-4E1A-BEA7-C337F52A41DB}">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1" dT="2023-03-06T21:30:23.92" personId="{26F94831-2B19-4799-854E-3C9F55ACA907}" id="{6FC81978-19F2-403E-836D-2A680FDA91A8}">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82" dT="2023-03-06T21:36:53.27" personId="{26F94831-2B19-4799-854E-3C9F55ACA907}" id="{323C80D0-7191-47C9-9F47-846FB5958274}">
    <text xml:space="preserve">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5" dT="2023-03-06T21:41:06.49" personId="{26F94831-2B19-4799-854E-3C9F55ACA907}" id="{97DF9D76-21E1-4B1C-B80D-086DB28A1EC1}">
    <text xml:space="preserve">This account represents the current portion of subscription-based IT arrangements obligations due within the current year or within one year of the reporting date.  This account is not for use by governmental funds. </text>
  </threadedComment>
  <threadedComment ref="B151" dT="2023-03-06T21:41:29.66" personId="{26F94831-2B19-4799-854E-3C9F55ACA907}" id="{DF8AB67B-DD53-4A87-ABB5-FF017C5B5A7C}">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s>
</file>

<file path=xl/threadedComments/threadedComment6.xml><?xml version="1.0" encoding="utf-8"?>
<ThreadedComments xmlns="http://schemas.microsoft.com/office/spreadsheetml/2018/threadedcomments" xmlns:x="http://schemas.openxmlformats.org/spreadsheetml/2006/main">
  <threadedComment ref="E24" dT="2023-03-08T15:08:08.98" personId="{26F94831-2B19-4799-854E-3C9F55ACA907}" id="{EAF21DE6-4E81-4780-BAEC-2C761BB0C3F0}">
    <text>OK = include elimination which agrees to ACFR.</text>
  </threadedComment>
  <threadedComment ref="E28" dT="2023-03-08T20:53:15.38" personId="{26F94831-2B19-4799-854E-3C9F55ACA907}" id="{D5DA6438-2B0E-4463-A051-3768B1FD8526}">
    <text>OK = include elimination which agrees to ACFR.</text>
  </threadedComment>
  <threadedComment ref="B31" dT="2023-03-17T19:26:14.17" personId="{26F94831-2B19-4799-854E-3C9F55ACA907}" id="{E58DD37E-AD40-4BF8-995A-7EBD6AE424B7}">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0" dT="2023-03-17T19:25:32.52" personId="{26F94831-2B19-4799-854E-3C9F55ACA907}" id="{1C9377B3-D622-475B-AE5F-BAE7CA10D5F9}">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1" dT="2023-03-06T22:15:19.86" personId="{26F94831-2B19-4799-854E-3C9F55ACA907}" id="{15DB090E-03B4-4E6E-BBE7-E54B6C9447E5}">
    <text xml:space="preserve">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82" dT="2023-03-06T22:15:38.70" personId="{26F94831-2B19-4799-854E-3C9F55ACA907}" id="{30940F18-169A-47EB-9466-D86DD20CA2C3}">
    <text xml:space="preserve">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E88" dT="2023-03-08T21:01:14.66" personId="{26F94831-2B19-4799-854E-3C9F55ACA907}" id="{3B1FCA26-9BDD-4D6E-B129-D81698FDBEF8}">
    <text>OK=include elimination</text>
  </threadedComment>
  <threadedComment ref="E114" dT="2023-03-08T21:27:59.43" personId="{26F94831-2B19-4799-854E-3C9F55ACA907}" id="{65EEFA2B-8606-4766-925D-88B655915820}">
    <text>Include elimination of 319,786,379.77</text>
  </threadedComment>
  <threadedComment ref="E117" dT="2023-03-08T21:35:10.44" personId="{26F94831-2B19-4799-854E-3C9F55ACA907}" id="{10CAD8C4-BAB7-4268-87DF-762FC8C59137}">
    <text>Include elimination 191,414,382</text>
  </threadedComment>
  <threadedComment ref="B125" dT="2023-03-06T22:16:12.64" personId="{26F94831-2B19-4799-854E-3C9F55ACA907}" id="{0FD3E7F6-FAAA-4F86-AC85-BC415972F832}">
    <text xml:space="preserve">This account represents the current portion of subscription-based IT arrangements obligations due within the current year or within one year of the reporting date.  This account is not for use by governmental funds. </text>
  </threadedComment>
  <threadedComment ref="B150" dT="2023-04-26T16:43:40.56" personId="{26F94831-2B19-4799-854E-3C9F55ACA907}" id="{D2C60135-9E96-4A98-B0D6-D6C4EC0AF4F7}">
    <text>Caption changed from lease payable to lease liability</text>
  </threadedComment>
  <threadedComment ref="B151" dT="2023-03-06T22:31:13.98" personId="{26F94831-2B19-4799-854E-3C9F55ACA907}" id="{AC6ADA98-FCDA-49FE-B18B-4FB0272BCCE8}">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F192" dT="2023-04-06T21:35:31.03" personId="{26F94831-2B19-4799-854E-3C9F55ACA907}" id="{3CC8925D-A6B8-415A-9676-0CD364EB4271}">
    <text>Total net position doesn't agree to the audit report ($1,248,556,212). The difference is $3,320,807.83.</text>
  </threadedComment>
  <threadedComment ref="E198" dT="2023-03-08T21:51:44.50" personId="{26F94831-2B19-4799-854E-3C9F55ACA907}" id="{47E47F54-BEA4-4449-9D0E-6FF251CCA006}">
    <text>Include elimination</text>
  </threadedComment>
  <threadedComment ref="E207" dT="2023-04-26T15:50:04.04" personId="{26F94831-2B19-4799-854E-3C9F55ACA907}" id="{1132E5CC-1F60-4F94-B289-BD1F8D96E971}">
    <text>Include elimination</text>
  </threadedComment>
  <threadedComment ref="E208" dT="2023-04-26T15:50:11.90" personId="{26F94831-2B19-4799-854E-3C9F55ACA907}" id="{0B4E3B33-2040-4B9F-8676-D74AFABE8890}">
    <text>Include elimination</text>
  </threadedComment>
  <threadedComment ref="E213" dT="2023-04-26T15:50:42.25" personId="{26F94831-2B19-4799-854E-3C9F55ACA907}" id="{F7AB8CC1-5ED3-4AD9-A34C-2546695B548C}">
    <text>Include elimination</text>
  </threadedComment>
  <threadedComment ref="E214" dT="2023-04-26T15:50:45.86" personId="{26F94831-2B19-4799-854E-3C9F55ACA907}" id="{661EBCBB-3A63-4155-B97A-73EF7CC8F7BC}">
    <text>Include elimination</text>
  </threadedComment>
  <threadedComment ref="E216" dT="2023-03-08T22:23:22.71" personId="{26F94831-2B19-4799-854E-3C9F55ACA907}" id="{4F9F59D4-6B70-45B3-A5C1-D13870A0989A}">
    <text>Include elimination</text>
  </threadedComment>
  <threadedComment ref="S230" dT="2023-03-08T16:21:56.02" personId="{26F94831-2B19-4799-854E-3C9F55ACA907}" id="{540F39D2-9F2B-4DE9-A623-BB5A88D09FC2}">
    <text>Reclass to 2710 noncapital gift</text>
  </threadedComment>
  <threadedComment ref="Q231" dT="2023-03-08T15:41:23.32" personId="{26F94831-2B19-4799-854E-3C9F55ACA907}" id="{394496DC-4359-42C0-BB0E-91D3A18B7416}">
    <text>COVID-19 aid</text>
  </threadedComment>
  <threadedComment ref="S231" dT="2023-03-08T16:22:10.02" personId="{26F94831-2B19-4799-854E-3C9F55ACA907}" id="{C862E26E-7668-48E7-BDB4-6657CB3A4366}">
    <text>4,926,923.88+13000</text>
  </threadedComment>
  <threadedComment ref="AA231" dT="2023-03-08T15:58:54.02" personId="{26F94831-2B19-4799-854E-3C9F55ACA907}" id="{81CBAEBF-7EFE-4C92-9D66-61C745D37E63}">
    <text>COVID 19 aid from 2692 State aid-program</text>
  </threadedComment>
  <threadedComment ref="AC231" dT="2023-03-08T16:00:11.37" personId="{26F94831-2B19-4799-854E-3C9F55ACA907}" id="{10B298EE-0956-4A10-B26F-B52AC3E69CB5}">
    <text>Reclass from 2700 Noncapital grant revenue</text>
  </threadedComment>
  <threadedComment ref="AC232" dT="2023-03-08T16:01:57.60" personId="{26F94831-2B19-4799-854E-3C9F55ACA907}" id="{DCA708AC-67DE-4D18-AD51-4EFCFD9F5A90}">
    <text>33,139,614.39-1,107,928 (COVID) = 32,031,686.39</text>
  </threadedComment>
  <threadedComment ref="E237" dT="2023-04-26T16:05:55.53" personId="{26F94831-2B19-4799-854E-3C9F55ACA907}" id="{75191FE4-E6A5-477D-940C-A72A67B48801}">
    <text xml:space="preserve">Ok = sum agrees.
</text>
  </threadedComment>
  <threadedComment ref="E238" dT="2023-04-26T16:05:50.28" personId="{26F94831-2B19-4799-854E-3C9F55ACA907}" id="{EB6AEFB6-7A84-4EB6-97E1-477037D04753}">
    <text xml:space="preserve">Ok = sum agrees.
</text>
  </threadedComment>
  <threadedComment ref="E240" dT="2023-04-26T16:05:17.40" personId="{26F94831-2B19-4799-854E-3C9F55ACA907}" id="{0B5CFE4C-9D31-4445-9E7B-BBAFCBBF870F}">
    <text>Ok = sum agrees.</text>
  </threadedComment>
  <threadedComment ref="E245" dT="2023-04-26T15:50:59.46" personId="{26F94831-2B19-4799-854E-3C9F55ACA907}" id="{3BA472B1-F593-441B-AAA8-075ADEF52C64}">
    <text>Include elimination</text>
  </threadedComment>
  <threadedComment ref="E246" dT="2023-04-26T15:51:05.30" personId="{26F94831-2B19-4799-854E-3C9F55ACA907}" id="{30A69176-57D6-4503-82B0-54A4BD09FB8B}">
    <text>Include elimination</text>
  </threadedComment>
  <threadedComment ref="Q249" dT="2023-03-08T15:43:08.65" personId="{26F94831-2B19-4799-854E-3C9F55ACA907}" id="{2CEDED57-B795-4269-AC76-7AC7A4C92787}">
    <text>41,539,626.80-12,337,585 = 29,202,041.80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hyperlink" Target="https://epm5-a607730.epm.us9.oraclecloud.com/HyperionPlanning/faces/StructureHomeTF/EfsNonFuseNavigator?_adf.ctrl-state=69bzy5h8r_8&amp;_afrLoop=13844347197868236"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osc.nc.gov/media/7165/ope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files.nc.gov/ncosc/documents/GASB_Resources/Financial_Reporting_Updates/gasb_standard_69_revised.pdf" TargetMode="External"/><Relationship Id="rId1" Type="http://schemas.openxmlformats.org/officeDocument/2006/relationships/hyperlink" Target="http://ncosc.s3.amazonaws.com/s3fs-public/documents/GASB_Resources/Financial_Reporting_Updates/gasb_standard_69_revised.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hyperlink" Target="https://files.nc.gov/ncosc/documents/Policies/102.13_Impairment_of_Capital_Assets_Policy.pdf"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xml"/><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2.xml.rels><?xml version="1.0" encoding="UTF-8" standalone="yes"?>
<Relationships xmlns="http://schemas.openxmlformats.org/package/2006/relationships"><Relationship Id="rId3" Type="http://schemas.openxmlformats.org/officeDocument/2006/relationships/hyperlink" Target="http://www.osc.nc.gov/policy/AFR/103.2%20Pollution%20Remediation%20Obligations.pdf" TargetMode="Externa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printerSettings" Target="../printerSettings/printerSettings56.bin"/><Relationship Id="rId4" Type="http://schemas.openxmlformats.org/officeDocument/2006/relationships/hyperlink" Target="https://www.osc.nc.gov/1032-statewide-accounting-policy-pollution-remediation-obligation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osc.nc.gov/state-agency-resources/north-carolina-accounting-system-ncas/statewide-financial-reporting/gasb-resources/gasb-effective-fy-2019"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s://www.osc.nc.gov/state-agency-resources/north-carolina-accounting-system-ncas/statewide-financial-reporting/gasb-resources/effective-fy-2014" TargetMode="External"/><Relationship Id="rId1" Type="http://schemas.openxmlformats.org/officeDocument/2006/relationships/hyperlink" Target="http://ncosc.s3.amazonaws.com/s3fs-public/documents/GASB_Resources/Financial_Reporting_Updates/gasb_standard_70.pdf"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33.xml.rels><?xml version="1.0" encoding="UTF-8" standalone="yes"?>
<Relationships xmlns="http://schemas.openxmlformats.org/package/2006/relationships"><Relationship Id="rId3" Type="http://schemas.openxmlformats.org/officeDocument/2006/relationships/hyperlink" Target="https://www.osc.nc.gov/1014-statewide-accounting-policy-restricted-assets" TargetMode="Externa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printerSettings" Target="../printerSettings/printerSettings9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37.xml.rels><?xml version="1.0" encoding="UTF-8" standalone="yes"?>
<Relationships xmlns="http://schemas.openxmlformats.org/package/2006/relationships"><Relationship Id="rId3" Type="http://schemas.openxmlformats.org/officeDocument/2006/relationships/hyperlink" Target="https://www.osc.nc.gov/1015-statewide-accounting-policy-fund-balance-reporting" TargetMode="External"/><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printerSettings" Target="../printerSettings/printerSettings103.bin"/></Relationships>
</file>

<file path=xl/worksheets/_rels/sheet38.xml.rels><?xml version="1.0" encoding="UTF-8" standalone="yes"?>
<Relationships xmlns="http://schemas.openxmlformats.org/package/2006/relationships"><Relationship Id="rId3" Type="http://schemas.openxmlformats.org/officeDocument/2006/relationships/hyperlink" Target="https://www.osc.nc.gov/1015-statewide-accounting-policy-fund-balance-reporting" TargetMode="External"/><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printerSettings" Target="../printerSettings/printerSettings106.bin"/></Relationships>
</file>

<file path=xl/worksheets/_rels/sheet39.xml.rels><?xml version="1.0" encoding="UTF-8" standalone="yes"?>
<Relationships xmlns="http://schemas.openxmlformats.org/package/2006/relationships"><Relationship Id="rId3" Type="http://schemas.openxmlformats.org/officeDocument/2006/relationships/hyperlink" Target="https://www.osc.nc.gov/1015-statewide-accounting-policy-fund-balance-reporting" TargetMode="External"/><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printerSettings" Target="../printerSettings/printerSettings109.bin"/></Relationships>
</file>

<file path=xl/worksheets/_rels/sheet40.xml.rels><?xml version="1.0" encoding="UTF-8" standalone="yes"?>
<Relationships xmlns="http://schemas.openxmlformats.org/package/2006/relationships"><Relationship Id="rId3" Type="http://schemas.openxmlformats.org/officeDocument/2006/relationships/hyperlink" Target="https://www.osc.nc.gov/1015-statewide-accounting-policy-fund-balance-reporting" TargetMode="External"/><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printerSettings" Target="../printerSettings/printerSettings112.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7.bin"/><Relationship Id="rId5" Type="http://schemas.openxmlformats.org/officeDocument/2006/relationships/hyperlink" Target="https://www.osc.nc.gov/1016-statewide-accounting-policy-net-position" TargetMode="External"/><Relationship Id="rId4" Type="http://schemas.openxmlformats.org/officeDocument/2006/relationships/printerSettings" Target="../printerSettings/printerSettings116.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175.bin"/><Relationship Id="rId1" Type="http://schemas.openxmlformats.org/officeDocument/2006/relationships/hyperlink" Target="https://files.nc.gov/ncosc/documents/year-end/Transfer%20Accounts%20-%20Their%20Purpose%20and%20Proper%20Use.pdf"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176.bin"/><Relationship Id="rId1" Type="http://schemas.openxmlformats.org/officeDocument/2006/relationships/hyperlink" Target="https://files.nc.gov/ncosc/documents/year-end/Transfer%20Accounts%20-%20Their%20Purpose%20and%20Proper%20Use.pdf"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80.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5" Type="http://schemas.openxmlformats.org/officeDocument/2006/relationships/printerSettings" Target="../printerSettings/printerSettings182.bin"/><Relationship Id="rId4" Type="http://schemas.openxmlformats.org/officeDocument/2006/relationships/printerSettings" Target="../printerSettings/printerSettings181.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8.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5" Type="http://schemas.openxmlformats.org/officeDocument/2006/relationships/printerSettings" Target="../printerSettings/printerSettings193.bin"/><Relationship Id="rId4" Type="http://schemas.openxmlformats.org/officeDocument/2006/relationships/printerSettings" Target="../printerSettings/printerSettings192.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196.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5" Type="http://schemas.openxmlformats.org/officeDocument/2006/relationships/printerSettings" Target="../printerSettings/printerSettings198.bin"/><Relationship Id="rId4" Type="http://schemas.openxmlformats.org/officeDocument/2006/relationships/printerSettings" Target="../printerSettings/printerSettings197.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01.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5" Type="http://schemas.openxmlformats.org/officeDocument/2006/relationships/printerSettings" Target="../printerSettings/printerSettings203.bin"/><Relationship Id="rId4" Type="http://schemas.openxmlformats.org/officeDocument/2006/relationships/printerSettings" Target="../printerSettings/printerSettings20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12.bin"/><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drawing" Target="../drawings/drawing4.xml"/><Relationship Id="rId5" Type="http://schemas.openxmlformats.org/officeDocument/2006/relationships/printerSettings" Target="../printerSettings/printerSettings214.bin"/><Relationship Id="rId4" Type="http://schemas.openxmlformats.org/officeDocument/2006/relationships/printerSettings" Target="../printerSettings/printerSettings213.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17.bin"/><Relationship Id="rId7" Type="http://schemas.openxmlformats.org/officeDocument/2006/relationships/comments" Target="../comments4.xml"/><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vmlDrawing" Target="../drawings/vmlDrawing4.vml"/><Relationship Id="rId5" Type="http://schemas.openxmlformats.org/officeDocument/2006/relationships/printerSettings" Target="../printerSettings/printerSettings219.bin"/><Relationship Id="rId4" Type="http://schemas.openxmlformats.org/officeDocument/2006/relationships/printerSettings" Target="../printerSettings/printerSettings218.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hyperlink" Target="https://files.nc.gov/ncosc/documents/GASB_Resources/Financial_Reporting_Updates/GASB_Standard_77.pdf?6Pi9rsrwXSYYkbz3o8QgMsVxNb7046lV=" TargetMode="External"/><Relationship Id="rId1" Type="http://schemas.openxmlformats.org/officeDocument/2006/relationships/hyperlink" Target="http://ncosc.s3.amazonaws.com/s3fs-public/documents/GASB_Resources/Financial_Reporting_Updates/gasb_standard_77.pdf" TargetMode="External"/><Relationship Id="rId4" Type="http://schemas.openxmlformats.org/officeDocument/2006/relationships/drawing" Target="../drawings/drawing5.xml"/></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5" Type="http://schemas.openxmlformats.org/officeDocument/2006/relationships/printerSettings" Target="../printerSettings/printerSettings225.bin"/><Relationship Id="rId4" Type="http://schemas.openxmlformats.org/officeDocument/2006/relationships/printerSettings" Target="../printerSettings/printerSettings224.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28.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drawing" Target="../drawings/drawing6.xml"/><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5" Type="http://schemas.openxmlformats.org/officeDocument/2006/relationships/printerSettings" Target="../printerSettings/printerSettings235.bin"/><Relationship Id="rId4" Type="http://schemas.openxmlformats.org/officeDocument/2006/relationships/printerSettings" Target="../printerSettings/printerSettings234.bin"/></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drawing" Target="../drawings/drawing7.xml"/><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246.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5" Type="http://schemas.openxmlformats.org/officeDocument/2006/relationships/printerSettings" Target="../printerSettings/printerSettings248.bin"/><Relationship Id="rId4" Type="http://schemas.openxmlformats.org/officeDocument/2006/relationships/printerSettings" Target="../printerSettings/printerSettings247.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256.bin"/><Relationship Id="rId2" Type="http://schemas.openxmlformats.org/officeDocument/2006/relationships/printerSettings" Target="../printerSettings/printerSettings255.bin"/><Relationship Id="rId1" Type="http://schemas.openxmlformats.org/officeDocument/2006/relationships/printerSettings" Target="../printerSettings/printerSettings254.bin"/><Relationship Id="rId5" Type="http://schemas.openxmlformats.org/officeDocument/2006/relationships/printerSettings" Target="../printerSettings/printerSettings258.bin"/><Relationship Id="rId4" Type="http://schemas.openxmlformats.org/officeDocument/2006/relationships/printerSettings" Target="../printerSettings/printerSettings257.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261.bin"/><Relationship Id="rId2" Type="http://schemas.openxmlformats.org/officeDocument/2006/relationships/printerSettings" Target="../printerSettings/printerSettings260.bin"/><Relationship Id="rId1" Type="http://schemas.openxmlformats.org/officeDocument/2006/relationships/printerSettings" Target="../printerSettings/printerSettings259.bin"/><Relationship Id="rId5" Type="http://schemas.openxmlformats.org/officeDocument/2006/relationships/printerSettings" Target="../printerSettings/printerSettings263.bin"/><Relationship Id="rId4" Type="http://schemas.openxmlformats.org/officeDocument/2006/relationships/printerSettings" Target="../printerSettings/printerSettings262.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64.bin"/></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269.bin"/><Relationship Id="rId1" Type="http://schemas.openxmlformats.org/officeDocument/2006/relationships/hyperlink" Target="https://www.osc.nc.gov/state-agency-resources/north-carolina-accounting-system-ncas/statewide-financial-reporting/gasb-resources/effective-fy-2016"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272.bin"/><Relationship Id="rId2" Type="http://schemas.openxmlformats.org/officeDocument/2006/relationships/printerSettings" Target="../printerSettings/printerSettings271.bin"/><Relationship Id="rId1" Type="http://schemas.openxmlformats.org/officeDocument/2006/relationships/printerSettings" Target="../printerSettings/printerSettings270.bin"/><Relationship Id="rId6" Type="http://schemas.microsoft.com/office/2017/10/relationships/threadedComment" Target="../threadedComments/threadedComment1.xm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87.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www.osc.nc.gov/sigdocs/sig_docs/sigNCAS_Data_Elements.html" TargetMode="External"/><Relationship Id="rId7" Type="http://schemas.openxmlformats.org/officeDocument/2006/relationships/comments" Target="../comments6.xml"/><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vmlDrawing" Target="../drawings/vmlDrawing7.vml"/><Relationship Id="rId5" Type="http://schemas.openxmlformats.org/officeDocument/2006/relationships/printerSettings" Target="../printerSettings/printerSettings275.bin"/><Relationship Id="rId4" Type="http://schemas.openxmlformats.org/officeDocument/2006/relationships/hyperlink" Target="http://www.osc.nc.gov/sigdocs/sig_docs/sigNCAS_Data_Elements.html" TargetMode="External"/></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278.bin"/><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6" Type="http://schemas.microsoft.com/office/2017/10/relationships/threadedComment" Target="../threadedComments/threadedComment3.xm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281.bin"/><Relationship Id="rId2" Type="http://schemas.openxmlformats.org/officeDocument/2006/relationships/printerSettings" Target="../printerSettings/printerSettings280.bin"/><Relationship Id="rId1" Type="http://schemas.openxmlformats.org/officeDocument/2006/relationships/printerSettings" Target="../printerSettings/printerSettings279.bin"/><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9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8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286.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94.xml.rels><?xml version="1.0" encoding="UTF-8" standalone="yes"?>
<Relationships xmlns="http://schemas.openxmlformats.org/package/2006/relationships"><Relationship Id="rId3" Type="http://schemas.openxmlformats.org/officeDocument/2006/relationships/printerSettings" Target="../printerSettings/printerSettings290.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 Id="rId6" Type="http://schemas.microsoft.com/office/2017/10/relationships/threadedComment" Target="../threadedComments/threadedComment4.xml"/><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9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91.bin"/><Relationship Id="rId4" Type="http://schemas.microsoft.com/office/2017/10/relationships/threadedComment" Target="../threadedComments/threadedComment5.xml"/></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294.bin"/><Relationship Id="rId2" Type="http://schemas.openxmlformats.org/officeDocument/2006/relationships/printerSettings" Target="../printerSettings/printerSettings293.bin"/><Relationship Id="rId1" Type="http://schemas.openxmlformats.org/officeDocument/2006/relationships/printerSettings" Target="../printerSettings/printerSettings292.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298.bin"/><Relationship Id="rId2" Type="http://schemas.openxmlformats.org/officeDocument/2006/relationships/printerSettings" Target="../printerSettings/printerSettings297.bin"/><Relationship Id="rId1" Type="http://schemas.openxmlformats.org/officeDocument/2006/relationships/printerSettings" Target="../printerSettings/printerSettings296.bin"/></Relationships>
</file>

<file path=xl/worksheets/_rels/sheet99.xml.rels><?xml version="1.0" encoding="UTF-8" standalone="yes"?>
<Relationships xmlns="http://schemas.openxmlformats.org/package/2006/relationships"><Relationship Id="rId3" Type="http://schemas.openxmlformats.org/officeDocument/2006/relationships/printerSettings" Target="../printerSettings/printerSettings301.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5" Type="http://schemas.openxmlformats.org/officeDocument/2006/relationships/printerSettings" Target="../printerSettings/printerSettings303.bin"/><Relationship Id="rId4" Type="http://schemas.openxmlformats.org/officeDocument/2006/relationships/printerSettings" Target="../printerSettings/printerSettings30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307.bin"/><Relationship Id="rId2" Type="http://schemas.openxmlformats.org/officeDocument/2006/relationships/printerSettings" Target="../printerSettings/printerSettings306.bin"/><Relationship Id="rId1" Type="http://schemas.openxmlformats.org/officeDocument/2006/relationships/printerSettings" Target="../printerSettings/printerSettings305.bin"/></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310.bin"/><Relationship Id="rId2" Type="http://schemas.openxmlformats.org/officeDocument/2006/relationships/printerSettings" Target="../printerSettings/printerSettings309.bin"/><Relationship Id="rId1" Type="http://schemas.openxmlformats.org/officeDocument/2006/relationships/printerSettings" Target="../printerSettings/printerSettings308.bin"/></Relationships>
</file>

<file path=xl/worksheets/_rels/sheet10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bin"/><Relationship Id="rId1" Type="http://schemas.openxmlformats.org/officeDocument/2006/relationships/printerSettings" Target="../printerSettings/printerSettings311.bin"/><Relationship Id="rId5" Type="http://schemas.microsoft.com/office/2017/10/relationships/threadedComment" Target="../threadedComments/threadedComment6.xml"/><Relationship Id="rId4" Type="http://schemas.openxmlformats.org/officeDocument/2006/relationships/comments" Target="../comments12.xml"/></Relationships>
</file>

<file path=xl/worksheets/_rels/sheet10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312.bin"/></Relationships>
</file>

<file path=xl/worksheets/_rels/sheet105.xml.rels><?xml version="1.0" encoding="UTF-8" standalone="yes"?>
<Relationships xmlns="http://schemas.openxmlformats.org/package/2006/relationships"><Relationship Id="rId26" Type="http://schemas.openxmlformats.org/officeDocument/2006/relationships/hyperlink" Target="mailto:grknight@ecsu.edu" TargetMode="External"/><Relationship Id="rId21" Type="http://schemas.openxmlformats.org/officeDocument/2006/relationships/hyperlink" Target="mailto:jnjones@email.wcu.edu" TargetMode="External"/><Relationship Id="rId42" Type="http://schemas.openxmlformats.org/officeDocument/2006/relationships/hyperlink" Target="mailto:kleitsch@durhamtech.edu" TargetMode="External"/><Relationship Id="rId47" Type="http://schemas.openxmlformats.org/officeDocument/2006/relationships/hyperlink" Target="mailto:klriffe@gtcc.edu" TargetMode="External"/><Relationship Id="rId63" Type="http://schemas.openxmlformats.org/officeDocument/2006/relationships/hyperlink" Target="mailto:Norma.brice@rccc.edu" TargetMode="External"/><Relationship Id="rId68" Type="http://schemas.openxmlformats.org/officeDocument/2006/relationships/hyperlink" Target="mailto:martint@surry.edu" TargetMode="External"/><Relationship Id="rId84" Type="http://schemas.openxmlformats.org/officeDocument/2006/relationships/hyperlink" Target="mailto:Mlongobardi@ncdoj.gov" TargetMode="External"/><Relationship Id="rId89" Type="http://schemas.openxmlformats.org/officeDocument/2006/relationships/hyperlink" Target="mailto:sachsc@cravencc.edu" TargetMode="External"/><Relationship Id="rId112" Type="http://schemas.openxmlformats.org/officeDocument/2006/relationships/hyperlink" Target="mailto:jason.cottle@wildlife.org" TargetMode="External"/><Relationship Id="rId16" Type="http://schemas.openxmlformats.org/officeDocument/2006/relationships/hyperlink" Target="mailto:Melinda.Green@ncagr.gov" TargetMode="External"/><Relationship Id="rId107" Type="http://schemas.openxmlformats.org/officeDocument/2006/relationships/hyperlink" Target="mailto:Carolyn.Perkins@unchealth.unc.edu" TargetMode="External"/><Relationship Id="rId11" Type="http://schemas.openxmlformats.org/officeDocument/2006/relationships/hyperlink" Target="mailto:natasha.farrington@osc.nc.gov" TargetMode="External"/><Relationship Id="rId32" Type="http://schemas.openxmlformats.org/officeDocument/2006/relationships/hyperlink" Target="mailto:ljacobs@bladencc.edu" TargetMode="External"/><Relationship Id="rId37" Type="http://schemas.openxmlformats.org/officeDocument/2006/relationships/hyperlink" Target="mailto:sswanson109@cvcc.edu" TargetMode="External"/><Relationship Id="rId53" Type="http://schemas.openxmlformats.org/officeDocument/2006/relationships/hyperlink" Target="mailto:crenfro@mayland.edu" TargetMode="External"/><Relationship Id="rId58" Type="http://schemas.openxmlformats.org/officeDocument/2006/relationships/hyperlink" Target="mailto:apeaden@email.pittcc.edu" TargetMode="External"/><Relationship Id="rId74" Type="http://schemas.openxmlformats.org/officeDocument/2006/relationships/hyperlink" Target="mailto:sue.kearney@dpi.nc.gov" TargetMode="External"/><Relationship Id="rId79" Type="http://schemas.openxmlformats.org/officeDocument/2006/relationships/hyperlink" Target="mailto:elizabeth.haynes@ncdr.gov" TargetMode="External"/><Relationship Id="rId102" Type="http://schemas.openxmlformats.org/officeDocument/2006/relationships/hyperlink" Target="mailto:Jeffrey.Stevens@unchealth.unc.edu" TargetMode="External"/><Relationship Id="rId5" Type="http://schemas.openxmlformats.org/officeDocument/2006/relationships/hyperlink" Target="mailto:iannuccih@uncw.edu" TargetMode="External"/><Relationship Id="rId90" Type="http://schemas.openxmlformats.org/officeDocument/2006/relationships/hyperlink" Target="mailto:bmcandre@email.unc.edu" TargetMode="External"/><Relationship Id="rId95" Type="http://schemas.openxmlformats.org/officeDocument/2006/relationships/hyperlink" Target="mailto:jaddison1@uncfsu.edu" TargetMode="External"/><Relationship Id="rId22" Type="http://schemas.openxmlformats.org/officeDocument/2006/relationships/hyperlink" Target="mailto:providence.hakizimana@osbm.nc.gov" TargetMode="External"/><Relationship Id="rId27" Type="http://schemas.openxmlformats.org/officeDocument/2006/relationships/hyperlink" Target="mailto:lgriffin@ncseaa.edu" TargetMode="External"/><Relationship Id="rId43" Type="http://schemas.openxmlformats.org/officeDocument/2006/relationships/hyperlink" Target="mailto:twittyp@edgecombe.edu" TargetMode="External"/><Relationship Id="rId48" Type="http://schemas.openxmlformats.org/officeDocument/2006/relationships/hyperlink" Target="mailto:ssmith640@halifaxcc.edu" TargetMode="External"/><Relationship Id="rId64" Type="http://schemas.openxmlformats.org/officeDocument/2006/relationships/hyperlink" Target="mailto:dupontm@sandhills.edu" TargetMode="External"/><Relationship Id="rId69" Type="http://schemas.openxmlformats.org/officeDocument/2006/relationships/hyperlink" Target="mailto:bvespasian@tricountycc.edu" TargetMode="External"/><Relationship Id="rId113" Type="http://schemas.openxmlformats.org/officeDocument/2006/relationships/printerSettings" Target="../printerSettings/printerSettings315.bin"/><Relationship Id="rId80" Type="http://schemas.openxmlformats.org/officeDocument/2006/relationships/hyperlink" Target="mailto:englebright@ncssm.edu" TargetMode="External"/><Relationship Id="rId85" Type="http://schemas.openxmlformats.org/officeDocument/2006/relationships/hyperlink" Target="mailto:tonia.brown@oah.nc.gov" TargetMode="External"/><Relationship Id="rId12" Type="http://schemas.openxmlformats.org/officeDocument/2006/relationships/hyperlink" Target="mailto:jamisondt@appstate.edu" TargetMode="External"/><Relationship Id="rId17" Type="http://schemas.openxmlformats.org/officeDocument/2006/relationships/hyperlink" Target="mailto:peta.shaw@ncdoi.gov" TargetMode="External"/><Relationship Id="rId33" Type="http://schemas.openxmlformats.org/officeDocument/2006/relationships/hyperlink" Target="mailto:carolyna@blueridge.edu" TargetMode="External"/><Relationship Id="rId38" Type="http://schemas.openxmlformats.org/officeDocument/2006/relationships/hyperlink" Target="mailto:bbrid219@cccc.edu" TargetMode="External"/><Relationship Id="rId59" Type="http://schemas.openxmlformats.org/officeDocument/2006/relationships/hyperlink" Target="mailto:cebiby@randolph.edu" TargetMode="External"/><Relationship Id="rId103" Type="http://schemas.openxmlformats.org/officeDocument/2006/relationships/hyperlink" Target="mailto:Michael.Griffin@unchealth.unc.edu" TargetMode="External"/><Relationship Id="rId108" Type="http://schemas.openxmlformats.org/officeDocument/2006/relationships/hyperlink" Target="mailto:William.Hostermanjr@unchealth.unc.edu" TargetMode="External"/><Relationship Id="rId54" Type="http://schemas.openxmlformats.org/officeDocument/2006/relationships/hyperlink" Target="mailto:dickmauney@mcdowelltech.edu" TargetMode="External"/><Relationship Id="rId70" Type="http://schemas.openxmlformats.org/officeDocument/2006/relationships/hyperlink" Target="mailto:hirthl@vgcc.edu" TargetMode="External"/><Relationship Id="rId75" Type="http://schemas.openxmlformats.org/officeDocument/2006/relationships/hyperlink" Target="mailto:Mrobe138@uncc.edu" TargetMode="External"/><Relationship Id="rId91" Type="http://schemas.openxmlformats.org/officeDocument/2006/relationships/hyperlink" Target="mailto:andersona@communitycolleges.edu" TargetMode="External"/><Relationship Id="rId96" Type="http://schemas.openxmlformats.org/officeDocument/2006/relationships/hyperlink" Target="mailto:stricklands@ecu.edu" TargetMode="External"/><Relationship Id="rId1" Type="http://schemas.openxmlformats.org/officeDocument/2006/relationships/printerSettings" Target="../printerSettings/printerSettings313.bin"/><Relationship Id="rId6" Type="http://schemas.openxmlformats.org/officeDocument/2006/relationships/hyperlink" Target="mailto:jhouse@centauth.com" TargetMode="External"/><Relationship Id="rId15" Type="http://schemas.openxmlformats.org/officeDocument/2006/relationships/hyperlink" Target="mailto:malinda.peters@ncleg.gov" TargetMode="External"/><Relationship Id="rId23" Type="http://schemas.openxmlformats.org/officeDocument/2006/relationships/hyperlink" Target="mailto:joan.fontes@nctreasurer.com" TargetMode="External"/><Relationship Id="rId28" Type="http://schemas.openxmlformats.org/officeDocument/2006/relationships/hyperlink" Target="mailto:conditjangkm@wssu.edu" TargetMode="External"/><Relationship Id="rId36" Type="http://schemas.openxmlformats.org/officeDocument/2006/relationships/hyperlink" Target="mailto:cumbied@carteret.edu" TargetMode="External"/><Relationship Id="rId49" Type="http://schemas.openxmlformats.org/officeDocument/2006/relationships/hyperlink" Target="mailto:apenson@isothermal.edu" TargetMode="External"/><Relationship Id="rId57" Type="http://schemas.openxmlformats.org/officeDocument/2006/relationships/hyperlink" Target="mailto:Beverly.murphy@piedmontcc.edu" TargetMode="External"/><Relationship Id="rId106" Type="http://schemas.openxmlformats.org/officeDocument/2006/relationships/hyperlink" Target="mailto:Lisa.Cox2@unchealth.unc.edu" TargetMode="External"/><Relationship Id="rId10" Type="http://schemas.openxmlformats.org/officeDocument/2006/relationships/hyperlink" Target="mailto:jacqueline.mckoy@ncdor.gov" TargetMode="External"/><Relationship Id="rId31" Type="http://schemas.openxmlformats.org/officeDocument/2006/relationships/hyperlink" Target="mailto:gay.edwards@BeaufortCCC.edu" TargetMode="External"/><Relationship Id="rId44" Type="http://schemas.openxmlformats.org/officeDocument/2006/relationships/hyperlink" Target="mailto:deaverr@faytechcc.edu" TargetMode="External"/><Relationship Id="rId52" Type="http://schemas.openxmlformats.org/officeDocument/2006/relationships/hyperlink" Target="mailto:tammy.bailey@martincc.edu" TargetMode="External"/><Relationship Id="rId60" Type="http://schemas.openxmlformats.org/officeDocument/2006/relationships/hyperlink" Target="mailto:dccashwell@richmondcc.edu" TargetMode="External"/><Relationship Id="rId65" Type="http://schemas.openxmlformats.org/officeDocument/2006/relationships/hyperlink" Target="mailto:jricketts2@spcc.edu" TargetMode="External"/><Relationship Id="rId73" Type="http://schemas.openxmlformats.org/officeDocument/2006/relationships/hyperlink" Target="mailto:pkroberts@sosnc.gov" TargetMode="External"/><Relationship Id="rId78" Type="http://schemas.openxmlformats.org/officeDocument/2006/relationships/hyperlink" Target="mailto:cheryl.davis@commerce.nc.gov" TargetMode="External"/><Relationship Id="rId81" Type="http://schemas.openxmlformats.org/officeDocument/2006/relationships/hyperlink" Target="mailto:baileyj@uncsa.edu" TargetMode="External"/><Relationship Id="rId86" Type="http://schemas.openxmlformats.org/officeDocument/2006/relationships/hyperlink" Target="mailto:jbrady@ncsu.edu" TargetMode="External"/><Relationship Id="rId94" Type="http://schemas.openxmlformats.org/officeDocument/2006/relationships/hyperlink" Target="mailto:Terry.Dail@ncports.com" TargetMode="External"/><Relationship Id="rId99" Type="http://schemas.openxmlformats.org/officeDocument/2006/relationships/hyperlink" Target="mailto:allis.talley-burton@ncdps.gov" TargetMode="External"/><Relationship Id="rId101" Type="http://schemas.openxmlformats.org/officeDocument/2006/relationships/hyperlink" Target="mailto:Ryan.Hertel@unchealth.unc.edu" TargetMode="External"/><Relationship Id="rId4" Type="http://schemas.openxmlformats.org/officeDocument/2006/relationships/hyperlink" Target="mailto:awnash@uncg.edu" TargetMode="External"/><Relationship Id="rId9" Type="http://schemas.openxmlformats.org/officeDocument/2006/relationships/hyperlink" Target="mailto:ashley.price@osc.nc.gov" TargetMode="External"/><Relationship Id="rId13" Type="http://schemas.openxmlformats.org/officeDocument/2006/relationships/hyperlink" Target="mailto:james_bullock@ncbiotech.org" TargetMode="External"/><Relationship Id="rId18" Type="http://schemas.openxmlformats.org/officeDocument/2006/relationships/hyperlink" Target="mailto:Shirley.Trollinger@ncdenr.gov" TargetMode="External"/><Relationship Id="rId39" Type="http://schemas.openxmlformats.org/officeDocument/2006/relationships/hyperlink" Target="mailto:lauren.gates@cpcc.edu" TargetMode="External"/><Relationship Id="rId109" Type="http://schemas.openxmlformats.org/officeDocument/2006/relationships/hyperlink" Target="mailto:Jeffrey.Stevens@unchealth.unc.edu" TargetMode="External"/><Relationship Id="rId34" Type="http://schemas.openxmlformats.org/officeDocument/2006/relationships/hyperlink" Target="mailto:culpeppers@brunswickcc.edu" TargetMode="External"/><Relationship Id="rId50" Type="http://schemas.openxmlformats.org/officeDocument/2006/relationships/hyperlink" Target="mailto:dgwebb@johnstoncc.edu" TargetMode="External"/><Relationship Id="rId55" Type="http://schemas.openxmlformats.org/officeDocument/2006/relationships/hyperlink" Target="mailto:jharris@mitchellcc.edu" TargetMode="External"/><Relationship Id="rId76" Type="http://schemas.openxmlformats.org/officeDocument/2006/relationships/hyperlink" Target="mailto:MJeng@ncrr.com" TargetMode="External"/><Relationship Id="rId97" Type="http://schemas.openxmlformats.org/officeDocument/2006/relationships/hyperlink" Target="mailto:c_martin@southwesterncc.edu" TargetMode="External"/><Relationship Id="rId104" Type="http://schemas.openxmlformats.org/officeDocument/2006/relationships/hyperlink" Target="mailto:David.Sims@unchealth.unc.edu" TargetMode="External"/><Relationship Id="rId7" Type="http://schemas.openxmlformats.org/officeDocument/2006/relationships/hyperlink" Target="mailto:lisa.culbreth@labor.nc.gov" TargetMode="External"/><Relationship Id="rId71" Type="http://schemas.openxmlformats.org/officeDocument/2006/relationships/hyperlink" Target="mailto:marney@wpcc.edu" TargetMode="External"/><Relationship Id="rId92" Type="http://schemas.openxmlformats.org/officeDocument/2006/relationships/hyperlink" Target="mailto:tdwarren1@ncdot.gov" TargetMode="External"/><Relationship Id="rId2" Type="http://schemas.openxmlformats.org/officeDocument/2006/relationships/printerSettings" Target="../printerSettings/printerSettings314.bin"/><Relationship Id="rId29" Type="http://schemas.openxmlformats.org/officeDocument/2006/relationships/hyperlink" Target="mailto:cdcrepps973@alamancecc.edu" TargetMode="External"/><Relationship Id="rId24" Type="http://schemas.openxmlformats.org/officeDocument/2006/relationships/hyperlink" Target="mailto:joan.fontes@nctreasurer.com" TargetMode="External"/><Relationship Id="rId40" Type="http://schemas.openxmlformats.org/officeDocument/2006/relationships/hyperlink" Target="mailto:susan_gentry@albemarle.edu" TargetMode="External"/><Relationship Id="rId45" Type="http://schemas.openxmlformats.org/officeDocument/2006/relationships/hyperlink" Target="mailto:kalexander@forsythtech.edu" TargetMode="External"/><Relationship Id="rId66" Type="http://schemas.openxmlformats.org/officeDocument/2006/relationships/hyperlink" Target="mailto:donna.turbeville@sccnc.edu" TargetMode="External"/><Relationship Id="rId87" Type="http://schemas.openxmlformats.org/officeDocument/2006/relationships/hyperlink" Target="mailto:Antonio.McDaniel@nccu.edu" TargetMode="External"/><Relationship Id="rId110" Type="http://schemas.openxmlformats.org/officeDocument/2006/relationships/hyperlink" Target="mailto:Ashley.Price@osc.nc.gov" TargetMode="External"/><Relationship Id="rId61" Type="http://schemas.openxmlformats.org/officeDocument/2006/relationships/hyperlink" Target="mailto:carriedouglas8479@roanokechowan.edu" TargetMode="External"/><Relationship Id="rId82" Type="http://schemas.openxmlformats.org/officeDocument/2006/relationships/hyperlink" Target="mailto:larry.price@edpnc.com" TargetMode="External"/><Relationship Id="rId19" Type="http://schemas.openxmlformats.org/officeDocument/2006/relationships/hyperlink" Target="mailto:Lori.Oldham@ncdcr.gov" TargetMode="External"/><Relationship Id="rId14" Type="http://schemas.openxmlformats.org/officeDocument/2006/relationships/hyperlink" Target="mailto:esmith@goldenleaf.org" TargetMode="External"/><Relationship Id="rId30" Type="http://schemas.openxmlformats.org/officeDocument/2006/relationships/hyperlink" Target="mailto:kristabellcertain@abtech.edu" TargetMode="External"/><Relationship Id="rId35" Type="http://schemas.openxmlformats.org/officeDocument/2006/relationships/hyperlink" Target="mailto:lcolley@cfcc.edu" TargetMode="External"/><Relationship Id="rId56" Type="http://schemas.openxmlformats.org/officeDocument/2006/relationships/hyperlink" Target="mailto:cjdornseif810@nashcc.edu" TargetMode="External"/><Relationship Id="rId77" Type="http://schemas.openxmlformats.org/officeDocument/2006/relationships/hyperlink" Target="mailto:rachel_mcdonald@ncauditor.net" TargetMode="External"/><Relationship Id="rId100" Type="http://schemas.openxmlformats.org/officeDocument/2006/relationships/hyperlink" Target="mailto:meagan.h.jacobs@nccourts.org" TargetMode="External"/><Relationship Id="rId105" Type="http://schemas.openxmlformats.org/officeDocument/2006/relationships/hyperlink" Target="mailto:Lisa.Cox2@unchealth.unc.edu" TargetMode="External"/><Relationship Id="rId8" Type="http://schemas.openxmlformats.org/officeDocument/2006/relationships/hyperlink" Target="mailto:anita.bunch@ncdor.gov" TargetMode="External"/><Relationship Id="rId51" Type="http://schemas.openxmlformats.org/officeDocument/2006/relationships/hyperlink" Target="mailto:jdgibbs27@lenoircc.edu" TargetMode="External"/><Relationship Id="rId72" Type="http://schemas.openxmlformats.org/officeDocument/2006/relationships/hyperlink" Target="mailto:cahuffman078@wilkescc.edu" TargetMode="External"/><Relationship Id="rId93" Type="http://schemas.openxmlformats.org/officeDocument/2006/relationships/hyperlink" Target="mailto:tdwarren1@ncdot.gov" TargetMode="External"/><Relationship Id="rId98" Type="http://schemas.openxmlformats.org/officeDocument/2006/relationships/hyperlink" Target="mailto:prabhavathi.Vijayaraghavan@dac.nc.gov" TargetMode="External"/><Relationship Id="rId3" Type="http://schemas.openxmlformats.org/officeDocument/2006/relationships/hyperlink" Target="mailto:joan.fontes@nctreasurer.com" TargetMode="External"/><Relationship Id="rId25" Type="http://schemas.openxmlformats.org/officeDocument/2006/relationships/hyperlink" Target="mailto:dkdryer@northcarolina.edu" TargetMode="External"/><Relationship Id="rId46" Type="http://schemas.openxmlformats.org/officeDocument/2006/relationships/hyperlink" Target="mailto:alman.shelly@gaston.edu" TargetMode="External"/><Relationship Id="rId67" Type="http://schemas.openxmlformats.org/officeDocument/2006/relationships/hyperlink" Target="mailto:kbradshaw9661@stanly.edu" TargetMode="External"/><Relationship Id="rId20" Type="http://schemas.openxmlformats.org/officeDocument/2006/relationships/hyperlink" Target="mailto:burckley@ncat.edu" TargetMode="External"/><Relationship Id="rId41" Type="http://schemas.openxmlformats.org/officeDocument/2006/relationships/hyperlink" Target="mailto:jennifer_starsick@davidsondavie.edu" TargetMode="External"/><Relationship Id="rId62" Type="http://schemas.openxmlformats.org/officeDocument/2006/relationships/hyperlink" Target="mailto:mooreg6174@rockinghamcc.edu" TargetMode="External"/><Relationship Id="rId83" Type="http://schemas.openxmlformats.org/officeDocument/2006/relationships/hyperlink" Target="mailto:jsjones@wilsoncc.edu" TargetMode="External"/><Relationship Id="rId88" Type="http://schemas.openxmlformats.org/officeDocument/2006/relationships/hyperlink" Target="mailto:jklenke@gbmcpas.com" TargetMode="External"/><Relationship Id="rId111" Type="http://schemas.openxmlformats.org/officeDocument/2006/relationships/hyperlink" Target="mailto:Beth.lane@nc.gov" TargetMode="External"/></Relationships>
</file>

<file path=xl/worksheets/_rels/sheet106.xml.rels><?xml version="1.0" encoding="UTF-8" standalone="yes"?>
<Relationships xmlns="http://schemas.openxmlformats.org/package/2006/relationships"><Relationship Id="rId8" Type="http://schemas.openxmlformats.org/officeDocument/2006/relationships/hyperlink" Target="mailto:Patcha.Kidking@osc.nc.gov" TargetMode="External"/><Relationship Id="rId3" Type="http://schemas.openxmlformats.org/officeDocument/2006/relationships/hyperlink" Target="mailto:Joannie.Burtoft@osc.nc.gov" TargetMode="External"/><Relationship Id="rId7" Type="http://schemas.openxmlformats.org/officeDocument/2006/relationships/hyperlink" Target="mailto:John.Krellner@osc.nc.gov" TargetMode="External"/><Relationship Id="rId2" Type="http://schemas.openxmlformats.org/officeDocument/2006/relationships/hyperlink" Target="mailto:Kim.Battle@osc.nc.gov" TargetMode="External"/><Relationship Id="rId1" Type="http://schemas.openxmlformats.org/officeDocument/2006/relationships/hyperlink" Target="mailto:ellen.rockefeller@osc.nc.gov" TargetMode="External"/><Relationship Id="rId6" Type="http://schemas.openxmlformats.org/officeDocument/2006/relationships/hyperlink" Target="mailto:Yelena.Zaytseva@osc.nc.gov" TargetMode="External"/><Relationship Id="rId5" Type="http://schemas.openxmlformats.org/officeDocument/2006/relationships/hyperlink" Target="mailto:Joan.Saucier@osc.nc.gov" TargetMode="External"/><Relationship Id="rId10" Type="http://schemas.openxmlformats.org/officeDocument/2006/relationships/printerSettings" Target="../printerSettings/printerSettings316.bin"/><Relationship Id="rId4" Type="http://schemas.openxmlformats.org/officeDocument/2006/relationships/hyperlink" Target="mailto:Virginia.Sisson@osc.nc.gov" TargetMode="External"/><Relationship Id="rId9" Type="http://schemas.openxmlformats.org/officeDocument/2006/relationships/hyperlink" Target="mailto:Ellen.Burns@osc.nc.gov" TargetMode="External"/></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108.xml.rels><?xml version="1.0" encoding="UTF-8" standalone="yes"?>
<Relationships xmlns="http://schemas.openxmlformats.org/package/2006/relationships"><Relationship Id="rId3" Type="http://schemas.openxmlformats.org/officeDocument/2006/relationships/printerSettings" Target="../printerSettings/printerSettings320.bin"/><Relationship Id="rId2" Type="http://schemas.openxmlformats.org/officeDocument/2006/relationships/printerSettings" Target="../printerSettings/printerSettings319.bin"/><Relationship Id="rId1" Type="http://schemas.openxmlformats.org/officeDocument/2006/relationships/printerSettings" Target="../printerSettings/printerSettings318.bin"/></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323.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53"/>
  <sheetViews>
    <sheetView showGridLines="0" zoomScaleNormal="100" workbookViewId="0">
      <selection activeCell="G6" sqref="G6"/>
    </sheetView>
  </sheetViews>
  <sheetFormatPr defaultRowHeight="12.75" x14ac:dyDescent="0.2"/>
  <cols>
    <col min="1" max="1" width="3" customWidth="1"/>
    <col min="2" max="2" width="91.5703125" customWidth="1"/>
    <col min="3" max="3" width="11.5703125" customWidth="1"/>
    <col min="4" max="7" width="8.42578125" customWidth="1"/>
    <col min="8" max="8" width="9.5703125" customWidth="1"/>
    <col min="9" max="9" width="7.5703125" customWidth="1"/>
    <col min="10" max="11" width="10.5703125" customWidth="1"/>
    <col min="12" max="12" width="10" customWidth="1"/>
    <col min="13" max="13" width="3.5703125" customWidth="1"/>
  </cols>
  <sheetData>
    <row r="1" spans="1:14" ht="15.75" x14ac:dyDescent="0.25">
      <c r="A1" s="2381" t="s">
        <v>0</v>
      </c>
      <c r="B1" s="2381"/>
      <c r="C1" s="2206"/>
      <c r="D1" s="2206"/>
      <c r="E1" s="2206"/>
      <c r="F1" s="2206"/>
      <c r="G1" s="2206"/>
      <c r="H1" s="2206"/>
      <c r="I1" s="2206"/>
      <c r="J1" s="2206"/>
      <c r="K1" s="2206"/>
      <c r="L1" s="2206"/>
      <c r="M1" s="2206"/>
      <c r="N1" s="88"/>
    </row>
    <row r="2" spans="1:14" ht="15.75" x14ac:dyDescent="0.25">
      <c r="A2" s="2381" t="str">
        <f>CONCATENATE(YEAR(Data!A2)," ACFR Worksheets")</f>
        <v>2023 ACFR Worksheets</v>
      </c>
      <c r="B2" s="2381"/>
      <c r="C2" s="2206"/>
      <c r="D2" s="2206"/>
      <c r="E2" s="2206"/>
      <c r="F2" s="2206"/>
      <c r="G2" s="2206"/>
      <c r="H2" s="2206"/>
      <c r="I2" s="2206"/>
      <c r="J2" s="2206"/>
      <c r="K2" s="2206"/>
      <c r="L2" s="2206"/>
      <c r="M2" s="2206"/>
      <c r="N2" s="88"/>
    </row>
    <row r="3" spans="1:14" ht="15.75" x14ac:dyDescent="0.25">
      <c r="A3" s="2381" t="s">
        <v>1</v>
      </c>
      <c r="B3" s="2381"/>
      <c r="C3" s="2206"/>
      <c r="D3" s="2206"/>
      <c r="E3" s="2206"/>
      <c r="F3" s="2206"/>
      <c r="G3" s="2206"/>
      <c r="H3" s="2206"/>
      <c r="I3" s="2206"/>
      <c r="J3" s="2206"/>
      <c r="K3" s="2206"/>
      <c r="L3" s="2206"/>
      <c r="M3" s="2206"/>
      <c r="N3" s="88"/>
    </row>
    <row r="4" spans="1:14" ht="15.75" x14ac:dyDescent="0.25">
      <c r="A4" s="166"/>
      <c r="B4" s="783" t="str">
        <f>Index!L4</f>
        <v>File revision date: 5/5/2023</v>
      </c>
      <c r="C4" s="700"/>
      <c r="D4" s="700"/>
      <c r="E4" s="700"/>
      <c r="F4" s="700"/>
      <c r="G4" s="700"/>
      <c r="H4" s="700"/>
      <c r="I4" s="700"/>
      <c r="J4" s="700"/>
      <c r="K4" s="700"/>
      <c r="L4" s="700"/>
      <c r="M4" s="700"/>
    </row>
    <row r="6" spans="1:14" ht="14.25" x14ac:dyDescent="0.25">
      <c r="A6" s="919" t="s">
        <v>2</v>
      </c>
      <c r="B6" s="701"/>
    </row>
    <row r="7" spans="1:14" ht="13.5" x14ac:dyDescent="0.2">
      <c r="A7" s="702" t="s">
        <v>3</v>
      </c>
      <c r="B7" s="703" t="s">
        <v>4</v>
      </c>
    </row>
    <row r="8" spans="1:14" ht="13.5" x14ac:dyDescent="0.2">
      <c r="A8" s="702"/>
      <c r="B8" s="703" t="s">
        <v>5</v>
      </c>
    </row>
    <row r="9" spans="1:14" ht="13.5" x14ac:dyDescent="0.2">
      <c r="A9" s="702" t="s">
        <v>3</v>
      </c>
      <c r="B9" s="703" t="s">
        <v>6</v>
      </c>
    </row>
    <row r="10" spans="1:14" ht="13.5" x14ac:dyDescent="0.2">
      <c r="A10" s="704"/>
      <c r="B10" s="703" t="s">
        <v>7</v>
      </c>
    </row>
    <row r="11" spans="1:14" ht="13.5" x14ac:dyDescent="0.2">
      <c r="A11" s="702" t="s">
        <v>3</v>
      </c>
      <c r="B11" s="703" t="s">
        <v>8</v>
      </c>
    </row>
    <row r="12" spans="1:14" ht="13.5" x14ac:dyDescent="0.2">
      <c r="A12" s="702" t="s">
        <v>3</v>
      </c>
      <c r="B12" s="703" t="s">
        <v>9</v>
      </c>
    </row>
    <row r="13" spans="1:14" ht="13.5" x14ac:dyDescent="0.2">
      <c r="A13" s="702"/>
      <c r="B13" s="703" t="s">
        <v>10</v>
      </c>
    </row>
    <row r="14" spans="1:14" ht="13.5" x14ac:dyDescent="0.2">
      <c r="A14" s="702"/>
      <c r="B14" s="703" t="s">
        <v>11</v>
      </c>
    </row>
    <row r="15" spans="1:14" ht="13.5" x14ac:dyDescent="0.2">
      <c r="A15" s="702"/>
      <c r="B15" s="703" t="s">
        <v>12</v>
      </c>
    </row>
    <row r="16" spans="1:14" ht="13.5" x14ac:dyDescent="0.2">
      <c r="A16" s="702" t="s">
        <v>3</v>
      </c>
      <c r="B16" s="1637" t="s">
        <v>13</v>
      </c>
    </row>
    <row r="17" spans="1:3" ht="13.5" x14ac:dyDescent="0.2">
      <c r="A17" s="702"/>
      <c r="B17" s="1637" t="s">
        <v>14</v>
      </c>
    </row>
    <row r="18" spans="1:3" ht="13.5" x14ac:dyDescent="0.2">
      <c r="A18" s="702" t="s">
        <v>3</v>
      </c>
      <c r="B18" s="1637" t="s">
        <v>15</v>
      </c>
    </row>
    <row r="19" spans="1:3" ht="13.5" x14ac:dyDescent="0.2">
      <c r="A19" s="702" t="s">
        <v>3</v>
      </c>
      <c r="B19" s="703" t="s">
        <v>16</v>
      </c>
    </row>
    <row r="20" spans="1:3" ht="14.25" thickBot="1" x14ac:dyDescent="0.25">
      <c r="A20" s="702"/>
      <c r="B20" s="703" t="s">
        <v>17</v>
      </c>
    </row>
    <row r="21" spans="1:3" ht="15.75" x14ac:dyDescent="0.25">
      <c r="A21" s="702" t="s">
        <v>3</v>
      </c>
      <c r="B21" s="784" t="s">
        <v>18</v>
      </c>
    </row>
    <row r="22" spans="1:3" ht="15.75" x14ac:dyDescent="0.25">
      <c r="A22" s="702"/>
      <c r="B22" s="785" t="s">
        <v>19</v>
      </c>
    </row>
    <row r="23" spans="1:3" ht="15.75" x14ac:dyDescent="0.25">
      <c r="A23" s="702"/>
      <c r="B23" s="785" t="s">
        <v>20</v>
      </c>
    </row>
    <row r="24" spans="1:3" ht="15.75" x14ac:dyDescent="0.25">
      <c r="A24" s="702"/>
      <c r="B24" s="785" t="s">
        <v>21</v>
      </c>
    </row>
    <row r="25" spans="1:3" ht="16.5" thickBot="1" x14ac:dyDescent="0.3">
      <c r="A25" s="704"/>
      <c r="B25" s="786" t="s">
        <v>22</v>
      </c>
    </row>
    <row r="26" spans="1:3" ht="13.5" x14ac:dyDescent="0.2">
      <c r="A26" s="702" t="s">
        <v>3</v>
      </c>
      <c r="B26" s="864" t="s">
        <v>23</v>
      </c>
    </row>
    <row r="27" spans="1:3" ht="13.5" x14ac:dyDescent="0.2">
      <c r="A27" s="702"/>
      <c r="B27" s="864" t="s">
        <v>24</v>
      </c>
    </row>
    <row r="28" spans="1:3" ht="13.5" x14ac:dyDescent="0.2">
      <c r="A28" s="702"/>
      <c r="B28" s="864" t="s">
        <v>25</v>
      </c>
    </row>
    <row r="29" spans="1:3" ht="13.5" x14ac:dyDescent="0.2">
      <c r="A29" s="770" t="s">
        <v>26</v>
      </c>
      <c r="B29" s="704"/>
    </row>
    <row r="30" spans="1:3" ht="15" x14ac:dyDescent="0.25">
      <c r="A30" s="702" t="s">
        <v>3</v>
      </c>
      <c r="B30" s="704" t="s">
        <v>27</v>
      </c>
      <c r="C30" s="1677"/>
    </row>
    <row r="31" spans="1:3" ht="15" x14ac:dyDescent="0.25">
      <c r="A31" s="704"/>
      <c r="B31" s="705" t="s">
        <v>28</v>
      </c>
      <c r="C31" s="658"/>
    </row>
    <row r="32" spans="1:3" ht="15" x14ac:dyDescent="0.25">
      <c r="A32" s="704"/>
      <c r="B32" s="704" t="s">
        <v>29</v>
      </c>
      <c r="C32" s="1677"/>
    </row>
    <row r="33" spans="1:3" ht="15" x14ac:dyDescent="0.25">
      <c r="B33" s="704" t="s">
        <v>30</v>
      </c>
      <c r="C33" s="1677"/>
    </row>
    <row r="34" spans="1:3" ht="15" x14ac:dyDescent="0.25">
      <c r="A34" s="702" t="s">
        <v>3</v>
      </c>
      <c r="B34" s="704" t="s">
        <v>31</v>
      </c>
      <c r="C34" s="1677"/>
    </row>
    <row r="35" spans="1:3" ht="13.5" x14ac:dyDescent="0.2">
      <c r="A35" s="706"/>
      <c r="B35" s="704" t="s">
        <v>32</v>
      </c>
    </row>
    <row r="36" spans="1:3" ht="13.5" x14ac:dyDescent="0.2">
      <c r="A36" s="770" t="s">
        <v>33</v>
      </c>
      <c r="B36" s="706"/>
    </row>
    <row r="37" spans="1:3" ht="13.5" x14ac:dyDescent="0.2">
      <c r="A37" s="702" t="s">
        <v>3</v>
      </c>
      <c r="B37" s="704" t="s">
        <v>34</v>
      </c>
    </row>
    <row r="38" spans="1:3" ht="13.5" x14ac:dyDescent="0.2">
      <c r="B38" s="704" t="s">
        <v>35</v>
      </c>
    </row>
    <row r="39" spans="1:3" ht="13.5" x14ac:dyDescent="0.2">
      <c r="A39" s="702" t="s">
        <v>3</v>
      </c>
      <c r="B39" s="708" t="s">
        <v>36</v>
      </c>
    </row>
    <row r="40" spans="1:3" ht="13.5" x14ac:dyDescent="0.2">
      <c r="A40" s="702" t="s">
        <v>3</v>
      </c>
      <c r="B40" s="708" t="s">
        <v>37</v>
      </c>
    </row>
    <row r="41" spans="1:3" ht="13.5" x14ac:dyDescent="0.2">
      <c r="A41" s="702" t="s">
        <v>3</v>
      </c>
      <c r="B41" s="708" t="s">
        <v>38</v>
      </c>
    </row>
    <row r="42" spans="1:3" ht="13.5" x14ac:dyDescent="0.2">
      <c r="A42" s="702" t="s">
        <v>3</v>
      </c>
      <c r="B42" s="792" t="s">
        <v>39</v>
      </c>
    </row>
    <row r="43" spans="1:3" ht="13.5" x14ac:dyDescent="0.2">
      <c r="A43" s="702"/>
      <c r="B43" s="792" t="s">
        <v>40</v>
      </c>
    </row>
    <row r="44" spans="1:3" ht="13.5" x14ac:dyDescent="0.2">
      <c r="A44" s="770" t="s">
        <v>41</v>
      </c>
    </row>
    <row r="45" spans="1:3" ht="13.5" x14ac:dyDescent="0.2">
      <c r="A45" s="702" t="s">
        <v>3</v>
      </c>
      <c r="B45" s="708" t="s">
        <v>42</v>
      </c>
    </row>
    <row r="46" spans="1:3" ht="13.5" x14ac:dyDescent="0.2">
      <c r="A46" s="770" t="s">
        <v>43</v>
      </c>
    </row>
    <row r="47" spans="1:3" ht="13.5" x14ac:dyDescent="0.2">
      <c r="A47" s="702" t="s">
        <v>3</v>
      </c>
      <c r="B47" s="708" t="s">
        <v>44</v>
      </c>
    </row>
    <row r="48" spans="1:3" ht="13.5" x14ac:dyDescent="0.2">
      <c r="A48" s="702" t="s">
        <v>3</v>
      </c>
      <c r="B48" s="159" t="s">
        <v>45</v>
      </c>
    </row>
    <row r="49" spans="1:2" ht="13.5" x14ac:dyDescent="0.2">
      <c r="B49" s="708" t="s">
        <v>46</v>
      </c>
    </row>
    <row r="50" spans="1:2" ht="13.5" x14ac:dyDescent="0.2">
      <c r="A50" s="702" t="s">
        <v>3</v>
      </c>
      <c r="B50" s="1063" t="s">
        <v>47</v>
      </c>
    </row>
    <row r="51" spans="1:2" ht="13.5" x14ac:dyDescent="0.2">
      <c r="B51" s="1063" t="s">
        <v>48</v>
      </c>
    </row>
    <row r="52" spans="1:2" ht="13.5" x14ac:dyDescent="0.2">
      <c r="B52" s="1063" t="s">
        <v>49</v>
      </c>
    </row>
    <row r="53" spans="1:2" x14ac:dyDescent="0.2">
      <c r="B53" s="159" t="s">
        <v>50</v>
      </c>
    </row>
  </sheetData>
  <sheetProtection algorithmName="SHA-512" hashValue="/f6sYvLW7uROIaVFsqhi1N+NEm2JsdBYHsB/PJ2TDE76/8MvK5WG2/GLF2d3sj+15UHsaUe+LwB8BiGXdvoeXA==" saltValue="XF7lqezln1cuhrE1e8gDlQ==" spinCount="100000" sheet="1" objects="1" scenarios="1" autoFilter="0"/>
  <customSheetViews>
    <customSheetView guid="{9FCFC836-1CA5-48BF-958D-24D2EA94B219}" showGridLines="0" hiddenColumns="1">
      <selection activeCell="A5" sqref="A5"/>
      <pageMargins left="0" right="0" top="0" bottom="0" header="0" footer="0"/>
      <pageSetup orientation="portrait" r:id="rId1"/>
    </customSheetView>
    <customSheetView guid="{B08879A4-635B-4C39-9937-AC7883D562FC}" showGridLines="0" hiddenColumns="1">
      <selection activeCell="A5" sqref="A5"/>
      <pageMargins left="0" right="0" top="0" bottom="0" header="0" footer="0"/>
      <pageSetup orientation="portrait" r:id="rId2"/>
    </customSheetView>
  </customSheetViews>
  <mergeCells count="3">
    <mergeCell ref="A1:B1"/>
    <mergeCell ref="A2:B2"/>
    <mergeCell ref="A3:B3"/>
  </mergeCells>
  <pageMargins left="0.6" right="0.6" top="0.5" bottom="0.5" header="0.3" footer="0.3"/>
  <pageSetup scale="82"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N51"/>
  <sheetViews>
    <sheetView zoomScaleNormal="100" workbookViewId="0">
      <selection activeCell="J8" sqref="J8"/>
    </sheetView>
  </sheetViews>
  <sheetFormatPr defaultColWidth="9.42578125" defaultRowHeight="12.75" x14ac:dyDescent="0.2"/>
  <cols>
    <col min="1" max="1" width="11.5703125" style="381" customWidth="1"/>
    <col min="2" max="2" width="2.42578125" style="381" customWidth="1"/>
    <col min="3" max="3" width="14.5703125" style="381" customWidth="1"/>
    <col min="4" max="4" width="2.42578125" style="381" customWidth="1"/>
    <col min="5" max="5" width="59.42578125" style="381" customWidth="1"/>
    <col min="6" max="6" width="4" style="381" customWidth="1"/>
    <col min="7" max="7" width="46.5703125" style="381" hidden="1" customWidth="1"/>
    <col min="8" max="8" width="9.140625" style="381" hidden="1" customWidth="1"/>
    <col min="9" max="9" width="10.5703125" style="381" hidden="1" customWidth="1"/>
    <col min="10" max="10" width="10.140625" style="381" customWidth="1"/>
    <col min="11" max="13" width="12.42578125" style="381" customWidth="1"/>
    <col min="14" max="16384" width="9.42578125" style="381"/>
  </cols>
  <sheetData>
    <row r="1" spans="1:14" s="1069" customFormat="1" ht="18.75" x14ac:dyDescent="0.3">
      <c r="A1" s="2382" t="s">
        <v>0</v>
      </c>
      <c r="B1" s="2383"/>
      <c r="C1" s="2383"/>
      <c r="D1" s="2383"/>
      <c r="E1" s="2383"/>
    </row>
    <row r="2" spans="1:14" s="1069" customFormat="1" ht="15.75" x14ac:dyDescent="0.25">
      <c r="A2" s="2384" t="s">
        <v>51</v>
      </c>
      <c r="B2" s="2384"/>
      <c r="C2" s="2384"/>
      <c r="D2" s="2384"/>
      <c r="E2" s="2384"/>
      <c r="G2" s="1236" t="s">
        <v>52</v>
      </c>
    </row>
    <row r="3" spans="1:14" s="1069" customFormat="1" ht="15.75" x14ac:dyDescent="0.25">
      <c r="A3" s="2193"/>
      <c r="B3" s="2193"/>
      <c r="C3" s="2193"/>
      <c r="D3" s="2193"/>
      <c r="E3" s="2193"/>
    </row>
    <row r="4" spans="1:14" ht="15.75" customHeight="1" x14ac:dyDescent="0.25">
      <c r="G4" s="2385" t="s">
        <v>53</v>
      </c>
      <c r="H4" s="2385"/>
      <c r="I4" s="2385"/>
      <c r="J4" s="2385"/>
    </row>
    <row r="5" spans="1:14" ht="95.1" customHeight="1" thickBot="1" x14ac:dyDescent="0.3">
      <c r="A5" s="1080" t="s">
        <v>54</v>
      </c>
      <c r="C5" s="1080" t="s">
        <v>55</v>
      </c>
      <c r="E5" s="1079" t="s">
        <v>56</v>
      </c>
      <c r="G5" s="1080" t="s">
        <v>57</v>
      </c>
      <c r="H5" s="1080" t="s">
        <v>58</v>
      </c>
      <c r="I5" s="1080" t="s">
        <v>59</v>
      </c>
      <c r="J5" s="1080" t="s">
        <v>60</v>
      </c>
    </row>
    <row r="6" spans="1:14" ht="14.25" x14ac:dyDescent="0.2">
      <c r="A6" s="1260"/>
      <c r="B6" s="1261"/>
      <c r="C6" s="1262"/>
      <c r="D6" s="1261"/>
      <c r="E6" s="1263"/>
      <c r="G6" s="1553"/>
      <c r="H6" s="1085"/>
      <c r="I6" s="1085"/>
      <c r="J6" s="1214"/>
    </row>
    <row r="7" spans="1:14" ht="14.25" x14ac:dyDescent="0.2">
      <c r="A7" s="3033">
        <v>45051</v>
      </c>
      <c r="B7" s="1261"/>
      <c r="C7" s="1262">
        <v>310</v>
      </c>
      <c r="D7" s="1261"/>
      <c r="E7" s="1263" t="s">
        <v>6094</v>
      </c>
      <c r="G7" s="1553"/>
      <c r="H7" s="1085"/>
      <c r="I7" s="1085"/>
      <c r="J7" s="1214">
        <v>45054</v>
      </c>
      <c r="N7" s="2332"/>
    </row>
    <row r="8" spans="1:14" ht="57" customHeight="1" x14ac:dyDescent="0.2">
      <c r="A8" s="1421"/>
      <c r="B8" s="1402"/>
      <c r="C8" s="1663"/>
      <c r="D8" s="1402"/>
      <c r="E8" s="1403"/>
      <c r="F8" s="1404"/>
      <c r="G8" s="2250"/>
      <c r="H8" s="1085"/>
      <c r="I8" s="1085"/>
      <c r="J8" s="1214"/>
    </row>
    <row r="9" spans="1:14" s="1674" customFormat="1" ht="14.25" x14ac:dyDescent="0.2">
      <c r="A9" s="1421"/>
      <c r="B9" s="1673"/>
      <c r="C9" s="1420"/>
      <c r="D9" s="1673"/>
      <c r="E9" s="1403"/>
      <c r="G9" s="1675"/>
      <c r="H9" s="1676"/>
      <c r="I9" s="1676"/>
      <c r="J9" s="1676"/>
    </row>
    <row r="10" spans="1:14" ht="14.25" x14ac:dyDescent="0.2">
      <c r="A10" s="1264"/>
      <c r="B10" s="1261"/>
      <c r="C10" s="1262"/>
      <c r="D10" s="1261"/>
      <c r="E10" s="1263"/>
      <c r="G10" s="1086"/>
      <c r="H10" s="1085"/>
      <c r="I10" s="1085"/>
      <c r="J10" s="1085"/>
    </row>
    <row r="11" spans="1:14" ht="33" customHeight="1" x14ac:dyDescent="0.2">
      <c r="A11" s="1264"/>
      <c r="B11" s="1261"/>
      <c r="C11" s="1262"/>
      <c r="D11" s="1261"/>
      <c r="E11" s="1263"/>
      <c r="G11" s="2250"/>
      <c r="H11" s="1085"/>
      <c r="I11" s="1085"/>
      <c r="J11" s="1214"/>
    </row>
    <row r="12" spans="1:14" s="1073" customFormat="1" ht="33" customHeight="1" x14ac:dyDescent="0.2">
      <c r="A12" s="1264"/>
      <c r="B12" s="1266"/>
      <c r="C12" s="1262"/>
      <c r="D12" s="1266"/>
      <c r="E12" s="1263"/>
      <c r="G12" s="1086"/>
      <c r="H12" s="1087"/>
      <c r="I12" s="1087"/>
      <c r="J12" s="1087"/>
    </row>
    <row r="13" spans="1:14" ht="33" customHeight="1" x14ac:dyDescent="0.2">
      <c r="A13" s="1264"/>
      <c r="B13" s="1261"/>
      <c r="C13" s="1262"/>
      <c r="D13" s="1261"/>
      <c r="E13" s="1403"/>
      <c r="G13" s="2250"/>
      <c r="H13" s="1087"/>
      <c r="I13" s="1087"/>
      <c r="J13" s="1087"/>
    </row>
    <row r="14" spans="1:14" ht="14.25" x14ac:dyDescent="0.2">
      <c r="A14" s="1264"/>
      <c r="B14" s="1261"/>
      <c r="C14" s="1262"/>
      <c r="D14" s="1261"/>
      <c r="E14" s="1263"/>
      <c r="G14" s="2250"/>
      <c r="H14" s="1085"/>
      <c r="I14" s="1085"/>
      <c r="J14" s="1085"/>
    </row>
    <row r="15" spans="1:14" ht="25.15" customHeight="1" x14ac:dyDescent="0.2">
      <c r="A15" s="1264"/>
      <c r="B15" s="1261"/>
      <c r="C15" s="1262"/>
      <c r="D15" s="1261"/>
      <c r="E15" s="1263"/>
      <c r="G15" s="2250"/>
      <c r="H15" s="1085"/>
      <c r="I15" s="1085"/>
      <c r="J15" s="1085"/>
    </row>
    <row r="16" spans="1:14" ht="33" customHeight="1" x14ac:dyDescent="0.2">
      <c r="A16" s="1264"/>
      <c r="B16" s="1261"/>
      <c r="C16" s="1262"/>
      <c r="D16" s="1261"/>
      <c r="E16" s="1265"/>
      <c r="G16" s="1084"/>
      <c r="H16" s="1085"/>
      <c r="I16" s="1085"/>
      <c r="J16" s="1085"/>
    </row>
    <row r="17" spans="1:10" ht="33" customHeight="1" x14ac:dyDescent="0.2">
      <c r="A17" s="1082"/>
      <c r="B17" s="1070"/>
      <c r="C17" s="1088"/>
      <c r="D17" s="1070"/>
      <c r="E17" s="1081"/>
      <c r="G17" s="1084"/>
      <c r="H17" s="1085"/>
      <c r="I17" s="1085"/>
      <c r="J17" s="1085"/>
    </row>
    <row r="18" spans="1:10" ht="33" customHeight="1" x14ac:dyDescent="0.2">
      <c r="A18" s="1082"/>
      <c r="B18" s="1070"/>
      <c r="C18" s="1088"/>
      <c r="D18" s="1070"/>
      <c r="E18" s="1081"/>
      <c r="G18" s="1084"/>
      <c r="H18" s="1085"/>
      <c r="I18" s="1085"/>
      <c r="J18" s="1085"/>
    </row>
    <row r="19" spans="1:10" ht="33" customHeight="1" x14ac:dyDescent="0.2">
      <c r="A19" s="1082"/>
      <c r="B19" s="1070"/>
      <c r="C19" s="1088"/>
      <c r="D19" s="1070"/>
      <c r="E19" s="1081"/>
      <c r="G19" s="1084"/>
      <c r="H19" s="1085"/>
      <c r="I19" s="1085"/>
      <c r="J19" s="1085"/>
    </row>
    <row r="20" spans="1:10" ht="33" customHeight="1" x14ac:dyDescent="0.2">
      <c r="A20" s="1082"/>
      <c r="B20" s="1070"/>
      <c r="C20" s="1089"/>
      <c r="D20" s="1070"/>
      <c r="E20" s="1081"/>
      <c r="G20" s="1084"/>
      <c r="H20" s="1085"/>
      <c r="I20" s="1085"/>
      <c r="J20" s="1085"/>
    </row>
    <row r="21" spans="1:10" ht="33" customHeight="1" x14ac:dyDescent="0.2">
      <c r="A21" s="1082"/>
      <c r="B21" s="1070"/>
      <c r="C21" s="1088"/>
      <c r="D21" s="1070"/>
      <c r="E21" s="1081"/>
      <c r="G21" s="1084"/>
      <c r="H21" s="1085"/>
      <c r="I21" s="1085"/>
      <c r="J21" s="1085"/>
    </row>
    <row r="22" spans="1:10" ht="33" customHeight="1" x14ac:dyDescent="0.2">
      <c r="A22" s="1082"/>
      <c r="B22" s="1070"/>
      <c r="C22" s="1088"/>
      <c r="D22" s="1070"/>
      <c r="E22" s="1081"/>
      <c r="G22" s="1084"/>
      <c r="H22" s="1085"/>
      <c r="I22" s="1085"/>
      <c r="J22" s="1085"/>
    </row>
    <row r="23" spans="1:10" ht="33" customHeight="1" x14ac:dyDescent="0.2">
      <c r="A23" s="1082"/>
      <c r="B23" s="1070"/>
      <c r="C23" s="1088"/>
      <c r="D23" s="1070"/>
      <c r="E23" s="1081"/>
      <c r="G23" s="1084"/>
      <c r="H23" s="1085"/>
      <c r="I23" s="1085"/>
      <c r="J23" s="1085"/>
    </row>
    <row r="24" spans="1:10" ht="33" customHeight="1" x14ac:dyDescent="0.2">
      <c r="A24" s="1082"/>
      <c r="B24" s="1070"/>
      <c r="C24" s="1088"/>
      <c r="D24" s="1070"/>
      <c r="E24" s="1081"/>
      <c r="G24" s="1084"/>
      <c r="H24" s="1085"/>
      <c r="I24" s="1085"/>
      <c r="J24" s="1085"/>
    </row>
    <row r="25" spans="1:10" ht="33" customHeight="1" x14ac:dyDescent="0.2">
      <c r="A25" s="1082"/>
      <c r="B25" s="1070"/>
      <c r="C25" s="1088"/>
      <c r="D25" s="1070"/>
      <c r="E25" s="1081"/>
      <c r="G25" s="1084"/>
      <c r="H25" s="1085"/>
      <c r="I25" s="1085"/>
      <c r="J25" s="1085"/>
    </row>
    <row r="26" spans="1:10" ht="33" customHeight="1" x14ac:dyDescent="0.2">
      <c r="A26" s="1082"/>
      <c r="B26" s="1070"/>
      <c r="C26" s="1088"/>
      <c r="D26" s="1070"/>
      <c r="E26" s="1081"/>
      <c r="G26" s="1084"/>
      <c r="H26" s="1085"/>
      <c r="I26" s="1085"/>
      <c r="J26" s="1085"/>
    </row>
    <row r="27" spans="1:10" ht="33" customHeight="1" x14ac:dyDescent="0.2">
      <c r="A27" s="1082"/>
      <c r="B27" s="1070"/>
      <c r="C27" s="1088"/>
      <c r="D27" s="1070"/>
      <c r="E27" s="1081"/>
      <c r="G27" s="1084"/>
      <c r="H27" s="1085"/>
      <c r="I27" s="1085"/>
      <c r="J27" s="1085"/>
    </row>
    <row r="28" spans="1:10" ht="33" customHeight="1" x14ac:dyDescent="0.2">
      <c r="A28" s="1082"/>
      <c r="B28" s="1070"/>
      <c r="C28" s="1088"/>
      <c r="D28" s="1070"/>
      <c r="E28" s="1081"/>
      <c r="G28" s="1084"/>
      <c r="H28" s="1085"/>
      <c r="I28" s="1085"/>
      <c r="J28" s="1085"/>
    </row>
    <row r="29" spans="1:10" ht="33" customHeight="1" x14ac:dyDescent="0.2">
      <c r="A29" s="1082"/>
      <c r="B29" s="1070"/>
      <c r="C29" s="1088"/>
      <c r="D29" s="1070"/>
      <c r="E29" s="1081"/>
      <c r="G29" s="1084"/>
      <c r="H29" s="1085"/>
      <c r="I29" s="1085"/>
      <c r="J29" s="1085"/>
    </row>
    <row r="30" spans="1:10" ht="33" customHeight="1" x14ac:dyDescent="0.2">
      <c r="A30" s="1082"/>
      <c r="B30" s="1070"/>
      <c r="C30" s="1088"/>
      <c r="D30" s="1070"/>
      <c r="E30" s="1081"/>
      <c r="G30" s="1084"/>
      <c r="H30" s="1085"/>
      <c r="I30" s="1085"/>
      <c r="J30" s="1085"/>
    </row>
    <row r="31" spans="1:10" ht="33" customHeight="1" x14ac:dyDescent="0.2">
      <c r="A31" s="1082"/>
      <c r="B31" s="1070"/>
      <c r="C31" s="1088"/>
      <c r="D31" s="1070"/>
      <c r="E31" s="1081"/>
      <c r="G31" s="1084"/>
      <c r="H31" s="1085"/>
      <c r="I31" s="1085"/>
      <c r="J31" s="1085"/>
    </row>
    <row r="32" spans="1:10" ht="33" customHeight="1" x14ac:dyDescent="0.2">
      <c r="A32" s="1083"/>
      <c r="B32" s="1070"/>
      <c r="C32" s="1088"/>
      <c r="D32" s="1070"/>
      <c r="E32" s="1081"/>
      <c r="G32" s="1084"/>
      <c r="H32" s="1085"/>
      <c r="I32" s="1085"/>
      <c r="J32" s="1085"/>
    </row>
    <row r="33" spans="1:10" ht="33" customHeight="1" x14ac:dyDescent="0.2">
      <c r="A33" s="1083"/>
      <c r="B33" s="1070"/>
      <c r="C33" s="1088"/>
      <c r="D33" s="1070"/>
      <c r="E33" s="1081"/>
      <c r="G33" s="1084"/>
      <c r="H33" s="1085"/>
      <c r="I33" s="1085"/>
      <c r="J33" s="1085"/>
    </row>
    <row r="34" spans="1:10" ht="33" customHeight="1" x14ac:dyDescent="0.2">
      <c r="A34" s="1083"/>
      <c r="B34" s="1070"/>
      <c r="C34" s="1088"/>
      <c r="D34" s="1070"/>
      <c r="E34" s="1081"/>
      <c r="G34" s="1084"/>
      <c r="H34" s="1085"/>
      <c r="I34" s="1085"/>
      <c r="J34" s="1085"/>
    </row>
    <row r="35" spans="1:10" ht="14.25" x14ac:dyDescent="0.2">
      <c r="A35" s="1070"/>
      <c r="B35" s="1070"/>
      <c r="C35" s="1077"/>
      <c r="D35" s="1070"/>
      <c r="E35" s="1078"/>
    </row>
    <row r="36" spans="1:10" ht="14.25" x14ac:dyDescent="0.2">
      <c r="A36" s="1070"/>
      <c r="B36" s="1070"/>
      <c r="C36" s="1077"/>
      <c r="D36" s="1070"/>
      <c r="E36" s="1078"/>
    </row>
    <row r="37" spans="1:10" ht="14.25" x14ac:dyDescent="0.2">
      <c r="A37" s="1070"/>
      <c r="B37" s="1070"/>
      <c r="C37" s="1077"/>
      <c r="D37" s="1070"/>
      <c r="E37" s="1078"/>
    </row>
    <row r="38" spans="1:10" ht="14.25" x14ac:dyDescent="0.2">
      <c r="A38" s="1070"/>
      <c r="B38" s="1070"/>
      <c r="C38" s="1077"/>
      <c r="D38" s="1070"/>
      <c r="E38" s="1078"/>
    </row>
    <row r="39" spans="1:10" ht="14.25" x14ac:dyDescent="0.2">
      <c r="A39" s="1070"/>
      <c r="B39" s="1070"/>
      <c r="C39" s="1077"/>
      <c r="D39" s="1070"/>
      <c r="E39" s="1078"/>
    </row>
    <row r="40" spans="1:10" ht="14.25" x14ac:dyDescent="0.2">
      <c r="A40" s="1070"/>
      <c r="B40" s="1070"/>
      <c r="C40" s="1077"/>
      <c r="D40" s="1070"/>
      <c r="E40" s="1078"/>
    </row>
    <row r="41" spans="1:10" ht="14.25" x14ac:dyDescent="0.2">
      <c r="A41" s="1070"/>
      <c r="B41" s="1070"/>
      <c r="C41" s="1077"/>
      <c r="D41" s="1070"/>
      <c r="E41" s="1078"/>
    </row>
    <row r="42" spans="1:10" ht="14.25" x14ac:dyDescent="0.2">
      <c r="A42" s="1070"/>
      <c r="B42" s="1070"/>
      <c r="C42" s="1077"/>
      <c r="D42" s="1070"/>
      <c r="E42" s="1078"/>
    </row>
    <row r="43" spans="1:10" ht="14.25" x14ac:dyDescent="0.2">
      <c r="A43" s="1070"/>
      <c r="B43" s="1070"/>
      <c r="C43" s="1077"/>
      <c r="D43" s="1070"/>
      <c r="E43" s="1078"/>
    </row>
    <row r="44" spans="1:10" ht="14.25" x14ac:dyDescent="0.2">
      <c r="A44" s="1070"/>
      <c r="B44" s="1070"/>
      <c r="C44" s="1077"/>
      <c r="D44" s="1070"/>
      <c r="E44" s="1078"/>
    </row>
    <row r="45" spans="1:10" ht="14.25" x14ac:dyDescent="0.2">
      <c r="A45" s="1070"/>
      <c r="B45" s="1070"/>
      <c r="C45" s="1077"/>
      <c r="D45" s="1070"/>
      <c r="E45" s="1078"/>
    </row>
    <row r="46" spans="1:10" ht="14.25" x14ac:dyDescent="0.2">
      <c r="A46" s="1070"/>
      <c r="B46" s="1070"/>
      <c r="C46" s="1077"/>
      <c r="D46" s="1070"/>
      <c r="E46" s="1078"/>
    </row>
    <row r="47" spans="1:10" ht="14.25" x14ac:dyDescent="0.2">
      <c r="A47" s="1070"/>
      <c r="B47" s="1070"/>
      <c r="C47" s="1077"/>
      <c r="D47" s="1070"/>
      <c r="E47" s="1078"/>
    </row>
    <row r="48" spans="1:10" ht="14.25" x14ac:dyDescent="0.2">
      <c r="A48" s="1070"/>
      <c r="B48" s="1070"/>
      <c r="C48" s="1077"/>
      <c r="D48" s="1070"/>
      <c r="E48" s="1078"/>
    </row>
    <row r="49" spans="1:5" ht="14.25" x14ac:dyDescent="0.2">
      <c r="A49" s="1070"/>
      <c r="B49" s="1070"/>
      <c r="C49" s="1077"/>
      <c r="D49" s="1070"/>
      <c r="E49" s="1078"/>
    </row>
    <row r="50" spans="1:5" ht="14.25" x14ac:dyDescent="0.2">
      <c r="A50" s="1070"/>
      <c r="B50" s="1070"/>
      <c r="C50" s="1077"/>
      <c r="D50" s="1070"/>
      <c r="E50" s="1078"/>
    </row>
    <row r="51" spans="1:5" ht="14.25" x14ac:dyDescent="0.2">
      <c r="A51" s="1070"/>
      <c r="B51" s="1070"/>
      <c r="C51" s="1077"/>
      <c r="D51" s="1070"/>
      <c r="E51" s="1078"/>
    </row>
  </sheetData>
  <sheetProtection algorithmName="SHA-512" hashValue="iSBbtyPLvA3aAThTYmcvds01tp+zr0OG5amu712EnF66cJUvdypMlqOa6DKNwmraGW5CCT6FES4EUu3MksCUYg==" saltValue="rsH7kcC5BI1vFpXULJhiCA==" spinCount="100000" sheet="1" objects="1" scenarios="1" autoFilter="0"/>
  <mergeCells count="3">
    <mergeCell ref="A1:E1"/>
    <mergeCell ref="A2:E2"/>
    <mergeCell ref="G4:J4"/>
  </mergeCells>
  <pageMargins left="0.6" right="0.6" top="0.5" bottom="0.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pageSetUpPr fitToPage="1"/>
  </sheetPr>
  <dimension ref="A1:T1448"/>
  <sheetViews>
    <sheetView showGridLines="0" tabSelected="1" zoomScaleNormal="100" workbookViewId="0">
      <pane ySplit="4" topLeftCell="A5" activePane="bottomLeft" state="frozen"/>
      <selection activeCell="A2" sqref="A2:G2"/>
      <selection pane="bottomLeft" activeCell="R11" sqref="R11"/>
    </sheetView>
  </sheetViews>
  <sheetFormatPr defaultColWidth="9.42578125" defaultRowHeight="15" x14ac:dyDescent="0.25"/>
  <cols>
    <col min="1" max="1" width="10.42578125" style="649" customWidth="1"/>
    <col min="2" max="2" width="8.42578125" style="649" customWidth="1"/>
    <col min="3" max="3" width="8.5703125" style="649" customWidth="1"/>
    <col min="4" max="4" width="9" style="649" hidden="1" customWidth="1"/>
    <col min="5" max="5" width="9" style="649" customWidth="1"/>
    <col min="6" max="9" width="8.42578125" style="649" customWidth="1"/>
    <col min="10" max="10" width="9.5703125" style="649" customWidth="1"/>
    <col min="11" max="11" width="7.5703125" style="649" customWidth="1"/>
    <col min="12" max="12" width="10.5703125" style="649" customWidth="1"/>
    <col min="13" max="14" width="9.42578125" style="649" customWidth="1"/>
    <col min="15" max="15" width="38" style="649" customWidth="1"/>
    <col min="16" max="16" width="6" style="649" customWidth="1"/>
    <col min="17" max="17" width="2.42578125" style="649" customWidth="1"/>
    <col min="18" max="18" width="9.42578125" style="649" customWidth="1"/>
    <col min="19" max="16384" width="9.42578125" style="649"/>
  </cols>
  <sheetData>
    <row r="1" spans="1:16" ht="15.75" x14ac:dyDescent="0.25">
      <c r="A1" s="2420" t="s">
        <v>61</v>
      </c>
      <c r="B1" s="2420"/>
      <c r="C1" s="2420"/>
      <c r="D1" s="2420"/>
      <c r="E1" s="2420"/>
      <c r="F1" s="2420"/>
      <c r="G1" s="2420"/>
      <c r="H1" s="2420"/>
      <c r="I1" s="2420"/>
      <c r="J1" s="2420"/>
      <c r="K1" s="2420"/>
      <c r="L1" s="2420"/>
      <c r="M1" s="2420"/>
      <c r="N1" s="2420"/>
      <c r="O1" s="2420"/>
      <c r="P1" s="1678"/>
    </row>
    <row r="2" spans="1:16" ht="15.75" x14ac:dyDescent="0.25">
      <c r="A2" s="2421" t="str">
        <f>CONCATENATE(YEAR(Data!A2), " ACFR Worksheets")</f>
        <v>2023 ACFR Worksheets</v>
      </c>
      <c r="B2" s="2421"/>
      <c r="C2" s="2421"/>
      <c r="D2" s="2421"/>
      <c r="E2" s="2421"/>
      <c r="F2" s="2421"/>
      <c r="G2" s="2421"/>
      <c r="H2" s="2421"/>
      <c r="I2" s="2421"/>
      <c r="J2" s="2421"/>
      <c r="K2" s="2421"/>
      <c r="L2" s="2421"/>
      <c r="M2" s="2421"/>
      <c r="N2" s="2421"/>
      <c r="O2" s="2421"/>
      <c r="P2" s="1678"/>
    </row>
    <row r="3" spans="1:16" ht="15.75" x14ac:dyDescent="0.25">
      <c r="A3" s="2421" t="s">
        <v>62</v>
      </c>
      <c r="B3" s="2421"/>
      <c r="C3" s="2421"/>
      <c r="D3" s="2421"/>
      <c r="E3" s="2421"/>
      <c r="F3" s="2421"/>
      <c r="G3" s="2421"/>
      <c r="H3" s="2421"/>
      <c r="I3" s="2421"/>
      <c r="J3" s="2421"/>
      <c r="K3" s="2421"/>
      <c r="L3" s="2421"/>
      <c r="M3" s="2421"/>
      <c r="N3" s="2421"/>
      <c r="O3" s="2421"/>
      <c r="P3" s="1678"/>
    </row>
    <row r="4" spans="1:16" x14ac:dyDescent="0.25">
      <c r="A4" s="1677"/>
      <c r="B4" s="1677"/>
      <c r="C4" s="1677"/>
      <c r="D4" s="1677"/>
      <c r="E4" s="1677"/>
      <c r="F4" s="1677"/>
      <c r="G4" s="651"/>
      <c r="H4" s="651"/>
      <c r="I4" s="651"/>
      <c r="J4" s="1677"/>
      <c r="K4" s="1677"/>
      <c r="L4" s="2423" t="s">
        <v>6095</v>
      </c>
      <c r="M4" s="2424"/>
      <c r="N4" s="2424"/>
      <c r="O4" s="2425"/>
      <c r="P4" s="652"/>
    </row>
    <row r="5" spans="1:16" x14ac:dyDescent="0.25">
      <c r="A5" s="653" t="s">
        <v>63</v>
      </c>
      <c r="B5" s="1677"/>
      <c r="C5" s="1677"/>
      <c r="D5" s="1677"/>
      <c r="E5" s="1677"/>
      <c r="F5" s="1677"/>
      <c r="G5" s="691"/>
      <c r="H5" s="1677"/>
      <c r="I5" s="1677"/>
      <c r="J5" s="648"/>
      <c r="K5" s="1677"/>
      <c r="L5" s="1677"/>
      <c r="M5" s="1677"/>
      <c r="N5" s="1677"/>
      <c r="O5" s="1677"/>
      <c r="P5" s="1678"/>
    </row>
    <row r="6" spans="1:16" x14ac:dyDescent="0.25">
      <c r="A6" s="709" t="s">
        <v>64</v>
      </c>
      <c r="B6" s="707"/>
      <c r="C6" s="1677"/>
      <c r="D6" s="1677"/>
      <c r="E6" s="2422" t="s">
        <v>65</v>
      </c>
      <c r="F6" s="2422"/>
      <c r="G6" s="2422"/>
      <c r="H6" s="2422"/>
      <c r="I6" s="2422"/>
      <c r="J6" s="2422"/>
      <c r="K6" s="654" t="s">
        <v>66</v>
      </c>
      <c r="L6" s="1677"/>
      <c r="M6" s="1677"/>
      <c r="N6" s="1677"/>
      <c r="O6" s="1677"/>
      <c r="P6" s="1678"/>
    </row>
    <row r="7" spans="1:16" x14ac:dyDescent="0.25">
      <c r="A7" s="707"/>
      <c r="B7" s="707"/>
      <c r="C7" s="1677"/>
      <c r="D7" s="1677"/>
      <c r="E7" s="1677"/>
      <c r="F7" s="1679"/>
      <c r="G7" s="1679"/>
      <c r="H7" s="1679"/>
      <c r="I7" s="1679"/>
      <c r="J7" s="1679"/>
      <c r="K7" s="1677"/>
      <c r="L7" s="1677"/>
      <c r="M7" s="1677"/>
      <c r="N7" s="1677"/>
      <c r="O7" s="1677"/>
      <c r="P7" s="1678"/>
    </row>
    <row r="8" spans="1:16" x14ac:dyDescent="0.25">
      <c r="A8" s="707" t="s">
        <v>67</v>
      </c>
      <c r="B8" s="707"/>
      <c r="C8" s="1677"/>
      <c r="D8" s="1677"/>
      <c r="E8" s="1677"/>
      <c r="F8" s="1677"/>
      <c r="G8" s="1677"/>
      <c r="H8" s="1677"/>
      <c r="I8" s="1677"/>
      <c r="J8" s="1677"/>
      <c r="K8" s="1677"/>
      <c r="L8" s="1677"/>
      <c r="M8" s="1677"/>
      <c r="N8" s="1677"/>
      <c r="O8" s="1677"/>
      <c r="P8" s="1678"/>
    </row>
    <row r="9" spans="1:16" x14ac:dyDescent="0.25">
      <c r="A9" s="707"/>
      <c r="B9" s="707"/>
      <c r="C9" s="1677"/>
      <c r="D9" s="1677"/>
      <c r="E9" s="1677"/>
      <c r="F9" s="1677"/>
      <c r="G9" s="1677"/>
      <c r="H9" s="1677"/>
      <c r="I9" s="1677"/>
      <c r="J9" s="1677"/>
      <c r="K9" s="1677"/>
      <c r="L9" s="1677"/>
      <c r="M9" s="1677"/>
      <c r="N9" s="1677"/>
      <c r="O9" s="1677"/>
      <c r="P9" s="1678"/>
    </row>
    <row r="10" spans="1:16" x14ac:dyDescent="0.25">
      <c r="A10" s="707"/>
      <c r="B10" s="2412" t="s">
        <v>68</v>
      </c>
      <c r="C10" s="2392"/>
      <c r="D10" s="2392"/>
      <c r="E10" s="2413" t="str">
        <f>INDEX(comptable,MATCH(E6,ConcNum,0),2)</f>
        <v>01</v>
      </c>
      <c r="F10" s="2413"/>
      <c r="G10" s="2413"/>
      <c r="H10" s="2413"/>
      <c r="I10" s="2414"/>
      <c r="J10" s="2204"/>
      <c r="K10" s="654" t="str">
        <f ca="1">IF(Errors!D2,"","Invalid filename!  Please rename your file to:")</f>
        <v>Invalid filename!  Please rename your file to:</v>
      </c>
      <c r="L10" s="1677"/>
      <c r="M10" s="654"/>
      <c r="N10" s="654"/>
      <c r="O10" s="654"/>
      <c r="P10" s="1678"/>
    </row>
    <row r="11" spans="1:16" x14ac:dyDescent="0.25">
      <c r="A11" s="707"/>
      <c r="B11" s="2412" t="s">
        <v>69</v>
      </c>
      <c r="C11" s="2392"/>
      <c r="D11" s="2392"/>
      <c r="E11" s="2413" t="str">
        <f>IF(ISNA(MATCH(TEXT(AgyIdx,"00"),compnumtxt,0)),"INVALID COMPANY NUMBER",INDEX(comptable,MATCH(TEXT(AgyIdx,"00"),compnumtxt,0),3))</f>
        <v>North Carolina General Assembly</v>
      </c>
      <c r="F11" s="2413"/>
      <c r="G11" s="2413"/>
      <c r="H11" s="2413"/>
      <c r="I11" s="2414"/>
      <c r="J11" s="2204"/>
      <c r="K11" s="2408" t="str">
        <f ca="1">IF(K10="","",E10&amp;"p.xlsx")</f>
        <v>01p.xlsx</v>
      </c>
      <c r="L11" s="2408"/>
      <c r="M11" s="2408"/>
      <c r="N11" s="2408"/>
      <c r="O11" s="1677"/>
      <c r="P11" s="1678"/>
    </row>
    <row r="12" spans="1:16" x14ac:dyDescent="0.25">
      <c r="A12" s="707"/>
      <c r="B12" s="2412" t="s">
        <v>70</v>
      </c>
      <c r="C12" s="2392"/>
      <c r="D12" s="2392"/>
      <c r="E12" s="2410"/>
      <c r="F12" s="2410"/>
      <c r="G12" s="2410"/>
      <c r="H12" s="2410"/>
      <c r="I12" s="2411"/>
      <c r="J12" s="655"/>
      <c r="K12" s="656" t="str">
        <f>IF(ISBLANK(E12),"Enter preparer name!","")</f>
        <v>Enter preparer name!</v>
      </c>
      <c r="L12" s="1680"/>
      <c r="M12" s="1680"/>
      <c r="N12" s="1680"/>
      <c r="O12" s="1680"/>
      <c r="P12" s="1678"/>
    </row>
    <row r="13" spans="1:16" x14ac:dyDescent="0.25">
      <c r="A13" s="707"/>
      <c r="B13" s="2205" t="s">
        <v>71</v>
      </c>
      <c r="C13" s="2197"/>
      <c r="D13" s="2197"/>
      <c r="E13" s="2409"/>
      <c r="F13" s="2410"/>
      <c r="G13" s="2410"/>
      <c r="H13" s="2410"/>
      <c r="I13" s="2411"/>
      <c r="J13" s="655"/>
      <c r="K13" s="656" t="str">
        <f>IF(ISBLANK(E13),"Enter email address!","")</f>
        <v>Enter email address!</v>
      </c>
      <c r="L13" s="1680"/>
      <c r="M13" s="1680"/>
      <c r="N13" s="1680"/>
      <c r="O13" s="1680"/>
      <c r="P13" s="1678"/>
    </row>
    <row r="14" spans="1:16" ht="31.15" customHeight="1" x14ac:dyDescent="0.25">
      <c r="A14" s="707"/>
      <c r="B14" s="2412" t="s">
        <v>72</v>
      </c>
      <c r="C14" s="2392"/>
      <c r="D14" s="2392"/>
      <c r="E14" s="2410"/>
      <c r="F14" s="2410"/>
      <c r="G14" s="2410"/>
      <c r="H14" s="2410"/>
      <c r="I14" s="2411"/>
      <c r="J14" s="657"/>
      <c r="K14" s="2419" t="str">
        <f>IF(ISBLANK(E14),"Enter preparer phone number, including area code and extension!","")</f>
        <v>Enter preparer phone number, including area code and extension!</v>
      </c>
      <c r="L14" s="2419"/>
      <c r="M14" s="2419"/>
      <c r="N14" s="2419"/>
      <c r="O14" s="2419"/>
      <c r="P14" s="2419"/>
    </row>
    <row r="15" spans="1:16" x14ac:dyDescent="0.25">
      <c r="A15" s="707"/>
      <c r="B15" s="707"/>
      <c r="C15" s="1677"/>
      <c r="D15" s="1677"/>
      <c r="E15" s="1681"/>
      <c r="F15" s="1677"/>
      <c r="G15" s="1677"/>
      <c r="H15" s="1677"/>
      <c r="I15" s="1677"/>
      <c r="J15" s="1680"/>
      <c r="K15" s="1680"/>
      <c r="L15" s="1680"/>
      <c r="M15" s="1680"/>
      <c r="N15" s="1680"/>
      <c r="O15" s="1680"/>
      <c r="P15" s="1678"/>
    </row>
    <row r="16" spans="1:16" ht="42.75" x14ac:dyDescent="0.25">
      <c r="A16" s="710" t="s">
        <v>73</v>
      </c>
      <c r="B16" s="711" t="s">
        <v>74</v>
      </c>
      <c r="C16" s="711" t="s">
        <v>75</v>
      </c>
      <c r="D16" s="660"/>
      <c r="E16" s="2426" t="s">
        <v>76</v>
      </c>
      <c r="F16" s="2426"/>
      <c r="G16" s="2426"/>
      <c r="H16" s="2426"/>
      <c r="I16" s="2426"/>
      <c r="J16" s="2426"/>
      <c r="K16" s="2426"/>
      <c r="L16" s="2426"/>
      <c r="M16" s="2426"/>
      <c r="N16" s="2426"/>
      <c r="O16" s="2426"/>
      <c r="P16" s="2207" t="s">
        <v>77</v>
      </c>
    </row>
    <row r="17" spans="1:20" s="659" customFormat="1" x14ac:dyDescent="0.25">
      <c r="A17" s="712">
        <v>101</v>
      </c>
      <c r="B17" s="713"/>
      <c r="C17" s="1199" t="s">
        <v>78</v>
      </c>
      <c r="D17" s="662"/>
      <c r="E17" s="2386" t="s">
        <v>79</v>
      </c>
      <c r="F17" s="2387"/>
      <c r="G17" s="2387"/>
      <c r="H17" s="2387"/>
      <c r="I17" s="2387"/>
      <c r="J17" s="2387"/>
      <c r="K17" s="2387"/>
      <c r="L17" s="2387"/>
      <c r="M17" s="2387"/>
      <c r="N17" s="2387"/>
      <c r="O17" s="2388"/>
      <c r="P17" s="661"/>
      <c r="Q17" s="1682"/>
      <c r="R17" s="1682"/>
      <c r="S17" s="1682"/>
      <c r="T17" s="1682"/>
    </row>
    <row r="18" spans="1:20" s="659" customFormat="1" x14ac:dyDescent="0.25">
      <c r="A18" s="712">
        <v>105</v>
      </c>
      <c r="B18" s="714"/>
      <c r="C18" s="1199" t="s">
        <v>78</v>
      </c>
      <c r="D18" s="662" t="str">
        <f t="shared" ref="D18:D99" si="0">IF(B18="NA","",IF(Q18&lt;&gt;0,"E",""))</f>
        <v/>
      </c>
      <c r="E18" s="2386" t="s">
        <v>80</v>
      </c>
      <c r="F18" s="2387"/>
      <c r="G18" s="2387"/>
      <c r="H18" s="2387"/>
      <c r="I18" s="2387"/>
      <c r="J18" s="2387"/>
      <c r="K18" s="2387"/>
      <c r="L18" s="2387"/>
      <c r="M18" s="2387"/>
      <c r="N18" s="2387"/>
      <c r="O18" s="2388"/>
      <c r="P18" s="661"/>
      <c r="Q18" s="1682"/>
      <c r="R18" s="1682"/>
      <c r="S18" s="1682"/>
      <c r="T18" s="1682"/>
    </row>
    <row r="19" spans="1:20" s="659" customFormat="1" x14ac:dyDescent="0.25">
      <c r="A19" s="712">
        <v>110</v>
      </c>
      <c r="B19" s="713"/>
      <c r="C19" s="1075"/>
      <c r="D19" s="662" t="str">
        <f>IF(B19="NA","",IF(Q19&lt;&gt;0,"E",""))</f>
        <v/>
      </c>
      <c r="E19" s="2386" t="s">
        <v>81</v>
      </c>
      <c r="F19" s="2387"/>
      <c r="G19" s="2387"/>
      <c r="H19" s="2387"/>
      <c r="I19" s="2387"/>
      <c r="J19" s="2387"/>
      <c r="K19" s="2387"/>
      <c r="L19" s="2387"/>
      <c r="M19" s="2387"/>
      <c r="N19" s="2387"/>
      <c r="O19" s="2388"/>
      <c r="P19" s="661" t="s">
        <v>82</v>
      </c>
      <c r="Q19" s="1682"/>
      <c r="R19" s="1682"/>
      <c r="S19" s="1682"/>
      <c r="T19" s="1682"/>
    </row>
    <row r="20" spans="1:20" s="659" customFormat="1" x14ac:dyDescent="0.25">
      <c r="A20" s="712">
        <v>120</v>
      </c>
      <c r="B20" s="713"/>
      <c r="C20" s="1059"/>
      <c r="D20" s="662" t="str">
        <f>IF(B20="NA","",IF(Q20&lt;&gt;0,"E",""))</f>
        <v/>
      </c>
      <c r="E20" s="2386" t="s">
        <v>83</v>
      </c>
      <c r="F20" s="2387"/>
      <c r="G20" s="2387"/>
      <c r="H20" s="2387"/>
      <c r="I20" s="2387"/>
      <c r="J20" s="2387"/>
      <c r="K20" s="2387"/>
      <c r="L20" s="2387"/>
      <c r="M20" s="2387"/>
      <c r="N20" s="2387"/>
      <c r="O20" s="2388"/>
      <c r="P20" s="661" t="s">
        <v>82</v>
      </c>
      <c r="Q20" s="1682"/>
      <c r="R20" s="1682"/>
      <c r="S20" s="1682"/>
      <c r="T20" s="1682"/>
    </row>
    <row r="21" spans="1:20" s="659" customFormat="1" x14ac:dyDescent="0.25">
      <c r="A21" s="1304">
        <v>201</v>
      </c>
      <c r="B21" s="714"/>
      <c r="C21" s="1075"/>
      <c r="D21" s="662" t="str">
        <f t="shared" si="0"/>
        <v/>
      </c>
      <c r="E21" s="2386" t="s">
        <v>84</v>
      </c>
      <c r="F21" s="2387"/>
      <c r="G21" s="2387"/>
      <c r="H21" s="2387"/>
      <c r="I21" s="2387"/>
      <c r="J21" s="2387"/>
      <c r="K21" s="2387"/>
      <c r="L21" s="2387"/>
      <c r="M21" s="2387"/>
      <c r="N21" s="2387"/>
      <c r="O21" s="2388"/>
      <c r="P21" s="661" t="s">
        <v>85</v>
      </c>
      <c r="Q21" s="1682"/>
      <c r="R21" s="1682"/>
      <c r="S21" s="1682"/>
      <c r="T21" s="1682"/>
    </row>
    <row r="22" spans="1:20" s="659" customFormat="1" x14ac:dyDescent="0.25">
      <c r="A22" s="712">
        <v>202</v>
      </c>
      <c r="B22" s="714"/>
      <c r="C22" s="1075"/>
      <c r="D22" s="662"/>
      <c r="E22" s="2386" t="s">
        <v>86</v>
      </c>
      <c r="F22" s="2387"/>
      <c r="G22" s="2387"/>
      <c r="H22" s="2387"/>
      <c r="I22" s="2387"/>
      <c r="J22" s="2387"/>
      <c r="K22" s="2387"/>
      <c r="L22" s="2387"/>
      <c r="M22" s="2387"/>
      <c r="N22" s="2387"/>
      <c r="O22" s="2388"/>
      <c r="P22" s="661" t="s">
        <v>85</v>
      </c>
      <c r="Q22" s="1682"/>
      <c r="R22" s="1682"/>
      <c r="S22" s="1682"/>
      <c r="T22" s="1682"/>
    </row>
    <row r="23" spans="1:20" s="659" customFormat="1" x14ac:dyDescent="0.25">
      <c r="A23" s="712">
        <v>203</v>
      </c>
      <c r="B23" s="714"/>
      <c r="C23" s="1075"/>
      <c r="D23" s="662"/>
      <c r="E23" s="2386" t="s">
        <v>87</v>
      </c>
      <c r="F23" s="2387"/>
      <c r="G23" s="2387"/>
      <c r="H23" s="2387"/>
      <c r="I23" s="2387"/>
      <c r="J23" s="2387"/>
      <c r="K23" s="2387"/>
      <c r="L23" s="2387"/>
      <c r="M23" s="2387"/>
      <c r="N23" s="2387"/>
      <c r="O23" s="2388"/>
      <c r="P23" s="661" t="s">
        <v>88</v>
      </c>
      <c r="Q23" s="1682"/>
      <c r="R23" s="1682"/>
      <c r="S23" s="1682"/>
      <c r="T23" s="1682"/>
    </row>
    <row r="24" spans="1:20" s="659" customFormat="1" x14ac:dyDescent="0.25">
      <c r="A24" s="712">
        <v>210</v>
      </c>
      <c r="B24" s="714"/>
      <c r="C24" s="1199" t="s">
        <v>78</v>
      </c>
      <c r="D24" s="662" t="str">
        <f t="shared" si="0"/>
        <v/>
      </c>
      <c r="E24" s="2386" t="s">
        <v>89</v>
      </c>
      <c r="F24" s="2387"/>
      <c r="G24" s="2387"/>
      <c r="H24" s="2387"/>
      <c r="I24" s="2387"/>
      <c r="J24" s="2387"/>
      <c r="K24" s="2387"/>
      <c r="L24" s="2387"/>
      <c r="M24" s="2387"/>
      <c r="N24" s="2387"/>
      <c r="O24" s="2388"/>
      <c r="P24" s="661" t="s">
        <v>90</v>
      </c>
      <c r="Q24" s="1682"/>
      <c r="R24" s="1682"/>
      <c r="S24" s="1682"/>
      <c r="T24" s="1682"/>
    </row>
    <row r="25" spans="1:20" s="659" customFormat="1" x14ac:dyDescent="0.25">
      <c r="A25" s="712">
        <v>215</v>
      </c>
      <c r="B25" s="714"/>
      <c r="C25" s="1075"/>
      <c r="D25" s="662" t="str">
        <f t="shared" si="0"/>
        <v/>
      </c>
      <c r="E25" s="2386" t="s">
        <v>91</v>
      </c>
      <c r="F25" s="2387"/>
      <c r="G25" s="2387"/>
      <c r="H25" s="2387"/>
      <c r="I25" s="2387"/>
      <c r="J25" s="2387"/>
      <c r="K25" s="2387"/>
      <c r="L25" s="2387"/>
      <c r="M25" s="2387"/>
      <c r="N25" s="2387"/>
      <c r="O25" s="2388"/>
      <c r="P25" s="661" t="s">
        <v>82</v>
      </c>
      <c r="Q25" s="1682"/>
      <c r="R25" s="1682"/>
      <c r="S25" s="1682"/>
      <c r="T25" s="1682"/>
    </row>
    <row r="26" spans="1:20" s="659" customFormat="1" x14ac:dyDescent="0.25">
      <c r="A26" s="712">
        <v>220</v>
      </c>
      <c r="B26" s="714"/>
      <c r="C26" s="1199" t="s">
        <v>78</v>
      </c>
      <c r="D26" s="662" t="str">
        <f t="shared" si="0"/>
        <v/>
      </c>
      <c r="E26" s="2386" t="s">
        <v>92</v>
      </c>
      <c r="F26" s="2387"/>
      <c r="G26" s="2387"/>
      <c r="H26" s="2387"/>
      <c r="I26" s="2387"/>
      <c r="J26" s="2387"/>
      <c r="K26" s="2387"/>
      <c r="L26" s="2387"/>
      <c r="M26" s="2387"/>
      <c r="N26" s="2387"/>
      <c r="O26" s="2388"/>
      <c r="P26" s="661"/>
      <c r="Q26" s="1682"/>
      <c r="R26" s="1682"/>
      <c r="S26" s="1682"/>
      <c r="T26" s="1682"/>
    </row>
    <row r="27" spans="1:20" s="659" customFormat="1" x14ac:dyDescent="0.25">
      <c r="A27" s="712">
        <v>301</v>
      </c>
      <c r="B27" s="714"/>
      <c r="C27" s="1075"/>
      <c r="D27" s="662" t="str">
        <f t="shared" si="0"/>
        <v/>
      </c>
      <c r="E27" s="2386" t="s">
        <v>93</v>
      </c>
      <c r="F27" s="2387"/>
      <c r="G27" s="2387"/>
      <c r="H27" s="2387"/>
      <c r="I27" s="2387"/>
      <c r="J27" s="2387"/>
      <c r="K27" s="2387"/>
      <c r="L27" s="2387"/>
      <c r="M27" s="2387"/>
      <c r="N27" s="2387"/>
      <c r="O27" s="2388"/>
      <c r="P27" s="661" t="s">
        <v>82</v>
      </c>
      <c r="Q27" s="1682"/>
      <c r="R27" s="1682"/>
      <c r="S27" s="1682"/>
      <c r="T27" s="2041"/>
    </row>
    <row r="28" spans="1:20" s="659" customFormat="1" x14ac:dyDescent="0.25">
      <c r="A28" s="712">
        <v>302</v>
      </c>
      <c r="B28" s="714"/>
      <c r="C28" s="1075"/>
      <c r="D28" s="662"/>
      <c r="E28" s="2194" t="s">
        <v>94</v>
      </c>
      <c r="F28" s="2195"/>
      <c r="G28" s="2195"/>
      <c r="H28" s="2195"/>
      <c r="I28" s="2195"/>
      <c r="J28" s="2195"/>
      <c r="K28" s="2195"/>
      <c r="L28" s="2195"/>
      <c r="M28" s="2195"/>
      <c r="N28" s="2195"/>
      <c r="O28" s="2196"/>
      <c r="P28" s="661" t="s">
        <v>82</v>
      </c>
      <c r="Q28" s="1682"/>
      <c r="R28" s="1682"/>
      <c r="S28" s="1682"/>
      <c r="T28" s="2041"/>
    </row>
    <row r="29" spans="1:20" s="659" customFormat="1" x14ac:dyDescent="0.25">
      <c r="A29" s="712">
        <v>303</v>
      </c>
      <c r="B29" s="714"/>
      <c r="C29" s="1075"/>
      <c r="D29" s="662"/>
      <c r="E29" s="2194" t="s">
        <v>95</v>
      </c>
      <c r="F29" s="2195"/>
      <c r="G29" s="2195"/>
      <c r="H29" s="2195"/>
      <c r="I29" s="2195"/>
      <c r="J29" s="2195"/>
      <c r="K29" s="2195"/>
      <c r="L29" s="2195"/>
      <c r="M29" s="2195"/>
      <c r="N29" s="2195"/>
      <c r="O29" s="2196"/>
      <c r="P29" s="661"/>
      <c r="Q29" s="1682"/>
      <c r="R29" s="1682"/>
      <c r="S29" s="1682"/>
      <c r="T29" s="2041"/>
    </row>
    <row r="30" spans="1:20" s="659" customFormat="1" x14ac:dyDescent="0.25">
      <c r="A30" s="712">
        <v>305</v>
      </c>
      <c r="B30" s="714"/>
      <c r="C30" s="1075"/>
      <c r="D30" s="662" t="str">
        <f t="shared" si="0"/>
        <v/>
      </c>
      <c r="E30" s="2386" t="s">
        <v>96</v>
      </c>
      <c r="F30" s="2387"/>
      <c r="G30" s="2387"/>
      <c r="H30" s="2387"/>
      <c r="I30" s="2387"/>
      <c r="J30" s="2387"/>
      <c r="K30" s="2387"/>
      <c r="L30" s="2387"/>
      <c r="M30" s="2387"/>
      <c r="N30" s="2387"/>
      <c r="O30" s="2388"/>
      <c r="P30" s="661" t="s">
        <v>97</v>
      </c>
      <c r="Q30" s="1682"/>
      <c r="R30" s="1682"/>
      <c r="S30" s="1682"/>
      <c r="T30" s="1682"/>
    </row>
    <row r="31" spans="1:20" s="659" customFormat="1" x14ac:dyDescent="0.25">
      <c r="A31" s="122">
        <v>306</v>
      </c>
      <c r="B31" s="1683" t="s">
        <v>78</v>
      </c>
      <c r="C31" s="1075"/>
      <c r="D31" s="662" t="str">
        <f>IF(B31="NA","",IF(Q31&lt;&gt;0,"E",""))</f>
        <v/>
      </c>
      <c r="E31" s="2394" t="s">
        <v>98</v>
      </c>
      <c r="F31" s="2392"/>
      <c r="G31" s="2392"/>
      <c r="H31" s="2392"/>
      <c r="I31" s="2392"/>
      <c r="J31" s="2392"/>
      <c r="K31" s="2392"/>
      <c r="L31" s="2392"/>
      <c r="M31" s="2392"/>
      <c r="N31" s="2392"/>
      <c r="O31" s="2393"/>
      <c r="P31" s="661" t="s">
        <v>82</v>
      </c>
      <c r="Q31" s="1682"/>
      <c r="R31" s="1682"/>
      <c r="S31" s="1682"/>
      <c r="T31" s="1682"/>
    </row>
    <row r="32" spans="1:20" s="659" customFormat="1" x14ac:dyDescent="0.25">
      <c r="A32" s="712">
        <v>310</v>
      </c>
      <c r="B32" s="714"/>
      <c r="C32" s="1075"/>
      <c r="D32" s="662" t="str">
        <f t="shared" si="0"/>
        <v/>
      </c>
      <c r="E32" s="2386" t="s">
        <v>99</v>
      </c>
      <c r="F32" s="2387"/>
      <c r="G32" s="2387"/>
      <c r="H32" s="2387"/>
      <c r="I32" s="2387"/>
      <c r="J32" s="2387"/>
      <c r="K32" s="2387"/>
      <c r="L32" s="2387"/>
      <c r="M32" s="2387"/>
      <c r="N32" s="2387"/>
      <c r="O32" s="2388"/>
      <c r="P32" s="661" t="s">
        <v>97</v>
      </c>
      <c r="Q32" s="1682"/>
      <c r="R32" s="1682"/>
      <c r="S32" s="1682"/>
      <c r="T32" s="1682"/>
    </row>
    <row r="33" spans="1:20" s="659" customFormat="1" x14ac:dyDescent="0.25">
      <c r="A33" s="122">
        <v>311</v>
      </c>
      <c r="B33" s="1683" t="s">
        <v>78</v>
      </c>
      <c r="C33" s="1075"/>
      <c r="D33" s="662" t="str">
        <f t="shared" si="0"/>
        <v/>
      </c>
      <c r="E33" s="2394" t="s">
        <v>100</v>
      </c>
      <c r="F33" s="2392"/>
      <c r="G33" s="2392"/>
      <c r="H33" s="2392"/>
      <c r="I33" s="2392"/>
      <c r="J33" s="2392"/>
      <c r="K33" s="2392"/>
      <c r="L33" s="2392"/>
      <c r="M33" s="2392"/>
      <c r="N33" s="2392"/>
      <c r="O33" s="2393"/>
      <c r="P33" s="661" t="s">
        <v>82</v>
      </c>
      <c r="Q33" s="1682"/>
      <c r="R33" s="1682"/>
      <c r="S33" s="1682"/>
      <c r="T33" s="1682"/>
    </row>
    <row r="34" spans="1:20" s="659" customFormat="1" ht="29.25" customHeight="1" x14ac:dyDescent="0.25">
      <c r="A34" s="712">
        <v>315</v>
      </c>
      <c r="B34" s="714"/>
      <c r="C34" s="1199" t="s">
        <v>78</v>
      </c>
      <c r="D34" s="662" t="str">
        <f t="shared" si="0"/>
        <v/>
      </c>
      <c r="E34" s="2389" t="s">
        <v>101</v>
      </c>
      <c r="F34" s="2390"/>
      <c r="G34" s="2390"/>
      <c r="H34" s="2390"/>
      <c r="I34" s="2390"/>
      <c r="J34" s="2390"/>
      <c r="K34" s="2390"/>
      <c r="L34" s="2390"/>
      <c r="M34" s="2390"/>
      <c r="N34" s="2390"/>
      <c r="O34" s="2391"/>
      <c r="P34" s="661"/>
      <c r="Q34" s="1682"/>
      <c r="R34" s="1682"/>
      <c r="S34" s="1682"/>
      <c r="T34" s="1682"/>
    </row>
    <row r="35" spans="1:20" s="659" customFormat="1" ht="30.75" customHeight="1" x14ac:dyDescent="0.25">
      <c r="A35" s="712">
        <v>320</v>
      </c>
      <c r="B35" s="714"/>
      <c r="C35" s="1199" t="s">
        <v>78</v>
      </c>
      <c r="D35" s="662" t="str">
        <f>IF(B35="NA","",IF(Q35&lt;&gt;0,"E",""))</f>
        <v/>
      </c>
      <c r="E35" s="2389" t="s">
        <v>102</v>
      </c>
      <c r="F35" s="2390"/>
      <c r="G35" s="2390"/>
      <c r="H35" s="2390"/>
      <c r="I35" s="2390"/>
      <c r="J35" s="2390"/>
      <c r="K35" s="2390"/>
      <c r="L35" s="2390"/>
      <c r="M35" s="2390"/>
      <c r="N35" s="2390"/>
      <c r="O35" s="2391"/>
      <c r="P35" s="661"/>
      <c r="Q35" s="1682"/>
      <c r="R35" s="1682"/>
      <c r="S35" s="1682"/>
      <c r="T35" s="1682"/>
    </row>
    <row r="36" spans="1:20" s="659" customFormat="1" x14ac:dyDescent="0.25">
      <c r="A36" s="712">
        <v>322</v>
      </c>
      <c r="B36" s="714"/>
      <c r="C36" s="1075"/>
      <c r="D36" s="662"/>
      <c r="E36" s="2386" t="s">
        <v>103</v>
      </c>
      <c r="F36" s="2387"/>
      <c r="G36" s="2387"/>
      <c r="H36" s="2387"/>
      <c r="I36" s="2387"/>
      <c r="J36" s="2387"/>
      <c r="K36" s="2387"/>
      <c r="L36" s="2387"/>
      <c r="M36" s="2387"/>
      <c r="N36" s="2387"/>
      <c r="O36" s="2388"/>
      <c r="P36" s="661" t="s">
        <v>82</v>
      </c>
      <c r="Q36" s="1682"/>
      <c r="R36" s="1682"/>
      <c r="S36" s="1682"/>
      <c r="T36" s="1682"/>
    </row>
    <row r="37" spans="1:20" s="659" customFormat="1" x14ac:dyDescent="0.25">
      <c r="A37" s="712">
        <v>323</v>
      </c>
      <c r="B37" s="714"/>
      <c r="C37" s="1075"/>
      <c r="D37" s="662"/>
      <c r="E37" s="2415" t="s">
        <v>104</v>
      </c>
      <c r="F37" s="2416"/>
      <c r="G37" s="2416"/>
      <c r="H37" s="2416"/>
      <c r="I37" s="2416"/>
      <c r="J37" s="2416"/>
      <c r="K37" s="2416"/>
      <c r="L37" s="2416"/>
      <c r="M37" s="2416"/>
      <c r="N37" s="2416"/>
      <c r="O37" s="2417"/>
      <c r="P37" s="661" t="s">
        <v>82</v>
      </c>
      <c r="Q37" s="1682"/>
      <c r="R37" s="1682"/>
      <c r="S37" s="1682"/>
      <c r="T37" s="1682"/>
    </row>
    <row r="38" spans="1:20" s="659" customFormat="1" x14ac:dyDescent="0.25">
      <c r="A38" s="661">
        <v>325</v>
      </c>
      <c r="B38" s="714"/>
      <c r="C38" s="1199" t="s">
        <v>78</v>
      </c>
      <c r="D38" s="662" t="str">
        <f t="shared" si="0"/>
        <v/>
      </c>
      <c r="E38" s="2386" t="s">
        <v>105</v>
      </c>
      <c r="F38" s="2387"/>
      <c r="G38" s="2387"/>
      <c r="H38" s="2387"/>
      <c r="I38" s="2387"/>
      <c r="J38" s="2387"/>
      <c r="K38" s="2387"/>
      <c r="L38" s="2387"/>
      <c r="M38" s="2387"/>
      <c r="N38" s="2387"/>
      <c r="O38" s="2388"/>
      <c r="P38" s="661"/>
      <c r="Q38" s="1682"/>
      <c r="R38" s="1682"/>
      <c r="S38" s="1682"/>
      <c r="T38" s="1682"/>
    </row>
    <row r="39" spans="1:20" s="659" customFormat="1" x14ac:dyDescent="0.25">
      <c r="A39" s="122">
        <v>326</v>
      </c>
      <c r="B39" s="1199" t="s">
        <v>78</v>
      </c>
      <c r="C39" s="1075"/>
      <c r="D39" s="662" t="str">
        <f>IF(B39="NA","",IF(Q39&lt;&gt;0,"E",""))</f>
        <v/>
      </c>
      <c r="E39" s="2394" t="s">
        <v>106</v>
      </c>
      <c r="F39" s="2392"/>
      <c r="G39" s="2392"/>
      <c r="H39" s="2392"/>
      <c r="I39" s="2392"/>
      <c r="J39" s="2392"/>
      <c r="K39" s="2392"/>
      <c r="L39" s="2392"/>
      <c r="M39" s="2392"/>
      <c r="N39" s="2392"/>
      <c r="O39" s="2393"/>
      <c r="P39" s="661" t="s">
        <v>82</v>
      </c>
      <c r="Q39" s="1682"/>
      <c r="R39" s="1682"/>
      <c r="S39" s="1682"/>
      <c r="T39" s="1682"/>
    </row>
    <row r="40" spans="1:20" s="659" customFormat="1" x14ac:dyDescent="0.25">
      <c r="A40" s="661">
        <v>330</v>
      </c>
      <c r="B40" s="1059"/>
      <c r="C40" s="1075"/>
      <c r="D40" s="662" t="str">
        <f t="shared" si="0"/>
        <v/>
      </c>
      <c r="E40" s="2386" t="s">
        <v>107</v>
      </c>
      <c r="F40" s="2387"/>
      <c r="G40" s="2387"/>
      <c r="H40" s="2387"/>
      <c r="I40" s="2387"/>
      <c r="J40" s="2387"/>
      <c r="K40" s="2387"/>
      <c r="L40" s="2387"/>
      <c r="M40" s="2387"/>
      <c r="N40" s="2387"/>
      <c r="O40" s="2388"/>
      <c r="P40" s="661" t="s">
        <v>82</v>
      </c>
      <c r="Q40" s="1682"/>
      <c r="R40" s="1682"/>
      <c r="S40" s="1682"/>
      <c r="T40" s="1682"/>
    </row>
    <row r="41" spans="1:20" s="659" customFormat="1" x14ac:dyDescent="0.25">
      <c r="A41" s="122">
        <v>335</v>
      </c>
      <c r="B41" s="1683" t="s">
        <v>78</v>
      </c>
      <c r="C41" s="1075"/>
      <c r="D41" s="662" t="str">
        <f t="shared" si="0"/>
        <v/>
      </c>
      <c r="E41" s="2394" t="s">
        <v>108</v>
      </c>
      <c r="F41" s="2392"/>
      <c r="G41" s="2392"/>
      <c r="H41" s="2392"/>
      <c r="I41" s="2392"/>
      <c r="J41" s="2392"/>
      <c r="K41" s="2392"/>
      <c r="L41" s="2392"/>
      <c r="M41" s="2392"/>
      <c r="N41" s="2392"/>
      <c r="O41" s="2393"/>
      <c r="P41" s="661" t="s">
        <v>82</v>
      </c>
      <c r="Q41" s="1682"/>
      <c r="R41" s="1682"/>
      <c r="S41" s="1682"/>
      <c r="T41" s="1682"/>
    </row>
    <row r="42" spans="1:20" s="659" customFormat="1" x14ac:dyDescent="0.25">
      <c r="A42" s="661">
        <v>338</v>
      </c>
      <c r="B42" s="1059"/>
      <c r="C42" s="1075"/>
      <c r="D42" s="662"/>
      <c r="E42" s="2386" t="s">
        <v>109</v>
      </c>
      <c r="F42" s="2387"/>
      <c r="G42" s="2387"/>
      <c r="H42" s="2387"/>
      <c r="I42" s="2387"/>
      <c r="J42" s="2387"/>
      <c r="K42" s="2387"/>
      <c r="L42" s="2387"/>
      <c r="M42" s="2387"/>
      <c r="N42" s="2387"/>
      <c r="O42" s="2388"/>
      <c r="P42" s="661" t="s">
        <v>82</v>
      </c>
      <c r="Q42" s="1682"/>
      <c r="R42" s="1682"/>
      <c r="S42" s="1682"/>
      <c r="T42" s="1682"/>
    </row>
    <row r="43" spans="1:20" s="659" customFormat="1" x14ac:dyDescent="0.25">
      <c r="A43" s="661">
        <v>340</v>
      </c>
      <c r="B43" s="1059"/>
      <c r="C43" s="1075"/>
      <c r="D43" s="662"/>
      <c r="E43" s="2386" t="s">
        <v>110</v>
      </c>
      <c r="F43" s="2392"/>
      <c r="G43" s="2392"/>
      <c r="H43" s="2392"/>
      <c r="I43" s="2392"/>
      <c r="J43" s="2392"/>
      <c r="K43" s="2392"/>
      <c r="L43" s="2392"/>
      <c r="M43" s="2392"/>
      <c r="N43" s="2392"/>
      <c r="O43" s="2393"/>
      <c r="P43" s="661" t="s">
        <v>82</v>
      </c>
      <c r="Q43" s="1682"/>
      <c r="R43" s="1682"/>
      <c r="S43" s="1682"/>
      <c r="T43" s="1682"/>
    </row>
    <row r="44" spans="1:20" s="659" customFormat="1" x14ac:dyDescent="0.25">
      <c r="A44" s="661">
        <v>341</v>
      </c>
      <c r="B44" s="1059"/>
      <c r="C44" s="1075"/>
      <c r="D44" s="662"/>
      <c r="E44" s="2386" t="s">
        <v>111</v>
      </c>
      <c r="F44" s="2392"/>
      <c r="G44" s="2392"/>
      <c r="H44" s="2392"/>
      <c r="I44" s="2392"/>
      <c r="J44" s="2392"/>
      <c r="K44" s="2392"/>
      <c r="L44" s="2392"/>
      <c r="M44" s="2392"/>
      <c r="N44" s="2392"/>
      <c r="O44" s="2393"/>
      <c r="P44" s="661" t="s">
        <v>82</v>
      </c>
      <c r="Q44" s="1682"/>
      <c r="R44" s="1682"/>
      <c r="S44" s="1682"/>
      <c r="T44" s="1682"/>
    </row>
    <row r="45" spans="1:20" s="659" customFormat="1" x14ac:dyDescent="0.25">
      <c r="A45" s="661">
        <v>342</v>
      </c>
      <c r="B45" s="1059"/>
      <c r="C45" s="1075"/>
      <c r="D45" s="662"/>
      <c r="E45" s="2386" t="s">
        <v>112</v>
      </c>
      <c r="F45" s="2392"/>
      <c r="G45" s="2392"/>
      <c r="H45" s="2392"/>
      <c r="I45" s="2392"/>
      <c r="J45" s="2392"/>
      <c r="K45" s="2392"/>
      <c r="L45" s="2392"/>
      <c r="M45" s="2392"/>
      <c r="N45" s="2392"/>
      <c r="O45" s="2393"/>
      <c r="P45" s="661" t="s">
        <v>82</v>
      </c>
      <c r="Q45" s="1682"/>
      <c r="R45" s="1682"/>
      <c r="S45" s="1682"/>
      <c r="T45" s="1682"/>
    </row>
    <row r="46" spans="1:20" s="659" customFormat="1" x14ac:dyDescent="0.25">
      <c r="A46" s="661">
        <v>345</v>
      </c>
      <c r="B46" s="1684"/>
      <c r="C46" s="1075"/>
      <c r="D46" s="662" t="str">
        <f t="shared" si="0"/>
        <v/>
      </c>
      <c r="E46" s="2386" t="s">
        <v>113</v>
      </c>
      <c r="F46" s="2387"/>
      <c r="G46" s="2387"/>
      <c r="H46" s="2387"/>
      <c r="I46" s="2387"/>
      <c r="J46" s="2387"/>
      <c r="K46" s="2387"/>
      <c r="L46" s="2387"/>
      <c r="M46" s="2387"/>
      <c r="N46" s="2387"/>
      <c r="O46" s="2388"/>
      <c r="P46" s="661" t="s">
        <v>82</v>
      </c>
      <c r="Q46" s="1682"/>
      <c r="R46" s="1682"/>
      <c r="S46" s="1682"/>
      <c r="T46" s="1682"/>
    </row>
    <row r="47" spans="1:20" s="659" customFormat="1" x14ac:dyDescent="0.25">
      <c r="A47" s="661">
        <v>350</v>
      </c>
      <c r="B47" s="1059"/>
      <c r="C47" s="1075"/>
      <c r="D47" s="662" t="str">
        <f t="shared" si="0"/>
        <v/>
      </c>
      <c r="E47" s="2386" t="s">
        <v>114</v>
      </c>
      <c r="F47" s="2387"/>
      <c r="G47" s="2387"/>
      <c r="H47" s="2387"/>
      <c r="I47" s="2387"/>
      <c r="J47" s="2387"/>
      <c r="K47" s="2387"/>
      <c r="L47" s="2387"/>
      <c r="M47" s="2387"/>
      <c r="N47" s="2387"/>
      <c r="O47" s="2388"/>
      <c r="P47" s="661" t="s">
        <v>82</v>
      </c>
      <c r="Q47" s="1682"/>
      <c r="R47" s="1682"/>
      <c r="S47" s="1682"/>
      <c r="T47" s="1682"/>
    </row>
    <row r="48" spans="1:20" s="659" customFormat="1" x14ac:dyDescent="0.25">
      <c r="A48" s="661">
        <v>355</v>
      </c>
      <c r="B48" s="1684"/>
      <c r="C48" s="1075"/>
      <c r="D48" s="662" t="str">
        <f t="shared" si="0"/>
        <v/>
      </c>
      <c r="E48" s="2386" t="s">
        <v>115</v>
      </c>
      <c r="F48" s="2387"/>
      <c r="G48" s="2387"/>
      <c r="H48" s="2387"/>
      <c r="I48" s="2387"/>
      <c r="J48" s="2387"/>
      <c r="K48" s="2387"/>
      <c r="L48" s="2387"/>
      <c r="M48" s="2387"/>
      <c r="N48" s="2387"/>
      <c r="O48" s="2388"/>
      <c r="P48" s="661" t="s">
        <v>82</v>
      </c>
      <c r="Q48" s="1682"/>
      <c r="R48" s="1682"/>
      <c r="S48" s="1682"/>
      <c r="T48" s="1682"/>
    </row>
    <row r="49" spans="1:16" s="659" customFormat="1" x14ac:dyDescent="0.25">
      <c r="A49" s="122">
        <v>360</v>
      </c>
      <c r="B49" s="1683" t="s">
        <v>78</v>
      </c>
      <c r="C49" s="1075"/>
      <c r="D49" s="662" t="str">
        <f t="shared" si="0"/>
        <v/>
      </c>
      <c r="E49" s="2394" t="s">
        <v>116</v>
      </c>
      <c r="F49" s="2392"/>
      <c r="G49" s="2392"/>
      <c r="H49" s="2392"/>
      <c r="I49" s="2392"/>
      <c r="J49" s="2392"/>
      <c r="K49" s="2392"/>
      <c r="L49" s="2392"/>
      <c r="M49" s="2392"/>
      <c r="N49" s="2392"/>
      <c r="O49" s="2393"/>
      <c r="P49" s="661" t="s">
        <v>82</v>
      </c>
    </row>
    <row r="50" spans="1:16" s="659" customFormat="1" x14ac:dyDescent="0.25">
      <c r="A50" s="661">
        <v>365</v>
      </c>
      <c r="B50" s="1059"/>
      <c r="C50" s="1075"/>
      <c r="D50" s="662"/>
      <c r="E50" s="2386" t="s">
        <v>117</v>
      </c>
      <c r="F50" s="2387"/>
      <c r="G50" s="2387"/>
      <c r="H50" s="2387"/>
      <c r="I50" s="2387"/>
      <c r="J50" s="2387"/>
      <c r="K50" s="2387"/>
      <c r="L50" s="2387"/>
      <c r="M50" s="2387"/>
      <c r="N50" s="2387"/>
      <c r="O50" s="2388"/>
      <c r="P50" s="661" t="s">
        <v>82</v>
      </c>
    </row>
    <row r="51" spans="1:16" s="659" customFormat="1" x14ac:dyDescent="0.25">
      <c r="A51" s="661">
        <v>370</v>
      </c>
      <c r="B51" s="1059"/>
      <c r="C51" s="1199" t="s">
        <v>78</v>
      </c>
      <c r="D51" s="662"/>
      <c r="E51" s="2386" t="s">
        <v>118</v>
      </c>
      <c r="F51" s="2387"/>
      <c r="G51" s="2387"/>
      <c r="H51" s="2387"/>
      <c r="I51" s="2387"/>
      <c r="J51" s="2387"/>
      <c r="K51" s="2387"/>
      <c r="L51" s="2387"/>
      <c r="M51" s="2387"/>
      <c r="N51" s="2387"/>
      <c r="O51" s="2388"/>
      <c r="P51" s="661"/>
    </row>
    <row r="52" spans="1:16" s="659" customFormat="1" x14ac:dyDescent="0.25">
      <c r="A52" s="661" t="s">
        <v>119</v>
      </c>
      <c r="B52" s="1059"/>
      <c r="C52" s="1199" t="s">
        <v>78</v>
      </c>
      <c r="D52" s="662"/>
      <c r="E52" s="2418" t="s">
        <v>120</v>
      </c>
      <c r="F52" s="2387"/>
      <c r="G52" s="2387"/>
      <c r="H52" s="2387"/>
      <c r="I52" s="2387"/>
      <c r="J52" s="2387"/>
      <c r="K52" s="2387"/>
      <c r="L52" s="2387"/>
      <c r="M52" s="2387"/>
      <c r="N52" s="2387"/>
      <c r="O52" s="2388"/>
      <c r="P52" s="661"/>
    </row>
    <row r="53" spans="1:16" s="659" customFormat="1" x14ac:dyDescent="0.25">
      <c r="A53" s="661" t="s">
        <v>121</v>
      </c>
      <c r="B53" s="1059"/>
      <c r="C53" s="1199" t="s">
        <v>78</v>
      </c>
      <c r="D53" s="662"/>
      <c r="E53" s="2418" t="s">
        <v>122</v>
      </c>
      <c r="F53" s="2387"/>
      <c r="G53" s="2387"/>
      <c r="H53" s="2387"/>
      <c r="I53" s="2387"/>
      <c r="J53" s="2387"/>
      <c r="K53" s="2387"/>
      <c r="L53" s="2387"/>
      <c r="M53" s="2387"/>
      <c r="N53" s="2387"/>
      <c r="O53" s="2388"/>
      <c r="P53" s="661"/>
    </row>
    <row r="54" spans="1:16" s="659" customFormat="1" x14ac:dyDescent="0.25">
      <c r="A54" s="661">
        <v>401</v>
      </c>
      <c r="B54" s="1059"/>
      <c r="C54" s="1075"/>
      <c r="D54" s="662" t="str">
        <f t="shared" si="0"/>
        <v/>
      </c>
      <c r="E54" s="2386" t="s">
        <v>123</v>
      </c>
      <c r="F54" s="2387"/>
      <c r="G54" s="2387"/>
      <c r="H54" s="2387"/>
      <c r="I54" s="2387"/>
      <c r="J54" s="2387"/>
      <c r="K54" s="2387"/>
      <c r="L54" s="2387"/>
      <c r="M54" s="2387"/>
      <c r="N54" s="2387"/>
      <c r="O54" s="2388"/>
      <c r="P54" s="661" t="s">
        <v>82</v>
      </c>
    </row>
    <row r="55" spans="1:16" s="659" customFormat="1" x14ac:dyDescent="0.25">
      <c r="A55" s="661">
        <v>405</v>
      </c>
      <c r="B55" s="1059"/>
      <c r="C55" s="1075"/>
      <c r="D55" s="662" t="str">
        <f t="shared" si="0"/>
        <v/>
      </c>
      <c r="E55" s="2386" t="s">
        <v>124</v>
      </c>
      <c r="F55" s="2387"/>
      <c r="G55" s="2387"/>
      <c r="H55" s="2387"/>
      <c r="I55" s="2387"/>
      <c r="J55" s="2387"/>
      <c r="K55" s="2387"/>
      <c r="L55" s="2387"/>
      <c r="M55" s="2387"/>
      <c r="N55" s="2387"/>
      <c r="O55" s="2388"/>
      <c r="P55" s="661" t="s">
        <v>82</v>
      </c>
    </row>
    <row r="56" spans="1:16" s="659" customFormat="1" x14ac:dyDescent="0.25">
      <c r="A56" s="661">
        <v>410</v>
      </c>
      <c r="B56" s="1059"/>
      <c r="C56" s="1075"/>
      <c r="D56" s="662" t="str">
        <f t="shared" si="0"/>
        <v/>
      </c>
      <c r="E56" s="2386" t="s">
        <v>125</v>
      </c>
      <c r="F56" s="2387"/>
      <c r="G56" s="2387"/>
      <c r="H56" s="2387"/>
      <c r="I56" s="2387"/>
      <c r="J56" s="2387"/>
      <c r="K56" s="2387"/>
      <c r="L56" s="2387"/>
      <c r="M56" s="2387"/>
      <c r="N56" s="2387"/>
      <c r="O56" s="2388"/>
      <c r="P56" s="661" t="s">
        <v>82</v>
      </c>
    </row>
    <row r="57" spans="1:16" s="659" customFormat="1" x14ac:dyDescent="0.25">
      <c r="A57" s="661">
        <v>415</v>
      </c>
      <c r="B57" s="1059"/>
      <c r="C57" s="1075"/>
      <c r="D57" s="662" t="str">
        <f t="shared" si="0"/>
        <v/>
      </c>
      <c r="E57" s="2386" t="s">
        <v>126</v>
      </c>
      <c r="F57" s="2387"/>
      <c r="G57" s="2387"/>
      <c r="H57" s="2387"/>
      <c r="I57" s="2387"/>
      <c r="J57" s="2387"/>
      <c r="K57" s="2387"/>
      <c r="L57" s="2387"/>
      <c r="M57" s="2387"/>
      <c r="N57" s="2387"/>
      <c r="O57" s="2388"/>
      <c r="P57" s="661" t="s">
        <v>82</v>
      </c>
    </row>
    <row r="58" spans="1:16" s="659" customFormat="1" x14ac:dyDescent="0.25">
      <c r="A58" s="661">
        <v>420</v>
      </c>
      <c r="B58" s="1059"/>
      <c r="C58" s="1075"/>
      <c r="D58" s="662" t="str">
        <f t="shared" si="0"/>
        <v/>
      </c>
      <c r="E58" s="2386" t="s">
        <v>127</v>
      </c>
      <c r="F58" s="2387"/>
      <c r="G58" s="2387"/>
      <c r="H58" s="2387"/>
      <c r="I58" s="2387"/>
      <c r="J58" s="2387"/>
      <c r="K58" s="2387"/>
      <c r="L58" s="2387"/>
      <c r="M58" s="2387"/>
      <c r="N58" s="2387"/>
      <c r="O58" s="2388"/>
      <c r="P58" s="661" t="s">
        <v>82</v>
      </c>
    </row>
    <row r="59" spans="1:16" s="659" customFormat="1" x14ac:dyDescent="0.25">
      <c r="A59" s="661">
        <v>425</v>
      </c>
      <c r="B59" s="1684"/>
      <c r="C59" s="1075"/>
      <c r="D59" s="662"/>
      <c r="E59" s="2386" t="s">
        <v>128</v>
      </c>
      <c r="F59" s="2387"/>
      <c r="G59" s="2387"/>
      <c r="H59" s="2387"/>
      <c r="I59" s="2387"/>
      <c r="J59" s="2387"/>
      <c r="K59" s="2387"/>
      <c r="L59" s="2387"/>
      <c r="M59" s="2387"/>
      <c r="N59" s="2387"/>
      <c r="O59" s="2388"/>
      <c r="P59" s="661"/>
    </row>
    <row r="60" spans="1:16" s="659" customFormat="1" x14ac:dyDescent="0.25">
      <c r="A60" s="661" t="s">
        <v>129</v>
      </c>
      <c r="B60" s="1059"/>
      <c r="C60" s="1199" t="s">
        <v>78</v>
      </c>
      <c r="D60" s="662" t="str">
        <f t="shared" si="0"/>
        <v/>
      </c>
      <c r="E60" s="2405" t="s">
        <v>130</v>
      </c>
      <c r="F60" s="2406"/>
      <c r="G60" s="2406"/>
      <c r="H60" s="2406"/>
      <c r="I60" s="2406"/>
      <c r="J60" s="2406"/>
      <c r="K60" s="2406"/>
      <c r="L60" s="2406"/>
      <c r="M60" s="2406"/>
      <c r="N60" s="2406"/>
      <c r="O60" s="2407"/>
      <c r="P60" s="661"/>
    </row>
    <row r="61" spans="1:16" s="659" customFormat="1" x14ac:dyDescent="0.25">
      <c r="A61" s="661" t="s">
        <v>131</v>
      </c>
      <c r="B61" s="1059"/>
      <c r="C61" s="1199" t="s">
        <v>78</v>
      </c>
      <c r="D61" s="662" t="str">
        <f>IF(B61="NA","",IF(Q61&lt;&gt;0,"E",""))</f>
        <v/>
      </c>
      <c r="E61" s="2405" t="s">
        <v>132</v>
      </c>
      <c r="F61" s="2406"/>
      <c r="G61" s="2406"/>
      <c r="H61" s="2406"/>
      <c r="I61" s="2406"/>
      <c r="J61" s="2406"/>
      <c r="K61" s="2406"/>
      <c r="L61" s="2406"/>
      <c r="M61" s="2406"/>
      <c r="N61" s="2406"/>
      <c r="O61" s="2407"/>
      <c r="P61" s="661"/>
    </row>
    <row r="62" spans="1:16" s="659" customFormat="1" x14ac:dyDescent="0.25">
      <c r="A62" s="661" t="s">
        <v>133</v>
      </c>
      <c r="B62" s="1059"/>
      <c r="C62" s="1199" t="s">
        <v>78</v>
      </c>
      <c r="D62" s="662"/>
      <c r="E62" s="2201" t="s">
        <v>134</v>
      </c>
      <c r="F62" s="2202"/>
      <c r="G62" s="2202"/>
      <c r="H62" s="2202"/>
      <c r="I62" s="2202"/>
      <c r="J62" s="2202"/>
      <c r="K62" s="2202"/>
      <c r="L62" s="2202"/>
      <c r="M62" s="2202"/>
      <c r="N62" s="2202"/>
      <c r="O62" s="2203"/>
      <c r="P62" s="661"/>
    </row>
    <row r="63" spans="1:16" s="659" customFormat="1" x14ac:dyDescent="0.25">
      <c r="A63" s="661" t="s">
        <v>135</v>
      </c>
      <c r="B63" s="1059"/>
      <c r="C63" s="1199" t="s">
        <v>78</v>
      </c>
      <c r="D63" s="662" t="str">
        <f t="shared" si="0"/>
        <v/>
      </c>
      <c r="E63" s="2405" t="s">
        <v>136</v>
      </c>
      <c r="F63" s="2406"/>
      <c r="G63" s="2406"/>
      <c r="H63" s="2406"/>
      <c r="I63" s="2406"/>
      <c r="J63" s="2406"/>
      <c r="K63" s="2406"/>
      <c r="L63" s="2406"/>
      <c r="M63" s="2406"/>
      <c r="N63" s="2406"/>
      <c r="O63" s="2407"/>
      <c r="P63" s="661"/>
    </row>
    <row r="64" spans="1:16" s="659" customFormat="1" x14ac:dyDescent="0.25">
      <c r="A64" s="661" t="s">
        <v>137</v>
      </c>
      <c r="B64" s="1059"/>
      <c r="C64" s="1199" t="s">
        <v>78</v>
      </c>
      <c r="D64" s="662" t="str">
        <f>IF(B64="NA","",IF(Q64&lt;&gt;0,"E",""))</f>
        <v/>
      </c>
      <c r="E64" s="2405" t="s">
        <v>138</v>
      </c>
      <c r="F64" s="2406"/>
      <c r="G64" s="2406"/>
      <c r="H64" s="2406"/>
      <c r="I64" s="2406"/>
      <c r="J64" s="2406"/>
      <c r="K64" s="2406"/>
      <c r="L64" s="2406"/>
      <c r="M64" s="2406"/>
      <c r="N64" s="2406"/>
      <c r="O64" s="2407"/>
      <c r="P64" s="661"/>
    </row>
    <row r="65" spans="1:20" s="659" customFormat="1" x14ac:dyDescent="0.25">
      <c r="A65" s="661">
        <v>501</v>
      </c>
      <c r="B65" s="1059"/>
      <c r="C65" s="1199" t="s">
        <v>78</v>
      </c>
      <c r="D65" s="662" t="str">
        <f t="shared" si="0"/>
        <v/>
      </c>
      <c r="E65" s="2386" t="s">
        <v>139</v>
      </c>
      <c r="F65" s="2387"/>
      <c r="G65" s="2387"/>
      <c r="H65" s="2387"/>
      <c r="I65" s="2387"/>
      <c r="J65" s="2387"/>
      <c r="K65" s="2387"/>
      <c r="L65" s="2387"/>
      <c r="M65" s="2387"/>
      <c r="N65" s="2387"/>
      <c r="O65" s="2388"/>
      <c r="P65" s="661"/>
      <c r="Q65" s="1682"/>
      <c r="R65" s="1682"/>
      <c r="S65" s="1682"/>
      <c r="T65" s="1682"/>
    </row>
    <row r="66" spans="1:20" s="659" customFormat="1" x14ac:dyDescent="0.25">
      <c r="A66" s="661">
        <v>505</v>
      </c>
      <c r="B66" s="1059"/>
      <c r="C66" s="1199" t="s">
        <v>78</v>
      </c>
      <c r="D66" s="662" t="str">
        <f t="shared" si="0"/>
        <v/>
      </c>
      <c r="E66" s="2386" t="s">
        <v>140</v>
      </c>
      <c r="F66" s="2387"/>
      <c r="G66" s="2387"/>
      <c r="H66" s="2387"/>
      <c r="I66" s="2387"/>
      <c r="J66" s="2387"/>
      <c r="K66" s="2387"/>
      <c r="L66" s="2387"/>
      <c r="M66" s="2387"/>
      <c r="N66" s="2387"/>
      <c r="O66" s="2388"/>
      <c r="P66" s="661"/>
      <c r="Q66" s="1682"/>
      <c r="R66" s="1682"/>
      <c r="S66" s="1682"/>
      <c r="T66" s="1682"/>
    </row>
    <row r="67" spans="1:20" s="659" customFormat="1" x14ac:dyDescent="0.25">
      <c r="A67" s="661">
        <v>510</v>
      </c>
      <c r="B67" s="1059"/>
      <c r="C67" s="1199" t="s">
        <v>78</v>
      </c>
      <c r="D67" s="662" t="str">
        <f t="shared" si="0"/>
        <v/>
      </c>
      <c r="E67" s="2386" t="s">
        <v>141</v>
      </c>
      <c r="F67" s="2387"/>
      <c r="G67" s="2387"/>
      <c r="H67" s="2387"/>
      <c r="I67" s="2387"/>
      <c r="J67" s="2387"/>
      <c r="K67" s="2387"/>
      <c r="L67" s="2387"/>
      <c r="M67" s="2387"/>
      <c r="N67" s="2387"/>
      <c r="O67" s="2388"/>
      <c r="P67" s="661"/>
      <c r="Q67" s="1682"/>
      <c r="R67" s="1682"/>
      <c r="S67" s="1682"/>
      <c r="T67" s="1682"/>
    </row>
    <row r="68" spans="1:20" s="659" customFormat="1" x14ac:dyDescent="0.25">
      <c r="A68" s="661">
        <v>515</v>
      </c>
      <c r="B68" s="1059"/>
      <c r="C68" s="1199" t="s">
        <v>78</v>
      </c>
      <c r="D68" s="662" t="str">
        <f t="shared" si="0"/>
        <v/>
      </c>
      <c r="E68" s="2386" t="s">
        <v>142</v>
      </c>
      <c r="F68" s="2387"/>
      <c r="G68" s="2387"/>
      <c r="H68" s="2387"/>
      <c r="I68" s="2387"/>
      <c r="J68" s="2387"/>
      <c r="K68" s="2387"/>
      <c r="L68" s="2387"/>
      <c r="M68" s="2387"/>
      <c r="N68" s="2387"/>
      <c r="O68" s="2388"/>
      <c r="P68" s="661"/>
      <c r="Q68" s="1682"/>
      <c r="R68" s="1682"/>
      <c r="S68" s="1682"/>
      <c r="T68" s="1682"/>
    </row>
    <row r="69" spans="1:20" s="659" customFormat="1" x14ac:dyDescent="0.25">
      <c r="A69" s="661">
        <v>520</v>
      </c>
      <c r="B69" s="1059"/>
      <c r="C69" s="1199" t="s">
        <v>78</v>
      </c>
      <c r="D69" s="662" t="str">
        <f t="shared" si="0"/>
        <v/>
      </c>
      <c r="E69" s="2386" t="s">
        <v>143</v>
      </c>
      <c r="F69" s="2387"/>
      <c r="G69" s="2387"/>
      <c r="H69" s="2387"/>
      <c r="I69" s="2387"/>
      <c r="J69" s="2387"/>
      <c r="K69" s="2387"/>
      <c r="L69" s="2387"/>
      <c r="M69" s="2387"/>
      <c r="N69" s="2387"/>
      <c r="O69" s="2388"/>
      <c r="P69" s="661"/>
      <c r="Q69" s="1682"/>
      <c r="R69" s="1682"/>
      <c r="S69" s="1682"/>
      <c r="T69" s="1682"/>
    </row>
    <row r="70" spans="1:20" s="659" customFormat="1" x14ac:dyDescent="0.25">
      <c r="A70" s="661">
        <v>525</v>
      </c>
      <c r="B70" s="1059"/>
      <c r="C70" s="1199" t="s">
        <v>78</v>
      </c>
      <c r="D70" s="662" t="str">
        <f t="shared" si="0"/>
        <v/>
      </c>
      <c r="E70" s="2386" t="s">
        <v>144</v>
      </c>
      <c r="F70" s="2387"/>
      <c r="G70" s="2387"/>
      <c r="H70" s="2387"/>
      <c r="I70" s="2387"/>
      <c r="J70" s="2387"/>
      <c r="K70" s="2387"/>
      <c r="L70" s="2387"/>
      <c r="M70" s="2387"/>
      <c r="N70" s="2387"/>
      <c r="O70" s="2388"/>
      <c r="P70" s="661"/>
      <c r="Q70" s="1682"/>
      <c r="R70" s="1682"/>
      <c r="S70" s="1682"/>
      <c r="T70" s="1682"/>
    </row>
    <row r="71" spans="1:20" s="659" customFormat="1" x14ac:dyDescent="0.25">
      <c r="A71" s="661">
        <v>530</v>
      </c>
      <c r="B71" s="1059"/>
      <c r="C71" s="1199" t="s">
        <v>78</v>
      </c>
      <c r="D71" s="662" t="str">
        <f t="shared" si="0"/>
        <v/>
      </c>
      <c r="E71" s="2386" t="s">
        <v>145</v>
      </c>
      <c r="F71" s="2387"/>
      <c r="G71" s="2387"/>
      <c r="H71" s="2387"/>
      <c r="I71" s="2387"/>
      <c r="J71" s="2387"/>
      <c r="K71" s="2387"/>
      <c r="L71" s="2387"/>
      <c r="M71" s="2387"/>
      <c r="N71" s="2387"/>
      <c r="O71" s="2388"/>
      <c r="P71" s="661"/>
      <c r="Q71" s="1682"/>
      <c r="R71" s="1682"/>
      <c r="S71" s="1682"/>
      <c r="T71" s="1682"/>
    </row>
    <row r="72" spans="1:20" s="659" customFormat="1" x14ac:dyDescent="0.25">
      <c r="A72" s="661">
        <v>535</v>
      </c>
      <c r="B72" s="1059"/>
      <c r="C72" s="1199" t="s">
        <v>78</v>
      </c>
      <c r="D72" s="662" t="str">
        <f t="shared" si="0"/>
        <v/>
      </c>
      <c r="E72" s="2386" t="s">
        <v>146</v>
      </c>
      <c r="F72" s="2387"/>
      <c r="G72" s="2387"/>
      <c r="H72" s="2387"/>
      <c r="I72" s="2387"/>
      <c r="J72" s="2387"/>
      <c r="K72" s="2387"/>
      <c r="L72" s="2387"/>
      <c r="M72" s="2387"/>
      <c r="N72" s="2387"/>
      <c r="O72" s="2388"/>
      <c r="P72" s="661"/>
      <c r="Q72" s="1682"/>
      <c r="R72" s="1682"/>
      <c r="S72" s="1682"/>
      <c r="T72" s="1682"/>
    </row>
    <row r="73" spans="1:20" s="659" customFormat="1" x14ac:dyDescent="0.25">
      <c r="A73" s="661">
        <v>540</v>
      </c>
      <c r="B73" s="1059"/>
      <c r="C73" s="1199" t="s">
        <v>78</v>
      </c>
      <c r="D73" s="662"/>
      <c r="E73" s="2386" t="s">
        <v>147</v>
      </c>
      <c r="F73" s="2387"/>
      <c r="G73" s="2387"/>
      <c r="H73" s="2387"/>
      <c r="I73" s="2387"/>
      <c r="J73" s="2387"/>
      <c r="K73" s="2387"/>
      <c r="L73" s="2387"/>
      <c r="M73" s="2387"/>
      <c r="N73" s="2387"/>
      <c r="O73" s="2388"/>
      <c r="P73" s="661"/>
      <c r="Q73" s="1682"/>
      <c r="R73" s="1682"/>
      <c r="S73" s="1682"/>
      <c r="T73" s="1682"/>
    </row>
    <row r="74" spans="1:20" s="659" customFormat="1" x14ac:dyDescent="0.25">
      <c r="A74" s="661">
        <v>545</v>
      </c>
      <c r="B74" s="1059"/>
      <c r="C74" s="1199" t="s">
        <v>78</v>
      </c>
      <c r="D74" s="662"/>
      <c r="E74" s="2386" t="s">
        <v>148</v>
      </c>
      <c r="F74" s="2387"/>
      <c r="G74" s="2387"/>
      <c r="H74" s="2387"/>
      <c r="I74" s="2387"/>
      <c r="J74" s="2387"/>
      <c r="K74" s="2387"/>
      <c r="L74" s="2387"/>
      <c r="M74" s="2387"/>
      <c r="N74" s="2387"/>
      <c r="O74" s="2388"/>
      <c r="P74" s="661"/>
      <c r="Q74" s="1682"/>
      <c r="R74" s="1682"/>
      <c r="S74" s="1682"/>
      <c r="T74" s="1682"/>
    </row>
    <row r="75" spans="1:20" s="659" customFormat="1" x14ac:dyDescent="0.25">
      <c r="A75" s="661">
        <v>546</v>
      </c>
      <c r="B75" s="1059"/>
      <c r="C75" s="1199" t="s">
        <v>78</v>
      </c>
      <c r="D75" s="662"/>
      <c r="E75" s="2386" t="s">
        <v>149</v>
      </c>
      <c r="F75" s="2387"/>
      <c r="G75" s="2387"/>
      <c r="H75" s="2387"/>
      <c r="I75" s="2387"/>
      <c r="J75" s="2387"/>
      <c r="K75" s="2387"/>
      <c r="L75" s="2387"/>
      <c r="M75" s="2387"/>
      <c r="N75" s="2387"/>
      <c r="O75" s="2388"/>
      <c r="P75" s="661"/>
      <c r="Q75" s="1682"/>
      <c r="R75" s="1682"/>
      <c r="S75" s="1682"/>
      <c r="T75" s="1682"/>
    </row>
    <row r="76" spans="1:20" s="659" customFormat="1" x14ac:dyDescent="0.25">
      <c r="A76" s="661">
        <v>550</v>
      </c>
      <c r="B76" s="1059"/>
      <c r="C76" s="1199" t="s">
        <v>78</v>
      </c>
      <c r="D76" s="662"/>
      <c r="E76" s="2386" t="s">
        <v>150</v>
      </c>
      <c r="F76" s="2387"/>
      <c r="G76" s="2387"/>
      <c r="H76" s="2387"/>
      <c r="I76" s="2387"/>
      <c r="J76" s="2387"/>
      <c r="K76" s="2387"/>
      <c r="L76" s="2387"/>
      <c r="M76" s="2387"/>
      <c r="N76" s="2387"/>
      <c r="O76" s="2388"/>
      <c r="P76" s="661"/>
      <c r="Q76" s="1682"/>
      <c r="R76" s="1682"/>
      <c r="S76" s="1682"/>
      <c r="T76" s="1682"/>
    </row>
    <row r="77" spans="1:20" s="659" customFormat="1" x14ac:dyDescent="0.25">
      <c r="A77" s="661">
        <v>555</v>
      </c>
      <c r="B77" s="1059"/>
      <c r="C77" s="1199" t="s">
        <v>78</v>
      </c>
      <c r="D77" s="662"/>
      <c r="E77" s="2386" t="s">
        <v>151</v>
      </c>
      <c r="F77" s="2387"/>
      <c r="G77" s="2387"/>
      <c r="H77" s="2387"/>
      <c r="I77" s="2387"/>
      <c r="J77" s="2387"/>
      <c r="K77" s="2387"/>
      <c r="L77" s="2387"/>
      <c r="M77" s="2387"/>
      <c r="N77" s="2387"/>
      <c r="O77" s="2388"/>
      <c r="P77" s="661"/>
      <c r="Q77" s="1682"/>
      <c r="R77" s="1682"/>
      <c r="S77" s="1682"/>
      <c r="T77" s="1682"/>
    </row>
    <row r="78" spans="1:20" s="659" customFormat="1" x14ac:dyDescent="0.25">
      <c r="A78" s="661">
        <v>560</v>
      </c>
      <c r="B78" s="1059"/>
      <c r="C78" s="1199" t="s">
        <v>78</v>
      </c>
      <c r="D78" s="662"/>
      <c r="E78" s="2386" t="s">
        <v>152</v>
      </c>
      <c r="F78" s="2387"/>
      <c r="G78" s="2387"/>
      <c r="H78" s="2387"/>
      <c r="I78" s="2387"/>
      <c r="J78" s="2387"/>
      <c r="K78" s="2387"/>
      <c r="L78" s="2387"/>
      <c r="M78" s="2387"/>
      <c r="N78" s="2387"/>
      <c r="O78" s="2388"/>
      <c r="P78" s="661"/>
      <c r="Q78" s="1682"/>
      <c r="R78" s="1682"/>
      <c r="S78" s="1682"/>
      <c r="T78" s="1682"/>
    </row>
    <row r="79" spans="1:20" s="659" customFormat="1" x14ac:dyDescent="0.25">
      <c r="A79" s="661">
        <v>565</v>
      </c>
      <c r="B79" s="1059"/>
      <c r="C79" s="1199" t="s">
        <v>78</v>
      </c>
      <c r="D79" s="662" t="str">
        <f t="shared" si="0"/>
        <v/>
      </c>
      <c r="E79" s="2386" t="s">
        <v>153</v>
      </c>
      <c r="F79" s="2387"/>
      <c r="G79" s="2387"/>
      <c r="H79" s="2387"/>
      <c r="I79" s="2387"/>
      <c r="J79" s="2387"/>
      <c r="K79" s="2387"/>
      <c r="L79" s="2387"/>
      <c r="M79" s="2387"/>
      <c r="N79" s="2387"/>
      <c r="O79" s="2388"/>
      <c r="P79" s="661"/>
      <c r="Q79" s="1682"/>
      <c r="R79" s="1682"/>
      <c r="S79" s="1682"/>
      <c r="T79" s="1682"/>
    </row>
    <row r="80" spans="1:20" s="659" customFormat="1" x14ac:dyDescent="0.25">
      <c r="A80" s="661">
        <v>570</v>
      </c>
      <c r="B80" s="1059"/>
      <c r="C80" s="1199" t="s">
        <v>78</v>
      </c>
      <c r="D80" s="662" t="str">
        <f t="shared" si="0"/>
        <v/>
      </c>
      <c r="E80" s="2386" t="s">
        <v>154</v>
      </c>
      <c r="F80" s="2387"/>
      <c r="G80" s="2387"/>
      <c r="H80" s="2387"/>
      <c r="I80" s="2387"/>
      <c r="J80" s="2387"/>
      <c r="K80" s="2387"/>
      <c r="L80" s="2387"/>
      <c r="M80" s="2387"/>
      <c r="N80" s="2387"/>
      <c r="O80" s="2388"/>
      <c r="P80" s="661"/>
      <c r="Q80" s="1682"/>
      <c r="R80" s="1682"/>
      <c r="S80" s="1682"/>
      <c r="T80" s="1682"/>
    </row>
    <row r="81" spans="1:16" s="659" customFormat="1" x14ac:dyDescent="0.25">
      <c r="A81" s="661">
        <v>602</v>
      </c>
      <c r="B81" s="1059"/>
      <c r="C81" s="1199" t="s">
        <v>78</v>
      </c>
      <c r="D81" s="662"/>
      <c r="E81" s="2415" t="s">
        <v>155</v>
      </c>
      <c r="F81" s="2416"/>
      <c r="G81" s="2416"/>
      <c r="H81" s="2416"/>
      <c r="I81" s="2416"/>
      <c r="J81" s="2416"/>
      <c r="K81" s="2416"/>
      <c r="L81" s="2416"/>
      <c r="M81" s="2416"/>
      <c r="N81" s="2416"/>
      <c r="O81" s="2417"/>
      <c r="P81" s="661"/>
    </row>
    <row r="82" spans="1:16" s="659" customFormat="1" x14ac:dyDescent="0.25">
      <c r="A82" s="661">
        <v>605</v>
      </c>
      <c r="B82" s="1059"/>
      <c r="C82" s="1199" t="s">
        <v>78</v>
      </c>
      <c r="D82" s="662" t="str">
        <f t="shared" si="0"/>
        <v/>
      </c>
      <c r="E82" s="2402" t="s">
        <v>156</v>
      </c>
      <c r="F82" s="2403"/>
      <c r="G82" s="2403"/>
      <c r="H82" s="2403"/>
      <c r="I82" s="2403"/>
      <c r="J82" s="2403"/>
      <c r="K82" s="2403"/>
      <c r="L82" s="2403"/>
      <c r="M82" s="2403"/>
      <c r="N82" s="2403"/>
      <c r="O82" s="2404"/>
      <c r="P82" s="661"/>
    </row>
    <row r="83" spans="1:16" s="659" customFormat="1" x14ac:dyDescent="0.25">
      <c r="A83" s="661">
        <v>610</v>
      </c>
      <c r="B83" s="1059"/>
      <c r="C83" s="1199" t="s">
        <v>78</v>
      </c>
      <c r="D83" s="662" t="str">
        <f t="shared" si="0"/>
        <v/>
      </c>
      <c r="E83" s="2386" t="s">
        <v>157</v>
      </c>
      <c r="F83" s="2387"/>
      <c r="G83" s="2387"/>
      <c r="H83" s="2387"/>
      <c r="I83" s="2387"/>
      <c r="J83" s="2387"/>
      <c r="K83" s="2387"/>
      <c r="L83" s="2387"/>
      <c r="M83" s="2387"/>
      <c r="N83" s="2387"/>
      <c r="O83" s="2388"/>
      <c r="P83" s="661"/>
    </row>
    <row r="84" spans="1:16" s="659" customFormat="1" x14ac:dyDescent="0.25">
      <c r="A84" s="661">
        <v>615</v>
      </c>
      <c r="B84" s="1059"/>
      <c r="C84" s="1199" t="s">
        <v>78</v>
      </c>
      <c r="D84" s="662" t="str">
        <f t="shared" si="0"/>
        <v/>
      </c>
      <c r="E84" s="2386" t="s">
        <v>158</v>
      </c>
      <c r="F84" s="2387"/>
      <c r="G84" s="2387"/>
      <c r="H84" s="2387"/>
      <c r="I84" s="2387"/>
      <c r="J84" s="2387"/>
      <c r="K84" s="2387"/>
      <c r="L84" s="2387"/>
      <c r="M84" s="2387"/>
      <c r="N84" s="2387"/>
      <c r="O84" s="2388"/>
      <c r="P84" s="661"/>
    </row>
    <row r="85" spans="1:16" s="659" customFormat="1" x14ac:dyDescent="0.25">
      <c r="A85" s="661">
        <v>616</v>
      </c>
      <c r="B85" s="1059"/>
      <c r="C85" s="1199" t="s">
        <v>78</v>
      </c>
      <c r="D85" s="662" t="str">
        <f>IF(B85="NA","",IF(Q85&lt;&gt;0,"E",""))</f>
        <v/>
      </c>
      <c r="E85" s="2386" t="s">
        <v>159</v>
      </c>
      <c r="F85" s="2387"/>
      <c r="G85" s="2387"/>
      <c r="H85" s="2387"/>
      <c r="I85" s="2387"/>
      <c r="J85" s="2387"/>
      <c r="K85" s="2387"/>
      <c r="L85" s="2387"/>
      <c r="M85" s="2387"/>
      <c r="N85" s="2387"/>
      <c r="O85" s="2388"/>
      <c r="P85" s="661"/>
    </row>
    <row r="86" spans="1:16" s="659" customFormat="1" x14ac:dyDescent="0.25">
      <c r="A86" s="661">
        <v>620</v>
      </c>
      <c r="B86" s="1059"/>
      <c r="C86" s="1199" t="s">
        <v>78</v>
      </c>
      <c r="D86" s="662" t="str">
        <f t="shared" si="0"/>
        <v/>
      </c>
      <c r="E86" s="2386" t="s">
        <v>160</v>
      </c>
      <c r="F86" s="2387"/>
      <c r="G86" s="2387"/>
      <c r="H86" s="2387"/>
      <c r="I86" s="2387"/>
      <c r="J86" s="2387"/>
      <c r="K86" s="2387"/>
      <c r="L86" s="2387"/>
      <c r="M86" s="2387"/>
      <c r="N86" s="2387"/>
      <c r="O86" s="2388"/>
      <c r="P86" s="661"/>
    </row>
    <row r="87" spans="1:16" s="659" customFormat="1" x14ac:dyDescent="0.25">
      <c r="A87" s="661">
        <v>625</v>
      </c>
      <c r="B87" s="1059"/>
      <c r="C87" s="1075"/>
      <c r="D87" s="662" t="str">
        <f t="shared" si="0"/>
        <v/>
      </c>
      <c r="E87" s="2386" t="s">
        <v>161</v>
      </c>
      <c r="F87" s="2387"/>
      <c r="G87" s="2387"/>
      <c r="H87" s="2387"/>
      <c r="I87" s="2387"/>
      <c r="J87" s="2387"/>
      <c r="K87" s="2387"/>
      <c r="L87" s="2387"/>
      <c r="M87" s="2387"/>
      <c r="N87" s="2387"/>
      <c r="O87" s="2388"/>
      <c r="P87" s="661" t="s">
        <v>82</v>
      </c>
    </row>
    <row r="88" spans="1:16" s="659" customFormat="1" x14ac:dyDescent="0.25">
      <c r="A88" s="661">
        <v>635</v>
      </c>
      <c r="B88" s="1059"/>
      <c r="C88" s="1199" t="s">
        <v>78</v>
      </c>
      <c r="D88" s="662" t="str">
        <f t="shared" si="0"/>
        <v/>
      </c>
      <c r="E88" s="2386" t="s">
        <v>162</v>
      </c>
      <c r="F88" s="2387"/>
      <c r="G88" s="2387"/>
      <c r="H88" s="2387"/>
      <c r="I88" s="2387"/>
      <c r="J88" s="2387"/>
      <c r="K88" s="2387"/>
      <c r="L88" s="2387"/>
      <c r="M88" s="2387"/>
      <c r="N88" s="2387"/>
      <c r="O88" s="2388"/>
      <c r="P88" s="661"/>
    </row>
    <row r="89" spans="1:16" s="659" customFormat="1" x14ac:dyDescent="0.25">
      <c r="A89" s="1098">
        <v>640</v>
      </c>
      <c r="B89" s="1059"/>
      <c r="C89" s="1075"/>
      <c r="D89" s="662"/>
      <c r="E89" s="2436" t="s">
        <v>163</v>
      </c>
      <c r="F89" s="2437"/>
      <c r="G89" s="2437"/>
      <c r="H89" s="2437"/>
      <c r="I89" s="2437"/>
      <c r="J89" s="2437"/>
      <c r="K89" s="2437"/>
      <c r="L89" s="2437"/>
      <c r="M89" s="2437"/>
      <c r="N89" s="2437"/>
      <c r="O89" s="2438"/>
      <c r="P89" s="661" t="s">
        <v>82</v>
      </c>
    </row>
    <row r="90" spans="1:16" s="659" customFormat="1" x14ac:dyDescent="0.25">
      <c r="A90" s="661">
        <v>705</v>
      </c>
      <c r="B90" s="1059"/>
      <c r="C90" s="1199" t="s">
        <v>78</v>
      </c>
      <c r="D90" s="662" t="str">
        <f t="shared" si="0"/>
        <v/>
      </c>
      <c r="E90" s="2386" t="s">
        <v>164</v>
      </c>
      <c r="F90" s="2387"/>
      <c r="G90" s="2387"/>
      <c r="H90" s="2387"/>
      <c r="I90" s="2387"/>
      <c r="J90" s="2387"/>
      <c r="K90" s="2387"/>
      <c r="L90" s="2387"/>
      <c r="M90" s="2387"/>
      <c r="N90" s="2387"/>
      <c r="O90" s="2388"/>
      <c r="P90" s="661"/>
    </row>
    <row r="91" spans="1:16" s="659" customFormat="1" x14ac:dyDescent="0.25">
      <c r="A91" s="661">
        <v>710</v>
      </c>
      <c r="B91" s="1059"/>
      <c r="C91" s="1199" t="s">
        <v>78</v>
      </c>
      <c r="D91" s="662" t="str">
        <f t="shared" si="0"/>
        <v/>
      </c>
      <c r="E91" s="2386" t="s">
        <v>165</v>
      </c>
      <c r="F91" s="2387"/>
      <c r="G91" s="2387"/>
      <c r="H91" s="2387"/>
      <c r="I91" s="2387"/>
      <c r="J91" s="2387"/>
      <c r="K91" s="2387"/>
      <c r="L91" s="2387"/>
      <c r="M91" s="2387"/>
      <c r="N91" s="2387"/>
      <c r="O91" s="2388"/>
      <c r="P91" s="661"/>
    </row>
    <row r="92" spans="1:16" s="659" customFormat="1" x14ac:dyDescent="0.25">
      <c r="A92" s="661">
        <v>715</v>
      </c>
      <c r="B92" s="1059"/>
      <c r="C92" s="1199" t="s">
        <v>78</v>
      </c>
      <c r="D92" s="662" t="str">
        <f t="shared" si="0"/>
        <v/>
      </c>
      <c r="E92" s="2386" t="s">
        <v>166</v>
      </c>
      <c r="F92" s="2387"/>
      <c r="G92" s="2387"/>
      <c r="H92" s="2387"/>
      <c r="I92" s="2387"/>
      <c r="J92" s="2387"/>
      <c r="K92" s="2387"/>
      <c r="L92" s="2387"/>
      <c r="M92" s="2387"/>
      <c r="N92" s="2387"/>
      <c r="O92" s="2388"/>
      <c r="P92" s="661"/>
    </row>
    <row r="93" spans="1:16" s="659" customFormat="1" x14ac:dyDescent="0.25">
      <c r="A93" s="661">
        <v>720</v>
      </c>
      <c r="B93" s="1059"/>
      <c r="C93" s="1199" t="s">
        <v>78</v>
      </c>
      <c r="D93" s="662" t="str">
        <f t="shared" si="0"/>
        <v/>
      </c>
      <c r="E93" s="2386" t="s">
        <v>167</v>
      </c>
      <c r="F93" s="2387"/>
      <c r="G93" s="2387"/>
      <c r="H93" s="2387"/>
      <c r="I93" s="2387"/>
      <c r="J93" s="2387"/>
      <c r="K93" s="2387"/>
      <c r="L93" s="2387"/>
      <c r="M93" s="2387"/>
      <c r="N93" s="2387"/>
      <c r="O93" s="2388"/>
      <c r="P93" s="661"/>
    </row>
    <row r="94" spans="1:16" s="659" customFormat="1" x14ac:dyDescent="0.25">
      <c r="A94" s="661">
        <v>725</v>
      </c>
      <c r="B94" s="1059"/>
      <c r="C94" s="1199" t="s">
        <v>78</v>
      </c>
      <c r="D94" s="662" t="str">
        <f t="shared" si="0"/>
        <v/>
      </c>
      <c r="E94" s="2386" t="s">
        <v>168</v>
      </c>
      <c r="F94" s="2387"/>
      <c r="G94" s="2387"/>
      <c r="H94" s="2387"/>
      <c r="I94" s="2387"/>
      <c r="J94" s="2387"/>
      <c r="K94" s="2387"/>
      <c r="L94" s="2387"/>
      <c r="M94" s="2387"/>
      <c r="N94" s="2387"/>
      <c r="O94" s="2388"/>
      <c r="P94" s="661"/>
    </row>
    <row r="95" spans="1:16" s="659" customFormat="1" x14ac:dyDescent="0.25">
      <c r="A95" s="661">
        <v>730</v>
      </c>
      <c r="B95" s="1059"/>
      <c r="C95" s="1199" t="s">
        <v>78</v>
      </c>
      <c r="D95" s="662" t="str">
        <f t="shared" si="0"/>
        <v/>
      </c>
      <c r="E95" s="2386" t="s">
        <v>169</v>
      </c>
      <c r="F95" s="2387"/>
      <c r="G95" s="2387"/>
      <c r="H95" s="2387"/>
      <c r="I95" s="2387"/>
      <c r="J95" s="2387"/>
      <c r="K95" s="2387"/>
      <c r="L95" s="2387"/>
      <c r="M95" s="2387"/>
      <c r="N95" s="2387"/>
      <c r="O95" s="2388"/>
      <c r="P95" s="661"/>
    </row>
    <row r="96" spans="1:16" s="659" customFormat="1" x14ac:dyDescent="0.25">
      <c r="A96" s="661">
        <v>735</v>
      </c>
      <c r="B96" s="1059"/>
      <c r="C96" s="1199" t="s">
        <v>78</v>
      </c>
      <c r="D96" s="662" t="str">
        <f t="shared" si="0"/>
        <v/>
      </c>
      <c r="E96" s="2386" t="s">
        <v>170</v>
      </c>
      <c r="F96" s="2387"/>
      <c r="G96" s="2387"/>
      <c r="H96" s="2387"/>
      <c r="I96" s="2387"/>
      <c r="J96" s="2387"/>
      <c r="K96" s="2387"/>
      <c r="L96" s="2387"/>
      <c r="M96" s="2387"/>
      <c r="N96" s="2387"/>
      <c r="O96" s="2388"/>
      <c r="P96" s="661"/>
    </row>
    <row r="97" spans="1:17" s="659" customFormat="1" x14ac:dyDescent="0.25">
      <c r="A97" s="661">
        <v>740</v>
      </c>
      <c r="B97" s="1059"/>
      <c r="C97" s="1199" t="s">
        <v>78</v>
      </c>
      <c r="D97" s="662" t="str">
        <f t="shared" si="0"/>
        <v/>
      </c>
      <c r="E97" s="2386" t="s">
        <v>171</v>
      </c>
      <c r="F97" s="2387"/>
      <c r="G97" s="2387"/>
      <c r="H97" s="2387"/>
      <c r="I97" s="2387"/>
      <c r="J97" s="2387"/>
      <c r="K97" s="2387"/>
      <c r="L97" s="2387"/>
      <c r="M97" s="2387"/>
      <c r="N97" s="2387"/>
      <c r="O97" s="2388"/>
      <c r="P97" s="661"/>
      <c r="Q97" s="1682"/>
    </row>
    <row r="98" spans="1:17" s="659" customFormat="1" x14ac:dyDescent="0.25">
      <c r="A98" s="661">
        <v>745</v>
      </c>
      <c r="B98" s="1059"/>
      <c r="C98" s="1075"/>
      <c r="D98" s="662" t="str">
        <f t="shared" si="0"/>
        <v/>
      </c>
      <c r="E98" s="2386" t="s">
        <v>172</v>
      </c>
      <c r="F98" s="2387"/>
      <c r="G98" s="2387"/>
      <c r="H98" s="2387"/>
      <c r="I98" s="2387"/>
      <c r="J98" s="2387"/>
      <c r="K98" s="2387"/>
      <c r="L98" s="2387"/>
      <c r="M98" s="2387"/>
      <c r="N98" s="2387"/>
      <c r="O98" s="2388"/>
      <c r="P98" s="661" t="s">
        <v>82</v>
      </c>
      <c r="Q98" s="1682"/>
    </row>
    <row r="99" spans="1:17" s="659" customFormat="1" x14ac:dyDescent="0.25">
      <c r="A99" s="122">
        <v>750</v>
      </c>
      <c r="B99" s="1683" t="s">
        <v>78</v>
      </c>
      <c r="C99" s="1075"/>
      <c r="D99" s="662" t="str">
        <f t="shared" si="0"/>
        <v/>
      </c>
      <c r="E99" s="2394" t="s">
        <v>173</v>
      </c>
      <c r="F99" s="2392"/>
      <c r="G99" s="2392"/>
      <c r="H99" s="2392"/>
      <c r="I99" s="2392"/>
      <c r="J99" s="2392"/>
      <c r="K99" s="2392"/>
      <c r="L99" s="2392"/>
      <c r="M99" s="2392"/>
      <c r="N99" s="2392"/>
      <c r="O99" s="2393"/>
      <c r="P99" s="661" t="s">
        <v>82</v>
      </c>
      <c r="Q99" s="1682"/>
    </row>
    <row r="100" spans="1:17" s="659" customFormat="1" x14ac:dyDescent="0.25">
      <c r="A100" s="661">
        <v>755</v>
      </c>
      <c r="B100" s="1059"/>
      <c r="C100" s="1075"/>
      <c r="D100" s="662"/>
      <c r="E100" s="2386" t="s">
        <v>174</v>
      </c>
      <c r="F100" s="2387"/>
      <c r="G100" s="2387"/>
      <c r="H100" s="2387"/>
      <c r="I100" s="2387"/>
      <c r="J100" s="2387"/>
      <c r="K100" s="2387"/>
      <c r="L100" s="2387"/>
      <c r="M100" s="2387"/>
      <c r="N100" s="2387"/>
      <c r="O100" s="2388"/>
      <c r="P100" s="661" t="s">
        <v>82</v>
      </c>
      <c r="Q100" s="1682"/>
    </row>
    <row r="101" spans="1:17" s="659" customFormat="1" x14ac:dyDescent="0.25">
      <c r="A101" s="661">
        <v>756</v>
      </c>
      <c r="B101" s="1059"/>
      <c r="C101" s="1062" t="s">
        <v>78</v>
      </c>
      <c r="D101" s="662" t="str">
        <f>IF(B101="NA","",IF(Q101&lt;&gt;0,"E",""))</f>
        <v/>
      </c>
      <c r="E101" s="2386" t="s">
        <v>175</v>
      </c>
      <c r="F101" s="2387"/>
      <c r="G101" s="2387"/>
      <c r="H101" s="2387"/>
      <c r="I101" s="2387"/>
      <c r="J101" s="2387"/>
      <c r="K101" s="2387"/>
      <c r="L101" s="2387"/>
      <c r="M101" s="2387"/>
      <c r="N101" s="2387"/>
      <c r="O101" s="2388"/>
      <c r="P101" s="661"/>
      <c r="Q101" s="1682"/>
    </row>
    <row r="102" spans="1:17" s="659" customFormat="1" x14ac:dyDescent="0.25">
      <c r="A102" s="661">
        <v>760</v>
      </c>
      <c r="B102" s="1059"/>
      <c r="C102" s="1075"/>
      <c r="D102" s="662"/>
      <c r="E102" s="2386" t="s">
        <v>176</v>
      </c>
      <c r="F102" s="2387"/>
      <c r="G102" s="2387"/>
      <c r="H102" s="2387"/>
      <c r="I102" s="2387"/>
      <c r="J102" s="2387"/>
      <c r="K102" s="2387"/>
      <c r="L102" s="2387"/>
      <c r="M102" s="2387"/>
      <c r="N102" s="2387"/>
      <c r="O102" s="2388"/>
      <c r="P102" s="661" t="s">
        <v>82</v>
      </c>
      <c r="Q102" s="1682"/>
    </row>
    <row r="103" spans="1:17" s="1065" customFormat="1" ht="15" customHeight="1" x14ac:dyDescent="0.2">
      <c r="A103" s="1066">
        <v>765</v>
      </c>
      <c r="B103" s="1074"/>
      <c r="C103" s="1076"/>
      <c r="D103" s="1064"/>
      <c r="E103" s="2433" t="s">
        <v>177</v>
      </c>
      <c r="F103" s="2434"/>
      <c r="G103" s="2434"/>
      <c r="H103" s="2434"/>
      <c r="I103" s="2434"/>
      <c r="J103" s="2434"/>
      <c r="K103" s="2434"/>
      <c r="L103" s="2434"/>
      <c r="M103" s="2434"/>
      <c r="N103" s="2434"/>
      <c r="O103" s="2435"/>
      <c r="P103" s="1066" t="s">
        <v>82</v>
      </c>
      <c r="Q103" s="1685"/>
    </row>
    <row r="104" spans="1:17" s="659" customFormat="1" ht="29.1" customHeight="1" x14ac:dyDescent="0.25">
      <c r="A104" s="1067">
        <v>905</v>
      </c>
      <c r="B104" s="1059"/>
      <c r="C104" s="1199" t="s">
        <v>78</v>
      </c>
      <c r="D104" s="662" t="str">
        <f>IF(B104="NA","",IF(Q104&lt;&gt;0,"E",""))</f>
        <v/>
      </c>
      <c r="E104" s="2389" t="s">
        <v>178</v>
      </c>
      <c r="F104" s="2390"/>
      <c r="G104" s="2390"/>
      <c r="H104" s="2390"/>
      <c r="I104" s="2390"/>
      <c r="J104" s="2390"/>
      <c r="K104" s="2390"/>
      <c r="L104" s="2390"/>
      <c r="M104" s="2390"/>
      <c r="N104" s="2390"/>
      <c r="O104" s="2391"/>
      <c r="P104" s="661"/>
      <c r="Q104" s="1682"/>
    </row>
    <row r="105" spans="1:17" s="659" customFormat="1" ht="45" customHeight="1" x14ac:dyDescent="0.25">
      <c r="A105" s="663" t="s">
        <v>179</v>
      </c>
      <c r="B105" s="1686" t="s">
        <v>180</v>
      </c>
      <c r="C105" s="1687" t="s">
        <v>78</v>
      </c>
      <c r="D105" s="662"/>
      <c r="E105" s="2389" t="s">
        <v>181</v>
      </c>
      <c r="F105" s="2390"/>
      <c r="G105" s="2390"/>
      <c r="H105" s="2390"/>
      <c r="I105" s="2390"/>
      <c r="J105" s="2390"/>
      <c r="K105" s="2390"/>
      <c r="L105" s="2390"/>
      <c r="M105" s="2390"/>
      <c r="N105" s="2390"/>
      <c r="O105" s="2391"/>
      <c r="P105" s="661"/>
      <c r="Q105" s="1682"/>
    </row>
    <row r="106" spans="1:17" s="659" customFormat="1" ht="33" customHeight="1" x14ac:dyDescent="0.25">
      <c r="A106" s="661" t="s">
        <v>182</v>
      </c>
      <c r="B106" s="1059"/>
      <c r="C106" s="1199" t="s">
        <v>78</v>
      </c>
      <c r="D106" s="662"/>
      <c r="E106" s="2389" t="s">
        <v>183</v>
      </c>
      <c r="F106" s="2390"/>
      <c r="G106" s="2390"/>
      <c r="H106" s="2390"/>
      <c r="I106" s="2390"/>
      <c r="J106" s="2390"/>
      <c r="K106" s="2390"/>
      <c r="L106" s="2390"/>
      <c r="M106" s="2390"/>
      <c r="N106" s="2390"/>
      <c r="O106" s="2391"/>
      <c r="P106" s="661"/>
      <c r="Q106" s="1682"/>
    </row>
    <row r="107" spans="1:17" s="659" customFormat="1" ht="15" customHeight="1" x14ac:dyDescent="0.25">
      <c r="A107" s="661" t="s">
        <v>184</v>
      </c>
      <c r="B107" s="1059"/>
      <c r="C107" s="1199" t="s">
        <v>78</v>
      </c>
      <c r="D107" s="662"/>
      <c r="E107" s="2389" t="s">
        <v>185</v>
      </c>
      <c r="F107" s="2390"/>
      <c r="G107" s="2390"/>
      <c r="H107" s="2390"/>
      <c r="I107" s="2390"/>
      <c r="J107" s="2390"/>
      <c r="K107" s="2390"/>
      <c r="L107" s="2390"/>
      <c r="M107" s="2390"/>
      <c r="N107" s="2390"/>
      <c r="O107" s="2391"/>
      <c r="P107" s="661"/>
      <c r="Q107" s="695"/>
    </row>
    <row r="108" spans="1:17" s="659" customFormat="1" ht="15" customHeight="1" x14ac:dyDescent="0.25">
      <c r="A108" s="661" t="s">
        <v>186</v>
      </c>
      <c r="B108" s="1059"/>
      <c r="C108" s="1199" t="s">
        <v>78</v>
      </c>
      <c r="D108" s="662"/>
      <c r="E108" s="2389" t="s">
        <v>187</v>
      </c>
      <c r="F108" s="2390"/>
      <c r="G108" s="2390"/>
      <c r="H108" s="2390"/>
      <c r="I108" s="2390"/>
      <c r="J108" s="2390"/>
      <c r="K108" s="2390"/>
      <c r="L108" s="2390"/>
      <c r="M108" s="2390"/>
      <c r="N108" s="2390"/>
      <c r="O108" s="2391"/>
      <c r="P108" s="661"/>
      <c r="Q108" s="695"/>
    </row>
    <row r="109" spans="1:17" s="659" customFormat="1" ht="18" customHeight="1" x14ac:dyDescent="0.25">
      <c r="A109" s="661" t="s">
        <v>188</v>
      </c>
      <c r="B109" s="1059"/>
      <c r="C109" s="1199" t="s">
        <v>78</v>
      </c>
      <c r="D109" s="662"/>
      <c r="E109" s="2430" t="s">
        <v>189</v>
      </c>
      <c r="F109" s="2431"/>
      <c r="G109" s="2431"/>
      <c r="H109" s="2431"/>
      <c r="I109" s="2431"/>
      <c r="J109" s="2431"/>
      <c r="K109" s="2431"/>
      <c r="L109" s="2431"/>
      <c r="M109" s="2431"/>
      <c r="N109" s="2431"/>
      <c r="O109" s="2432"/>
      <c r="P109" s="661"/>
      <c r="Q109" s="695"/>
    </row>
    <row r="110" spans="1:17" s="659" customFormat="1" x14ac:dyDescent="0.25">
      <c r="A110" s="661">
        <v>907</v>
      </c>
      <c r="B110" s="1059"/>
      <c r="C110" s="1199" t="s">
        <v>78</v>
      </c>
      <c r="D110" s="662" t="str">
        <f t="shared" ref="D110:D117" si="1">IF(B110="NA","",IF(Q110&lt;&gt;0,"E",""))</f>
        <v/>
      </c>
      <c r="E110" s="2386" t="s">
        <v>190</v>
      </c>
      <c r="F110" s="2387"/>
      <c r="G110" s="2387"/>
      <c r="H110" s="2387"/>
      <c r="I110" s="2387"/>
      <c r="J110" s="2387"/>
      <c r="K110" s="2387"/>
      <c r="L110" s="2387"/>
      <c r="M110" s="2387"/>
      <c r="N110" s="2387"/>
      <c r="O110" s="2388"/>
      <c r="P110" s="661"/>
      <c r="Q110" s="1682"/>
    </row>
    <row r="111" spans="1:17" s="659" customFormat="1" ht="30" customHeight="1" x14ac:dyDescent="0.25">
      <c r="A111" s="661">
        <v>908</v>
      </c>
      <c r="B111" s="1059"/>
      <c r="C111" s="1199" t="s">
        <v>78</v>
      </c>
      <c r="D111" s="662"/>
      <c r="E111" s="2427" t="s">
        <v>191</v>
      </c>
      <c r="F111" s="2428"/>
      <c r="G111" s="2428"/>
      <c r="H111" s="2428"/>
      <c r="I111" s="2428"/>
      <c r="J111" s="2428"/>
      <c r="K111" s="2428"/>
      <c r="L111" s="2428"/>
      <c r="M111" s="2428"/>
      <c r="N111" s="2428"/>
      <c r="O111" s="2429"/>
      <c r="P111" s="661"/>
      <c r="Q111" s="1682"/>
    </row>
    <row r="112" spans="1:17" s="659" customFormat="1" x14ac:dyDescent="0.25">
      <c r="A112" s="661">
        <v>910</v>
      </c>
      <c r="B112" s="1059"/>
      <c r="C112" s="1199" t="s">
        <v>78</v>
      </c>
      <c r="D112" s="662" t="str">
        <f t="shared" si="1"/>
        <v/>
      </c>
      <c r="E112" s="2386" t="s">
        <v>192</v>
      </c>
      <c r="F112" s="2387"/>
      <c r="G112" s="2387"/>
      <c r="H112" s="2387"/>
      <c r="I112" s="2387"/>
      <c r="J112" s="2387"/>
      <c r="K112" s="2387"/>
      <c r="L112" s="2387"/>
      <c r="M112" s="2387"/>
      <c r="N112" s="2387"/>
      <c r="O112" s="2388"/>
      <c r="P112" s="661"/>
      <c r="Q112" s="1682"/>
    </row>
    <row r="113" spans="1:17" s="659" customFormat="1" x14ac:dyDescent="0.25">
      <c r="A113" s="661" t="s">
        <v>193</v>
      </c>
      <c r="B113" s="1059"/>
      <c r="C113" s="1199" t="s">
        <v>78</v>
      </c>
      <c r="D113" s="662" t="str">
        <f t="shared" si="1"/>
        <v/>
      </c>
      <c r="E113" s="2386" t="s">
        <v>194</v>
      </c>
      <c r="F113" s="2387"/>
      <c r="G113" s="2387"/>
      <c r="H113" s="2387"/>
      <c r="I113" s="2387"/>
      <c r="J113" s="2387"/>
      <c r="K113" s="2387"/>
      <c r="L113" s="2387"/>
      <c r="M113" s="2387"/>
      <c r="N113" s="2387"/>
      <c r="O113" s="2388"/>
      <c r="P113" s="661"/>
      <c r="Q113" s="1682"/>
    </row>
    <row r="114" spans="1:17" s="659" customFormat="1" x14ac:dyDescent="0.25">
      <c r="A114" s="661" t="s">
        <v>195</v>
      </c>
      <c r="B114" s="1059"/>
      <c r="C114" s="1199" t="s">
        <v>78</v>
      </c>
      <c r="D114" s="662" t="str">
        <f t="shared" si="1"/>
        <v/>
      </c>
      <c r="E114" s="2386" t="s">
        <v>196</v>
      </c>
      <c r="F114" s="2387"/>
      <c r="G114" s="2387"/>
      <c r="H114" s="2387"/>
      <c r="I114" s="2387"/>
      <c r="J114" s="2387"/>
      <c r="K114" s="2387"/>
      <c r="L114" s="2387"/>
      <c r="M114" s="2387"/>
      <c r="N114" s="2387"/>
      <c r="O114" s="2388"/>
      <c r="P114" s="661"/>
      <c r="Q114" s="1682"/>
    </row>
    <row r="115" spans="1:17" s="659" customFormat="1" x14ac:dyDescent="0.25">
      <c r="A115" s="661" t="s">
        <v>197</v>
      </c>
      <c r="B115" s="1059"/>
      <c r="C115" s="1199" t="s">
        <v>78</v>
      </c>
      <c r="D115" s="662" t="str">
        <f t="shared" si="1"/>
        <v/>
      </c>
      <c r="E115" s="2386" t="s">
        <v>198</v>
      </c>
      <c r="F115" s="2387"/>
      <c r="G115" s="2387"/>
      <c r="H115" s="2387"/>
      <c r="I115" s="2387"/>
      <c r="J115" s="2387"/>
      <c r="K115" s="2387"/>
      <c r="L115" s="2387"/>
      <c r="M115" s="2387"/>
      <c r="N115" s="2387"/>
      <c r="O115" s="2388"/>
      <c r="P115" s="661"/>
      <c r="Q115" s="1682"/>
    </row>
    <row r="116" spans="1:17" s="659" customFormat="1" x14ac:dyDescent="0.25">
      <c r="A116" s="664" t="s">
        <v>199</v>
      </c>
      <c r="B116" s="1059"/>
      <c r="C116" s="1199" t="s">
        <v>78</v>
      </c>
      <c r="D116" s="662" t="str">
        <f t="shared" si="1"/>
        <v/>
      </c>
      <c r="E116" s="2386" t="s">
        <v>200</v>
      </c>
      <c r="F116" s="2387"/>
      <c r="G116" s="2387"/>
      <c r="H116" s="2387"/>
      <c r="I116" s="2387"/>
      <c r="J116" s="2387"/>
      <c r="K116" s="2387"/>
      <c r="L116" s="2387"/>
      <c r="M116" s="2387"/>
      <c r="N116" s="2387"/>
      <c r="O116" s="2388"/>
      <c r="P116" s="661"/>
      <c r="Q116" s="1682"/>
    </row>
    <row r="117" spans="1:17" s="659" customFormat="1" x14ac:dyDescent="0.25">
      <c r="A117" s="664" t="s">
        <v>201</v>
      </c>
      <c r="B117" s="1059"/>
      <c r="C117" s="1199" t="s">
        <v>78</v>
      </c>
      <c r="D117" s="662" t="str">
        <f t="shared" si="1"/>
        <v/>
      </c>
      <c r="E117" s="2386" t="s">
        <v>202</v>
      </c>
      <c r="F117" s="2387"/>
      <c r="G117" s="2387"/>
      <c r="H117" s="2387"/>
      <c r="I117" s="2387"/>
      <c r="J117" s="2387"/>
      <c r="K117" s="2387"/>
      <c r="L117" s="2387"/>
      <c r="M117" s="2387"/>
      <c r="N117" s="2387"/>
      <c r="O117" s="2388"/>
      <c r="P117" s="661"/>
      <c r="Q117" s="1682"/>
    </row>
    <row r="118" spans="1:17" s="659" customFormat="1" ht="16.5" customHeight="1" x14ac:dyDescent="0.25">
      <c r="A118" s="916" t="s">
        <v>203</v>
      </c>
      <c r="B118" s="1686" t="s">
        <v>180</v>
      </c>
      <c r="C118" s="1199" t="s">
        <v>78</v>
      </c>
      <c r="D118" s="662"/>
      <c r="E118" s="2398" t="s">
        <v>204</v>
      </c>
      <c r="F118" s="2399"/>
      <c r="G118" s="2399"/>
      <c r="H118" s="2399"/>
      <c r="I118" s="2399"/>
      <c r="J118" s="2399"/>
      <c r="K118" s="2399"/>
      <c r="L118" s="2399"/>
      <c r="M118" s="2399"/>
      <c r="N118" s="2399"/>
      <c r="O118" s="2400"/>
      <c r="P118" s="661"/>
      <c r="Q118" s="695"/>
    </row>
    <row r="119" spans="1:17" s="659" customFormat="1" ht="16.5" customHeight="1" x14ac:dyDescent="0.25">
      <c r="A119" s="916" t="s">
        <v>205</v>
      </c>
      <c r="B119" s="1686" t="s">
        <v>180</v>
      </c>
      <c r="C119" s="1199" t="s">
        <v>78</v>
      </c>
      <c r="D119" s="662"/>
      <c r="E119" s="2198" t="s">
        <v>206</v>
      </c>
      <c r="F119" s="2199"/>
      <c r="G119" s="2199"/>
      <c r="H119" s="2199"/>
      <c r="I119" s="2199"/>
      <c r="J119" s="2199"/>
      <c r="K119" s="2199"/>
      <c r="L119" s="2199"/>
      <c r="M119" s="2199"/>
      <c r="N119" s="2199"/>
      <c r="O119" s="2200"/>
      <c r="P119" s="661"/>
      <c r="Q119" s="695"/>
    </row>
    <row r="120" spans="1:17" s="659" customFormat="1" ht="15.75" customHeight="1" x14ac:dyDescent="0.25">
      <c r="A120" s="665" t="s">
        <v>207</v>
      </c>
      <c r="B120" s="1686" t="s">
        <v>180</v>
      </c>
      <c r="C120" s="1199" t="s">
        <v>78</v>
      </c>
      <c r="D120" s="662"/>
      <c r="E120" s="2386" t="s">
        <v>208</v>
      </c>
      <c r="F120" s="2387"/>
      <c r="G120" s="2387"/>
      <c r="H120" s="2387"/>
      <c r="I120" s="2387"/>
      <c r="J120" s="2387"/>
      <c r="K120" s="2387"/>
      <c r="L120" s="2387"/>
      <c r="M120" s="2387"/>
      <c r="N120" s="2387"/>
      <c r="O120" s="2388"/>
      <c r="P120" s="661"/>
      <c r="Q120" s="1682"/>
    </row>
    <row r="121" spans="1:17" s="659" customFormat="1" ht="16.5" customHeight="1" x14ac:dyDescent="0.25">
      <c r="A121" s="915" t="s">
        <v>209</v>
      </c>
      <c r="B121" s="1686" t="s">
        <v>180</v>
      </c>
      <c r="C121" s="1199" t="s">
        <v>78</v>
      </c>
      <c r="D121" s="662"/>
      <c r="E121" s="2398" t="s">
        <v>210</v>
      </c>
      <c r="F121" s="2399"/>
      <c r="G121" s="2399"/>
      <c r="H121" s="2399"/>
      <c r="I121" s="2399"/>
      <c r="J121" s="2399"/>
      <c r="K121" s="2399"/>
      <c r="L121" s="2399"/>
      <c r="M121" s="2399"/>
      <c r="N121" s="2399"/>
      <c r="O121" s="2400"/>
      <c r="P121" s="661"/>
      <c r="Q121" s="695"/>
    </row>
    <row r="122" spans="1:17" s="659" customFormat="1" ht="16.5" customHeight="1" x14ac:dyDescent="0.25">
      <c r="A122" s="665" t="s">
        <v>211</v>
      </c>
      <c r="B122" s="1686" t="s">
        <v>180</v>
      </c>
      <c r="C122" s="1199" t="s">
        <v>78</v>
      </c>
      <c r="D122" s="662"/>
      <c r="E122" s="2386" t="s">
        <v>212</v>
      </c>
      <c r="F122" s="2387"/>
      <c r="G122" s="2387"/>
      <c r="H122" s="2387"/>
      <c r="I122" s="2387"/>
      <c r="J122" s="2387"/>
      <c r="K122" s="2387"/>
      <c r="L122" s="2387"/>
      <c r="M122" s="2387"/>
      <c r="N122" s="2387"/>
      <c r="O122" s="2388"/>
      <c r="P122" s="661"/>
      <c r="Q122" s="695"/>
    </row>
    <row r="123" spans="1:17" s="659" customFormat="1" ht="16.5" customHeight="1" x14ac:dyDescent="0.25">
      <c r="A123" s="665" t="s">
        <v>213</v>
      </c>
      <c r="B123" s="1686" t="s">
        <v>180</v>
      </c>
      <c r="C123" s="1199" t="s">
        <v>78</v>
      </c>
      <c r="D123" s="662"/>
      <c r="E123" s="2386" t="s">
        <v>214</v>
      </c>
      <c r="F123" s="2387"/>
      <c r="G123" s="2387"/>
      <c r="H123" s="2387"/>
      <c r="I123" s="2387"/>
      <c r="J123" s="2387"/>
      <c r="K123" s="2387"/>
      <c r="L123" s="2387"/>
      <c r="M123" s="2387"/>
      <c r="N123" s="2387"/>
      <c r="O123" s="2388"/>
      <c r="P123" s="661"/>
      <c r="Q123" s="695"/>
    </row>
    <row r="124" spans="1:17" ht="12.75" customHeight="1" x14ac:dyDescent="0.25">
      <c r="A124" s="769" t="s">
        <v>215</v>
      </c>
      <c r="B124" s="1677"/>
      <c r="C124" s="1677"/>
      <c r="D124" s="1677"/>
      <c r="E124" s="1677"/>
      <c r="F124" s="1688"/>
      <c r="G124" s="1688"/>
      <c r="H124" s="1677"/>
      <c r="I124" s="2401" t="str">
        <f>CONCATENATE(E10," ",E11)</f>
        <v>01 North Carolina General Assembly</v>
      </c>
      <c r="J124" s="2401"/>
      <c r="K124" s="2401"/>
      <c r="L124" s="2401"/>
      <c r="M124" s="2401"/>
      <c r="N124" s="2401"/>
      <c r="O124" s="2401"/>
      <c r="P124" s="1678"/>
      <c r="Q124" s="1678"/>
    </row>
    <row r="125" spans="1:17" s="659" customFormat="1" x14ac:dyDescent="0.25">
      <c r="A125" s="2397" t="s">
        <v>216</v>
      </c>
      <c r="B125" s="2396"/>
      <c r="C125" s="2396"/>
      <c r="D125" s="2396"/>
      <c r="E125" s="2396"/>
      <c r="F125" s="2396"/>
      <c r="G125" s="2396"/>
      <c r="H125" s="2396"/>
      <c r="I125" s="2396"/>
      <c r="J125" s="2396"/>
      <c r="K125" s="2396"/>
      <c r="L125" s="2396"/>
      <c r="M125" s="2396"/>
      <c r="N125" s="2396"/>
      <c r="O125" s="2396"/>
      <c r="P125" s="2396"/>
      <c r="Q125" s="1682"/>
    </row>
    <row r="126" spans="1:17" x14ac:dyDescent="0.25">
      <c r="A126" s="2395" t="s">
        <v>217</v>
      </c>
      <c r="B126" s="2396"/>
      <c r="C126" s="2396"/>
      <c r="D126" s="2396"/>
      <c r="E126" s="2396"/>
      <c r="F126" s="2396"/>
      <c r="G126" s="2396"/>
      <c r="H126" s="2396"/>
      <c r="I126" s="2396"/>
      <c r="J126" s="2396"/>
      <c r="K126" s="2396"/>
      <c r="L126" s="2396"/>
      <c r="M126" s="2396"/>
      <c r="N126" s="2396"/>
      <c r="O126" s="2396"/>
      <c r="P126" s="2396"/>
      <c r="Q126" s="1678"/>
    </row>
    <row r="130" spans="1:17" x14ac:dyDescent="0.25">
      <c r="A130" s="1678"/>
      <c r="B130" s="1678"/>
      <c r="C130" s="1678"/>
      <c r="D130" s="1678"/>
      <c r="E130" s="1678"/>
      <c r="F130" s="1677"/>
      <c r="G130" s="1677"/>
      <c r="H130" s="1678"/>
      <c r="I130" s="1678"/>
      <c r="J130" s="1678"/>
      <c r="K130" s="1678"/>
      <c r="L130" s="1678"/>
      <c r="M130" s="1678"/>
      <c r="N130" s="1678"/>
      <c r="O130" s="1678"/>
      <c r="P130" s="1678"/>
      <c r="Q130" s="1678"/>
    </row>
    <row r="131" spans="1:17" x14ac:dyDescent="0.25">
      <c r="A131" s="1678"/>
      <c r="B131" s="1678"/>
      <c r="C131" s="1678"/>
      <c r="D131" s="1678"/>
      <c r="E131" s="1678"/>
      <c r="F131" s="1677"/>
      <c r="G131" s="1677"/>
      <c r="H131" s="1678"/>
      <c r="I131" s="1678"/>
      <c r="J131" s="1678"/>
      <c r="K131" s="1678"/>
      <c r="L131" s="1678"/>
      <c r="M131" s="1678"/>
      <c r="N131" s="1678"/>
      <c r="O131" s="1678"/>
      <c r="P131" s="1678"/>
      <c r="Q131" s="1678"/>
    </row>
    <row r="132" spans="1:17" x14ac:dyDescent="0.25">
      <c r="A132" s="1678"/>
      <c r="B132" s="1678"/>
      <c r="C132" s="1678"/>
      <c r="D132" s="1678"/>
      <c r="E132" s="1678"/>
      <c r="F132" s="1677"/>
      <c r="G132" s="1677"/>
      <c r="H132" s="1678"/>
      <c r="I132" s="1678"/>
      <c r="J132" s="1678"/>
      <c r="K132" s="1678"/>
      <c r="L132" s="1678"/>
      <c r="M132" s="1678"/>
      <c r="N132" s="1678"/>
      <c r="O132" s="1678"/>
      <c r="P132" s="1678"/>
      <c r="Q132" s="1678"/>
    </row>
    <row r="133" spans="1:17" x14ac:dyDescent="0.25">
      <c r="A133" s="1678"/>
      <c r="B133" s="1678"/>
      <c r="C133" s="1678"/>
      <c r="D133" s="1678"/>
      <c r="E133" s="1678"/>
      <c r="F133" s="1677"/>
      <c r="G133" s="1677"/>
      <c r="H133" s="1678"/>
      <c r="I133" s="1678"/>
      <c r="J133" s="1678"/>
      <c r="K133" s="1678"/>
      <c r="L133" s="1678"/>
      <c r="M133" s="1678"/>
      <c r="N133" s="1678"/>
      <c r="O133" s="1678"/>
      <c r="P133" s="1678"/>
      <c r="Q133" s="1678"/>
    </row>
    <row r="134" spans="1:17" x14ac:dyDescent="0.25">
      <c r="A134" s="1678"/>
      <c r="B134" s="1678"/>
      <c r="C134" s="1678"/>
      <c r="D134" s="1678"/>
      <c r="E134" s="1678"/>
      <c r="F134" s="1677"/>
      <c r="G134" s="1677"/>
      <c r="H134" s="1678"/>
      <c r="I134" s="1678"/>
      <c r="J134" s="1678"/>
      <c r="K134" s="1678"/>
      <c r="L134" s="1678"/>
      <c r="M134" s="1678"/>
      <c r="N134" s="1678"/>
      <c r="O134" s="1678"/>
      <c r="P134" s="1678"/>
      <c r="Q134" s="1678"/>
    </row>
    <row r="135" spans="1:17" x14ac:dyDescent="0.25">
      <c r="A135" s="1678"/>
      <c r="B135" s="1678"/>
      <c r="C135" s="1678"/>
      <c r="D135" s="1678"/>
      <c r="E135" s="1678"/>
      <c r="F135" s="1677"/>
      <c r="G135" s="1677"/>
      <c r="H135" s="1678"/>
      <c r="I135" s="1678"/>
      <c r="J135" s="1678"/>
      <c r="K135" s="1678"/>
      <c r="L135" s="1678"/>
      <c r="M135" s="1678"/>
      <c r="N135" s="1678"/>
      <c r="O135" s="1678"/>
      <c r="P135" s="1678"/>
      <c r="Q135" s="1678"/>
    </row>
    <row r="1292" spans="1:4" s="650" customFormat="1" x14ac:dyDescent="0.25">
      <c r="A1292" s="1689"/>
      <c r="B1292" s="1677"/>
      <c r="C1292" s="1677"/>
      <c r="D1292" s="1677"/>
    </row>
    <row r="1293" spans="1:4" s="650" customFormat="1" x14ac:dyDescent="0.25">
      <c r="A1293" s="1689"/>
      <c r="B1293" s="1689"/>
      <c r="C1293" s="1689"/>
      <c r="D1293" s="1689"/>
    </row>
    <row r="1294" spans="1:4" s="650" customFormat="1" x14ac:dyDescent="0.25">
      <c r="A1294" s="1689"/>
      <c r="B1294" s="1689"/>
      <c r="C1294" s="1689"/>
      <c r="D1294" s="1689"/>
    </row>
    <row r="1295" spans="1:4" s="650" customFormat="1" x14ac:dyDescent="0.25">
      <c r="A1295" s="1689"/>
      <c r="B1295" s="1689"/>
      <c r="C1295" s="1689"/>
      <c r="D1295" s="1689"/>
    </row>
    <row r="1296" spans="1:4" s="650" customFormat="1" x14ac:dyDescent="0.25">
      <c r="A1296" s="1689"/>
      <c r="B1296" s="1689"/>
      <c r="C1296" s="1689"/>
      <c r="D1296" s="1689"/>
    </row>
    <row r="1297" spans="1:4" s="650" customFormat="1" x14ac:dyDescent="0.25">
      <c r="A1297" s="1689"/>
      <c r="B1297" s="1689"/>
      <c r="C1297" s="1689"/>
      <c r="D1297" s="1689"/>
    </row>
    <row r="1298" spans="1:4" s="650" customFormat="1" x14ac:dyDescent="0.25">
      <c r="A1298" s="1689"/>
      <c r="B1298" s="1689"/>
      <c r="C1298" s="1689"/>
      <c r="D1298" s="1689"/>
    </row>
    <row r="1299" spans="1:4" s="650" customFormat="1" x14ac:dyDescent="0.25">
      <c r="A1299" s="1689"/>
      <c r="B1299" s="1689"/>
      <c r="C1299" s="1689"/>
      <c r="D1299" s="1689"/>
    </row>
    <row r="1300" spans="1:4" s="650" customFormat="1" x14ac:dyDescent="0.25">
      <c r="A1300" s="1689"/>
      <c r="B1300" s="1689"/>
      <c r="C1300" s="1689"/>
      <c r="D1300" s="1689"/>
    </row>
    <row r="1301" spans="1:4" s="650" customFormat="1" x14ac:dyDescent="0.25">
      <c r="A1301" s="1689"/>
      <c r="B1301" s="1689"/>
      <c r="C1301" s="1689"/>
      <c r="D1301" s="1689"/>
    </row>
    <row r="1302" spans="1:4" s="650" customFormat="1" x14ac:dyDescent="0.25">
      <c r="A1302" s="1689"/>
      <c r="B1302" s="1689"/>
      <c r="C1302" s="1689"/>
      <c r="D1302" s="1689"/>
    </row>
    <row r="1303" spans="1:4" s="650" customFormat="1" x14ac:dyDescent="0.25">
      <c r="A1303" s="1689"/>
      <c r="B1303" s="1689"/>
      <c r="C1303" s="1689"/>
      <c r="D1303" s="1689"/>
    </row>
    <row r="1304" spans="1:4" s="650" customFormat="1" x14ac:dyDescent="0.25">
      <c r="A1304" s="1689"/>
      <c r="B1304" s="1689"/>
      <c r="C1304" s="1689"/>
      <c r="D1304" s="1689"/>
    </row>
    <row r="1305" spans="1:4" s="650" customFormat="1" x14ac:dyDescent="0.25">
      <c r="A1305" s="1689"/>
      <c r="B1305" s="1689"/>
      <c r="C1305" s="1689"/>
      <c r="D1305" s="1689"/>
    </row>
    <row r="1306" spans="1:4" s="650" customFormat="1" x14ac:dyDescent="0.25">
      <c r="A1306" s="1689"/>
      <c r="B1306" s="1689"/>
      <c r="C1306" s="1689"/>
      <c r="D1306" s="1689"/>
    </row>
    <row r="1307" spans="1:4" s="650" customFormat="1" x14ac:dyDescent="0.25">
      <c r="A1307" s="1689"/>
      <c r="B1307" s="1689"/>
      <c r="C1307" s="1689"/>
      <c r="D1307" s="1689"/>
    </row>
    <row r="1308" spans="1:4" s="650" customFormat="1" x14ac:dyDescent="0.25">
      <c r="A1308" s="1689"/>
      <c r="B1308" s="1689"/>
      <c r="C1308" s="1689"/>
      <c r="D1308" s="1689"/>
    </row>
    <row r="1309" spans="1:4" s="650" customFormat="1" x14ac:dyDescent="0.25">
      <c r="A1309" s="1689"/>
      <c r="B1309" s="1689"/>
      <c r="C1309" s="1689"/>
      <c r="D1309" s="1689"/>
    </row>
    <row r="1310" spans="1:4" s="650" customFormat="1" x14ac:dyDescent="0.25">
      <c r="A1310" s="1689"/>
      <c r="B1310" s="1689"/>
      <c r="C1310" s="1689"/>
      <c r="D1310" s="1689"/>
    </row>
    <row r="1311" spans="1:4" s="650" customFormat="1" x14ac:dyDescent="0.25">
      <c r="A1311" s="1689"/>
      <c r="B1311" s="1689"/>
      <c r="C1311" s="1689"/>
      <c r="D1311" s="1689"/>
    </row>
    <row r="1312" spans="1:4" s="650" customFormat="1" x14ac:dyDescent="0.25">
      <c r="A1312" s="1689"/>
      <c r="B1312" s="1689"/>
      <c r="C1312" s="1689"/>
      <c r="D1312" s="1689"/>
    </row>
    <row r="1313" spans="1:4" s="650" customFormat="1" x14ac:dyDescent="0.25">
      <c r="A1313" s="1689"/>
      <c r="B1313" s="1689"/>
      <c r="C1313" s="1689"/>
      <c r="D1313" s="1689"/>
    </row>
    <row r="1314" spans="1:4" s="650" customFormat="1" x14ac:dyDescent="0.25">
      <c r="A1314" s="1689"/>
      <c r="B1314" s="1689"/>
      <c r="C1314" s="1689"/>
      <c r="D1314" s="1689"/>
    </row>
    <row r="1315" spans="1:4" s="650" customFormat="1" x14ac:dyDescent="0.25">
      <c r="A1315" s="1689"/>
      <c r="B1315" s="1689"/>
      <c r="C1315" s="1689"/>
      <c r="D1315" s="1689"/>
    </row>
    <row r="1316" spans="1:4" s="650" customFormat="1" x14ac:dyDescent="0.25">
      <c r="A1316" s="1689"/>
      <c r="B1316" s="1689"/>
      <c r="C1316" s="1689"/>
      <c r="D1316" s="1689"/>
    </row>
    <row r="1317" spans="1:4" s="650" customFormat="1" x14ac:dyDescent="0.25">
      <c r="A1317" s="1689"/>
      <c r="B1317" s="1689"/>
      <c r="C1317" s="1689"/>
      <c r="D1317" s="1689"/>
    </row>
    <row r="1318" spans="1:4" s="650" customFormat="1" x14ac:dyDescent="0.25">
      <c r="A1318" s="1689"/>
      <c r="B1318" s="1689"/>
      <c r="C1318" s="1689"/>
      <c r="D1318" s="1689"/>
    </row>
    <row r="1319" spans="1:4" s="650" customFormat="1" x14ac:dyDescent="0.25">
      <c r="A1319" s="1689"/>
      <c r="B1319" s="1689"/>
      <c r="C1319" s="1689"/>
      <c r="D1319" s="1689"/>
    </row>
    <row r="1320" spans="1:4" s="650" customFormat="1" x14ac:dyDescent="0.25">
      <c r="A1320" s="1689"/>
      <c r="B1320" s="1689"/>
      <c r="C1320" s="1689"/>
      <c r="D1320" s="1689"/>
    </row>
    <row r="1321" spans="1:4" s="650" customFormat="1" x14ac:dyDescent="0.25">
      <c r="A1321" s="1689"/>
      <c r="B1321" s="1689"/>
      <c r="C1321" s="1689"/>
      <c r="D1321" s="1689"/>
    </row>
    <row r="1322" spans="1:4" s="650" customFormat="1" x14ac:dyDescent="0.25">
      <c r="A1322" s="1689"/>
      <c r="B1322" s="1689"/>
      <c r="C1322" s="1689"/>
      <c r="D1322" s="1689"/>
    </row>
    <row r="1323" spans="1:4" s="650" customFormat="1" x14ac:dyDescent="0.25">
      <c r="A1323" s="1689"/>
      <c r="B1323" s="1689"/>
      <c r="C1323" s="1689"/>
      <c r="D1323" s="1689"/>
    </row>
    <row r="1324" spans="1:4" s="650" customFormat="1" x14ac:dyDescent="0.25">
      <c r="A1324" s="1689"/>
      <c r="B1324" s="1689"/>
      <c r="C1324" s="1689"/>
      <c r="D1324" s="1689"/>
    </row>
    <row r="1325" spans="1:4" s="650" customFormat="1" x14ac:dyDescent="0.25">
      <c r="A1325" s="1689"/>
      <c r="B1325" s="1689"/>
      <c r="C1325" s="1689"/>
      <c r="D1325" s="1689"/>
    </row>
    <row r="1326" spans="1:4" s="650" customFormat="1" x14ac:dyDescent="0.25">
      <c r="A1326" s="1689"/>
      <c r="B1326" s="1689"/>
      <c r="C1326" s="1689"/>
      <c r="D1326" s="1689"/>
    </row>
    <row r="1327" spans="1:4" s="650" customFormat="1" x14ac:dyDescent="0.25">
      <c r="A1327" s="1689"/>
      <c r="B1327" s="1689"/>
      <c r="C1327" s="1689"/>
      <c r="D1327" s="1689"/>
    </row>
    <row r="1328" spans="1:4" s="650" customFormat="1" x14ac:dyDescent="0.25">
      <c r="A1328" s="1689"/>
      <c r="B1328" s="1689"/>
      <c r="C1328" s="1689"/>
      <c r="D1328" s="1689"/>
    </row>
    <row r="1329" spans="1:4" s="650" customFormat="1" x14ac:dyDescent="0.25">
      <c r="A1329" s="1689"/>
      <c r="B1329" s="1689"/>
      <c r="C1329" s="1689"/>
      <c r="D1329" s="1689"/>
    </row>
    <row r="1330" spans="1:4" s="650" customFormat="1" x14ac:dyDescent="0.25">
      <c r="A1330" s="1689"/>
      <c r="B1330" s="1689"/>
      <c r="C1330" s="1689"/>
      <c r="D1330" s="1689"/>
    </row>
    <row r="1331" spans="1:4" s="650" customFormat="1" x14ac:dyDescent="0.25">
      <c r="A1331" s="1689"/>
      <c r="B1331" s="1689"/>
      <c r="C1331" s="1689"/>
      <c r="D1331" s="1689"/>
    </row>
    <row r="1332" spans="1:4" s="650" customFormat="1" x14ac:dyDescent="0.25">
      <c r="A1332" s="1689"/>
      <c r="B1332" s="1689"/>
      <c r="C1332" s="1689"/>
      <c r="D1332" s="1689"/>
    </row>
    <row r="1333" spans="1:4" s="650" customFormat="1" x14ac:dyDescent="0.25">
      <c r="A1333" s="1689"/>
      <c r="B1333" s="1689"/>
      <c r="C1333" s="1689"/>
      <c r="D1333" s="1689"/>
    </row>
    <row r="1334" spans="1:4" s="650" customFormat="1" x14ac:dyDescent="0.25">
      <c r="A1334" s="1689"/>
      <c r="B1334" s="1689"/>
      <c r="C1334" s="1689"/>
      <c r="D1334" s="1689"/>
    </row>
    <row r="1335" spans="1:4" s="650" customFormat="1" x14ac:dyDescent="0.25">
      <c r="A1335" s="1689"/>
      <c r="B1335" s="1689"/>
      <c r="C1335" s="1689"/>
      <c r="D1335" s="1689"/>
    </row>
    <row r="1336" spans="1:4" s="650" customFormat="1" x14ac:dyDescent="0.25">
      <c r="A1336" s="1689"/>
      <c r="B1336" s="1689"/>
      <c r="C1336" s="1689"/>
      <c r="D1336" s="1689"/>
    </row>
    <row r="1337" spans="1:4" s="650" customFormat="1" x14ac:dyDescent="0.25">
      <c r="A1337" s="1689"/>
      <c r="B1337" s="1689"/>
      <c r="C1337" s="1689"/>
      <c r="D1337" s="1689"/>
    </row>
    <row r="1338" spans="1:4" s="650" customFormat="1" x14ac:dyDescent="0.25">
      <c r="A1338" s="1689"/>
      <c r="B1338" s="1689"/>
      <c r="C1338" s="1689"/>
      <c r="D1338" s="1689"/>
    </row>
    <row r="1339" spans="1:4" s="650" customFormat="1" x14ac:dyDescent="0.25">
      <c r="A1339" s="1689"/>
      <c r="B1339" s="1689"/>
      <c r="C1339" s="1689"/>
      <c r="D1339" s="1689"/>
    </row>
    <row r="1340" spans="1:4" s="650" customFormat="1" x14ac:dyDescent="0.25">
      <c r="A1340" s="1689"/>
      <c r="B1340" s="1689"/>
      <c r="C1340" s="1689"/>
      <c r="D1340" s="1689"/>
    </row>
    <row r="1341" spans="1:4" s="650" customFormat="1" x14ac:dyDescent="0.25">
      <c r="A1341" s="1689"/>
      <c r="B1341" s="1689"/>
      <c r="C1341" s="1689"/>
      <c r="D1341" s="1689"/>
    </row>
    <row r="1342" spans="1:4" s="650" customFormat="1" x14ac:dyDescent="0.25">
      <c r="A1342" s="1689"/>
      <c r="B1342" s="1689"/>
      <c r="C1342" s="1689"/>
      <c r="D1342" s="1689"/>
    </row>
    <row r="1343" spans="1:4" s="650" customFormat="1" x14ac:dyDescent="0.25">
      <c r="A1343" s="1689"/>
      <c r="B1343" s="1689"/>
      <c r="C1343" s="1689"/>
      <c r="D1343" s="1689"/>
    </row>
    <row r="1344" spans="1:4" s="650" customFormat="1" x14ac:dyDescent="0.25">
      <c r="A1344" s="1689"/>
      <c r="B1344" s="1689"/>
      <c r="C1344" s="1689"/>
      <c r="D1344" s="1689"/>
    </row>
    <row r="1345" spans="1:4" s="650" customFormat="1" x14ac:dyDescent="0.25">
      <c r="A1345" s="1689"/>
      <c r="B1345" s="1689"/>
      <c r="C1345" s="1689"/>
      <c r="D1345" s="1689"/>
    </row>
    <row r="1346" spans="1:4" s="650" customFormat="1" x14ac:dyDescent="0.25">
      <c r="A1346" s="1689"/>
      <c r="B1346" s="1689"/>
      <c r="C1346" s="1689"/>
      <c r="D1346" s="1689"/>
    </row>
    <row r="1347" spans="1:4" s="650" customFormat="1" x14ac:dyDescent="0.25">
      <c r="A1347" s="1689"/>
      <c r="B1347" s="1689"/>
      <c r="C1347" s="1689"/>
      <c r="D1347" s="1689"/>
    </row>
    <row r="1348" spans="1:4" s="650" customFormat="1" x14ac:dyDescent="0.25">
      <c r="A1348" s="1689"/>
      <c r="B1348" s="1689"/>
      <c r="C1348" s="1689"/>
      <c r="D1348" s="1689"/>
    </row>
    <row r="1349" spans="1:4" s="650" customFormat="1" x14ac:dyDescent="0.25">
      <c r="A1349" s="1689"/>
      <c r="B1349" s="1689"/>
      <c r="C1349" s="1689"/>
      <c r="D1349" s="1689"/>
    </row>
    <row r="1350" spans="1:4" s="650" customFormat="1" x14ac:dyDescent="0.25">
      <c r="A1350" s="1689"/>
      <c r="B1350" s="1689"/>
      <c r="C1350" s="1689"/>
      <c r="D1350" s="1689"/>
    </row>
    <row r="1351" spans="1:4" s="650" customFormat="1" x14ac:dyDescent="0.25">
      <c r="A1351" s="1689"/>
      <c r="B1351" s="1689"/>
      <c r="C1351" s="1689"/>
      <c r="D1351" s="1689"/>
    </row>
    <row r="1352" spans="1:4" s="650" customFormat="1" x14ac:dyDescent="0.25">
      <c r="A1352" s="1689"/>
      <c r="B1352" s="1689"/>
      <c r="C1352" s="1689"/>
      <c r="D1352" s="1689"/>
    </row>
    <row r="1353" spans="1:4" s="650" customFormat="1" x14ac:dyDescent="0.25">
      <c r="A1353" s="1689"/>
      <c r="B1353" s="1689"/>
      <c r="C1353" s="1689"/>
      <c r="D1353" s="1689"/>
    </row>
    <row r="1354" spans="1:4" s="650" customFormat="1" x14ac:dyDescent="0.25">
      <c r="A1354" s="1689"/>
      <c r="B1354" s="1689"/>
      <c r="C1354" s="1689"/>
      <c r="D1354" s="1689"/>
    </row>
    <row r="1355" spans="1:4" s="650" customFormat="1" x14ac:dyDescent="0.25">
      <c r="A1355" s="1689"/>
      <c r="B1355" s="1689"/>
      <c r="C1355" s="1689"/>
      <c r="D1355" s="1689"/>
    </row>
    <row r="1356" spans="1:4" s="650" customFormat="1" x14ac:dyDescent="0.25">
      <c r="A1356" s="1689"/>
      <c r="B1356" s="1689"/>
      <c r="C1356" s="1689"/>
      <c r="D1356" s="1689"/>
    </row>
    <row r="1357" spans="1:4" s="650" customFormat="1" x14ac:dyDescent="0.25">
      <c r="A1357" s="1689"/>
      <c r="B1357" s="1689"/>
      <c r="C1357" s="1689"/>
      <c r="D1357" s="1689"/>
    </row>
    <row r="1358" spans="1:4" s="650" customFormat="1" x14ac:dyDescent="0.25">
      <c r="A1358" s="1689"/>
      <c r="B1358" s="1689"/>
      <c r="C1358" s="1689"/>
      <c r="D1358" s="1689"/>
    </row>
    <row r="1359" spans="1:4" x14ac:dyDescent="0.25">
      <c r="A1359" s="1678"/>
      <c r="B1359" s="1690"/>
      <c r="C1359" s="1690"/>
      <c r="D1359" s="1690"/>
    </row>
    <row r="1360" spans="1:4" x14ac:dyDescent="0.25">
      <c r="A1360" s="1678"/>
      <c r="B1360" s="1690"/>
      <c r="C1360" s="1690"/>
      <c r="D1360" s="1690"/>
    </row>
    <row r="1361" spans="1:4" x14ac:dyDescent="0.25">
      <c r="A1361" s="1678"/>
      <c r="B1361" s="1690"/>
      <c r="C1361" s="1690"/>
      <c r="D1361" s="1690"/>
    </row>
    <row r="1362" spans="1:4" x14ac:dyDescent="0.25">
      <c r="A1362" s="1678"/>
      <c r="B1362" s="1690"/>
      <c r="C1362" s="1690"/>
      <c r="D1362" s="1690"/>
    </row>
    <row r="1363" spans="1:4" x14ac:dyDescent="0.25">
      <c r="A1363" s="1678"/>
      <c r="B1363" s="1690"/>
      <c r="C1363" s="1690"/>
      <c r="D1363" s="1690"/>
    </row>
    <row r="1364" spans="1:4" x14ac:dyDescent="0.25">
      <c r="A1364" s="1678"/>
      <c r="B1364" s="1690"/>
      <c r="C1364" s="1690"/>
      <c r="D1364" s="1690"/>
    </row>
    <row r="1365" spans="1:4" x14ac:dyDescent="0.25">
      <c r="A1365" s="1678"/>
      <c r="B1365" s="1690"/>
      <c r="C1365" s="1690"/>
      <c r="D1365" s="1690"/>
    </row>
    <row r="1366" spans="1:4" x14ac:dyDescent="0.25">
      <c r="A1366" s="1678"/>
      <c r="B1366" s="1690"/>
      <c r="C1366" s="1690"/>
      <c r="D1366" s="1690"/>
    </row>
    <row r="1367" spans="1:4" x14ac:dyDescent="0.25">
      <c r="A1367" s="1678"/>
      <c r="B1367" s="1690"/>
      <c r="C1367" s="1690"/>
      <c r="D1367" s="1690"/>
    </row>
    <row r="1368" spans="1:4" x14ac:dyDescent="0.25">
      <c r="A1368" s="1678"/>
      <c r="B1368" s="1690"/>
      <c r="C1368" s="1690"/>
      <c r="D1368" s="1690"/>
    </row>
    <row r="1369" spans="1:4" x14ac:dyDescent="0.25">
      <c r="A1369" s="1678"/>
      <c r="B1369" s="1690"/>
      <c r="C1369" s="1690"/>
      <c r="D1369" s="1690"/>
    </row>
    <row r="1370" spans="1:4" x14ac:dyDescent="0.25">
      <c r="A1370" s="1678"/>
      <c r="B1370" s="1690"/>
      <c r="C1370" s="1690"/>
      <c r="D1370" s="1690"/>
    </row>
    <row r="1371" spans="1:4" x14ac:dyDescent="0.25">
      <c r="A1371" s="1678"/>
      <c r="B1371" s="1690"/>
      <c r="C1371" s="1690"/>
      <c r="D1371" s="1690"/>
    </row>
    <row r="1372" spans="1:4" x14ac:dyDescent="0.25">
      <c r="A1372" s="1678"/>
      <c r="B1372" s="1690"/>
      <c r="C1372" s="1690"/>
      <c r="D1372" s="1690"/>
    </row>
    <row r="1373" spans="1:4" x14ac:dyDescent="0.25">
      <c r="A1373" s="1678"/>
      <c r="B1373" s="1690"/>
      <c r="C1373" s="1690"/>
      <c r="D1373" s="1690"/>
    </row>
    <row r="1374" spans="1:4" x14ac:dyDescent="0.25">
      <c r="A1374" s="1678"/>
      <c r="B1374" s="1690"/>
      <c r="C1374" s="1690"/>
      <c r="D1374" s="1690"/>
    </row>
    <row r="1375" spans="1:4" x14ac:dyDescent="0.25">
      <c r="A1375" s="1678"/>
      <c r="B1375" s="1690"/>
      <c r="C1375" s="1690"/>
      <c r="D1375" s="1690"/>
    </row>
    <row r="1376" spans="1:4" x14ac:dyDescent="0.25">
      <c r="A1376" s="1678"/>
      <c r="B1376" s="1690"/>
      <c r="C1376" s="1690"/>
      <c r="D1376" s="1690"/>
    </row>
    <row r="1377" spans="1:4" x14ac:dyDescent="0.25">
      <c r="A1377" s="1678"/>
      <c r="B1377" s="1690"/>
      <c r="C1377" s="1690"/>
      <c r="D1377" s="1690"/>
    </row>
    <row r="1378" spans="1:4" x14ac:dyDescent="0.25">
      <c r="A1378" s="1678"/>
      <c r="B1378" s="1690"/>
      <c r="C1378" s="1690"/>
      <c r="D1378" s="1690"/>
    </row>
    <row r="1379" spans="1:4" x14ac:dyDescent="0.25">
      <c r="A1379" s="1678"/>
      <c r="B1379" s="1690"/>
      <c r="C1379" s="1690"/>
      <c r="D1379" s="1690"/>
    </row>
    <row r="1380" spans="1:4" x14ac:dyDescent="0.25">
      <c r="A1380" s="1678"/>
      <c r="B1380" s="1690"/>
      <c r="C1380" s="1690"/>
      <c r="D1380" s="1690"/>
    </row>
    <row r="1381" spans="1:4" x14ac:dyDescent="0.25">
      <c r="A1381" s="1678"/>
      <c r="B1381" s="1690"/>
      <c r="C1381" s="1690"/>
      <c r="D1381" s="1690"/>
    </row>
    <row r="1382" spans="1:4" x14ac:dyDescent="0.25">
      <c r="A1382" s="1678"/>
      <c r="B1382" s="1690"/>
      <c r="C1382" s="1690"/>
      <c r="D1382" s="1690"/>
    </row>
    <row r="1383" spans="1:4" x14ac:dyDescent="0.25">
      <c r="A1383" s="1678"/>
      <c r="B1383" s="1690"/>
      <c r="C1383" s="1690"/>
      <c r="D1383" s="1690"/>
    </row>
    <row r="1384" spans="1:4" x14ac:dyDescent="0.25">
      <c r="A1384" s="1678"/>
      <c r="B1384" s="1690"/>
      <c r="C1384" s="1690"/>
      <c r="D1384" s="1690"/>
    </row>
    <row r="1385" spans="1:4" x14ac:dyDescent="0.25">
      <c r="A1385" s="1678"/>
      <c r="B1385" s="1690"/>
      <c r="C1385" s="1690"/>
      <c r="D1385" s="1690"/>
    </row>
    <row r="1386" spans="1:4" x14ac:dyDescent="0.25">
      <c r="A1386" s="1678"/>
      <c r="B1386" s="1690"/>
      <c r="C1386" s="1690"/>
      <c r="D1386" s="1690"/>
    </row>
    <row r="1387" spans="1:4" x14ac:dyDescent="0.25">
      <c r="A1387" s="1678"/>
      <c r="B1387" s="1690"/>
      <c r="C1387" s="1690"/>
      <c r="D1387" s="1690"/>
    </row>
    <row r="1388" spans="1:4" x14ac:dyDescent="0.25">
      <c r="A1388" s="1678"/>
      <c r="B1388" s="1690"/>
      <c r="C1388" s="1690"/>
      <c r="D1388" s="1690"/>
    </row>
    <row r="1389" spans="1:4" x14ac:dyDescent="0.25">
      <c r="A1389" s="1678"/>
      <c r="B1389" s="1690"/>
      <c r="C1389" s="1690"/>
      <c r="D1389" s="1690"/>
    </row>
    <row r="1390" spans="1:4" x14ac:dyDescent="0.25">
      <c r="A1390" s="1678"/>
      <c r="B1390" s="1690"/>
      <c r="C1390" s="1690"/>
      <c r="D1390" s="1690"/>
    </row>
    <row r="1391" spans="1:4" x14ac:dyDescent="0.25">
      <c r="A1391" s="1678"/>
      <c r="B1391" s="1690"/>
      <c r="C1391" s="1690"/>
      <c r="D1391" s="1690"/>
    </row>
    <row r="1392" spans="1:4" x14ac:dyDescent="0.25">
      <c r="A1392" s="1678"/>
      <c r="B1392" s="1690"/>
      <c r="C1392" s="1690"/>
      <c r="D1392" s="1690"/>
    </row>
    <row r="1393" spans="1:4" x14ac:dyDescent="0.25">
      <c r="A1393" s="1678"/>
      <c r="B1393" s="1690"/>
      <c r="C1393" s="1690"/>
      <c r="D1393" s="1690"/>
    </row>
    <row r="1394" spans="1:4" x14ac:dyDescent="0.25">
      <c r="A1394" s="1678"/>
      <c r="B1394" s="1690"/>
      <c r="C1394" s="1690"/>
      <c r="D1394" s="1690"/>
    </row>
    <row r="1395" spans="1:4" x14ac:dyDescent="0.25">
      <c r="A1395" s="1678"/>
      <c r="B1395" s="1690"/>
      <c r="C1395" s="1690"/>
      <c r="D1395" s="1690"/>
    </row>
    <row r="1396" spans="1:4" x14ac:dyDescent="0.25">
      <c r="A1396" s="1678"/>
      <c r="B1396" s="1690"/>
      <c r="C1396" s="1690"/>
      <c r="D1396" s="1690"/>
    </row>
    <row r="1397" spans="1:4" x14ac:dyDescent="0.25">
      <c r="A1397" s="1678"/>
      <c r="B1397" s="1690"/>
      <c r="C1397" s="1690"/>
      <c r="D1397" s="1690"/>
    </row>
    <row r="1398" spans="1:4" x14ac:dyDescent="0.25">
      <c r="A1398" s="1678"/>
      <c r="B1398" s="1690"/>
      <c r="C1398" s="1690"/>
      <c r="D1398" s="1690"/>
    </row>
    <row r="1399" spans="1:4" x14ac:dyDescent="0.25">
      <c r="A1399" s="1678"/>
      <c r="B1399" s="1690"/>
      <c r="C1399" s="1690"/>
      <c r="D1399" s="1690"/>
    </row>
    <row r="1400" spans="1:4" x14ac:dyDescent="0.25">
      <c r="A1400" s="1678"/>
      <c r="B1400" s="1690"/>
      <c r="C1400" s="1690"/>
      <c r="D1400" s="1690"/>
    </row>
    <row r="1401" spans="1:4" x14ac:dyDescent="0.25">
      <c r="A1401" s="1678"/>
      <c r="B1401" s="1690"/>
      <c r="C1401" s="1690"/>
      <c r="D1401" s="1690"/>
    </row>
    <row r="1402" spans="1:4" x14ac:dyDescent="0.25">
      <c r="A1402" s="1678"/>
      <c r="B1402" s="1690"/>
      <c r="C1402" s="1690"/>
      <c r="D1402" s="1690"/>
    </row>
    <row r="1403" spans="1:4" x14ac:dyDescent="0.25">
      <c r="A1403" s="1678"/>
      <c r="B1403" s="1690"/>
      <c r="C1403" s="1690"/>
      <c r="D1403" s="1690"/>
    </row>
    <row r="1404" spans="1:4" x14ac:dyDescent="0.25">
      <c r="A1404" s="1678"/>
      <c r="B1404" s="1690"/>
      <c r="C1404" s="1690"/>
      <c r="D1404" s="1690"/>
    </row>
    <row r="1405" spans="1:4" x14ac:dyDescent="0.25">
      <c r="A1405" s="1678"/>
      <c r="B1405" s="1690"/>
      <c r="C1405" s="1690"/>
      <c r="D1405" s="1690"/>
    </row>
    <row r="1406" spans="1:4" x14ac:dyDescent="0.25">
      <c r="A1406" s="1678"/>
      <c r="B1406" s="1690"/>
      <c r="C1406" s="1690"/>
      <c r="D1406" s="1690"/>
    </row>
    <row r="1407" spans="1:4" x14ac:dyDescent="0.25">
      <c r="A1407" s="1678"/>
      <c r="B1407" s="1690"/>
      <c r="C1407" s="1690"/>
      <c r="D1407" s="1690"/>
    </row>
    <row r="1408" spans="1:4" x14ac:dyDescent="0.25">
      <c r="A1408" s="1678"/>
      <c r="B1408" s="1690"/>
      <c r="C1408" s="1690"/>
      <c r="D1408" s="1690"/>
    </row>
    <row r="1409" spans="2:4" x14ac:dyDescent="0.25">
      <c r="B1409" s="1690"/>
      <c r="C1409" s="1690"/>
      <c r="D1409" s="1690"/>
    </row>
    <row r="1410" spans="2:4" x14ac:dyDescent="0.25">
      <c r="B1410" s="1690"/>
      <c r="C1410" s="1690"/>
      <c r="D1410" s="1690"/>
    </row>
    <row r="1411" spans="2:4" x14ac:dyDescent="0.25">
      <c r="B1411" s="1690"/>
      <c r="C1411" s="1690"/>
      <c r="D1411" s="1690"/>
    </row>
    <row r="1412" spans="2:4" x14ac:dyDescent="0.25">
      <c r="B1412" s="1690"/>
      <c r="C1412" s="1690"/>
      <c r="D1412" s="1690"/>
    </row>
    <row r="1413" spans="2:4" x14ac:dyDescent="0.25">
      <c r="B1413" s="1690"/>
      <c r="C1413" s="1690"/>
      <c r="D1413" s="1690"/>
    </row>
    <row r="1414" spans="2:4" x14ac:dyDescent="0.25">
      <c r="B1414" s="1690"/>
      <c r="C1414" s="1690"/>
      <c r="D1414" s="1690"/>
    </row>
    <row r="1415" spans="2:4" x14ac:dyDescent="0.25">
      <c r="B1415" s="1690"/>
      <c r="C1415" s="1690"/>
      <c r="D1415" s="1690"/>
    </row>
    <row r="1416" spans="2:4" x14ac:dyDescent="0.25">
      <c r="B1416" s="1690"/>
      <c r="C1416" s="1690"/>
      <c r="D1416" s="1690"/>
    </row>
    <row r="1417" spans="2:4" x14ac:dyDescent="0.25">
      <c r="B1417" s="1690"/>
      <c r="C1417" s="1690"/>
      <c r="D1417" s="1690"/>
    </row>
    <row r="1418" spans="2:4" x14ac:dyDescent="0.25">
      <c r="B1418" s="1690"/>
      <c r="C1418" s="1690"/>
      <c r="D1418" s="1690"/>
    </row>
    <row r="1419" spans="2:4" x14ac:dyDescent="0.25">
      <c r="B1419" s="1690"/>
      <c r="C1419" s="1690"/>
      <c r="D1419" s="1690"/>
    </row>
    <row r="1420" spans="2:4" x14ac:dyDescent="0.25">
      <c r="B1420" s="1690"/>
      <c r="C1420" s="1690"/>
      <c r="D1420" s="1690"/>
    </row>
    <row r="1421" spans="2:4" x14ac:dyDescent="0.25">
      <c r="B1421" s="1690"/>
      <c r="C1421" s="1690"/>
      <c r="D1421" s="1690"/>
    </row>
    <row r="1422" spans="2:4" x14ac:dyDescent="0.25">
      <c r="B1422" s="1690"/>
      <c r="C1422" s="1690"/>
      <c r="D1422" s="1690"/>
    </row>
    <row r="1423" spans="2:4" x14ac:dyDescent="0.25">
      <c r="B1423" s="1690"/>
      <c r="C1423" s="1690"/>
      <c r="D1423" s="1690"/>
    </row>
    <row r="1424" spans="2:4" x14ac:dyDescent="0.25">
      <c r="B1424" s="1690"/>
      <c r="C1424" s="1690"/>
      <c r="D1424" s="1690"/>
    </row>
    <row r="1425" spans="2:4" x14ac:dyDescent="0.25">
      <c r="B1425" s="1690"/>
      <c r="C1425" s="1690"/>
      <c r="D1425" s="1690"/>
    </row>
    <row r="1426" spans="2:4" x14ac:dyDescent="0.25">
      <c r="B1426" s="1690"/>
      <c r="C1426" s="1690"/>
      <c r="D1426" s="1690"/>
    </row>
    <row r="1427" spans="2:4" x14ac:dyDescent="0.25">
      <c r="B1427" s="1690"/>
      <c r="C1427" s="1690"/>
      <c r="D1427" s="1690"/>
    </row>
    <row r="1428" spans="2:4" x14ac:dyDescent="0.25">
      <c r="B1428" s="1690"/>
      <c r="C1428" s="1690"/>
      <c r="D1428" s="1690"/>
    </row>
    <row r="1429" spans="2:4" x14ac:dyDescent="0.25">
      <c r="B1429" s="1690"/>
      <c r="C1429" s="1690"/>
      <c r="D1429" s="1690"/>
    </row>
    <row r="1430" spans="2:4" x14ac:dyDescent="0.25">
      <c r="B1430" s="1690"/>
      <c r="C1430" s="1690"/>
      <c r="D1430" s="1690"/>
    </row>
    <row r="1431" spans="2:4" x14ac:dyDescent="0.25">
      <c r="B1431" s="1690"/>
      <c r="C1431" s="1690"/>
      <c r="D1431" s="1690"/>
    </row>
    <row r="1432" spans="2:4" x14ac:dyDescent="0.25">
      <c r="B1432" s="1690"/>
      <c r="C1432" s="1690"/>
      <c r="D1432" s="1690"/>
    </row>
    <row r="1433" spans="2:4" x14ac:dyDescent="0.25">
      <c r="B1433" s="1690"/>
      <c r="C1433" s="1690"/>
      <c r="D1433" s="1690"/>
    </row>
    <row r="1434" spans="2:4" x14ac:dyDescent="0.25">
      <c r="B1434" s="1690"/>
      <c r="C1434" s="1690"/>
      <c r="D1434" s="1690"/>
    </row>
    <row r="1435" spans="2:4" x14ac:dyDescent="0.25">
      <c r="B1435" s="1690"/>
      <c r="C1435" s="1690"/>
      <c r="D1435" s="1690"/>
    </row>
    <row r="1436" spans="2:4" x14ac:dyDescent="0.25">
      <c r="B1436" s="1690"/>
      <c r="C1436" s="1690"/>
      <c r="D1436" s="1690"/>
    </row>
    <row r="1437" spans="2:4" x14ac:dyDescent="0.25">
      <c r="B1437" s="1690"/>
      <c r="C1437" s="1690"/>
      <c r="D1437" s="1690"/>
    </row>
    <row r="1438" spans="2:4" x14ac:dyDescent="0.25">
      <c r="B1438" s="1690"/>
      <c r="C1438" s="1690"/>
      <c r="D1438" s="1690"/>
    </row>
    <row r="1439" spans="2:4" x14ac:dyDescent="0.25">
      <c r="B1439" s="1690"/>
      <c r="C1439" s="1690"/>
      <c r="D1439" s="1690"/>
    </row>
    <row r="1440" spans="2:4" x14ac:dyDescent="0.25">
      <c r="B1440" s="1690"/>
      <c r="C1440" s="1690"/>
      <c r="D1440" s="1690"/>
    </row>
    <row r="1441" spans="2:4" x14ac:dyDescent="0.25">
      <c r="B1441" s="1690"/>
      <c r="C1441" s="1690"/>
      <c r="D1441" s="1690"/>
    </row>
    <row r="1442" spans="2:4" x14ac:dyDescent="0.25">
      <c r="B1442" s="1690"/>
      <c r="C1442" s="1690"/>
      <c r="D1442" s="1690"/>
    </row>
    <row r="1443" spans="2:4" x14ac:dyDescent="0.25">
      <c r="B1443" s="1690"/>
      <c r="C1443" s="1690"/>
      <c r="D1443" s="1690"/>
    </row>
    <row r="1444" spans="2:4" x14ac:dyDescent="0.25">
      <c r="B1444" s="1690"/>
      <c r="C1444" s="1690"/>
      <c r="D1444" s="1690"/>
    </row>
    <row r="1445" spans="2:4" x14ac:dyDescent="0.25">
      <c r="B1445" s="1690"/>
      <c r="C1445" s="1690"/>
      <c r="D1445" s="1690"/>
    </row>
    <row r="1446" spans="2:4" x14ac:dyDescent="0.25">
      <c r="B1446" s="1690"/>
      <c r="C1446" s="1690"/>
      <c r="D1446" s="1690"/>
    </row>
    <row r="1447" spans="2:4" x14ac:dyDescent="0.25">
      <c r="B1447" s="1690"/>
      <c r="C1447" s="1690"/>
      <c r="D1447" s="1690"/>
    </row>
    <row r="1448" spans="2:4" x14ac:dyDescent="0.25">
      <c r="B1448" s="1690"/>
      <c r="C1448" s="1690"/>
      <c r="D1448" s="1690"/>
    </row>
  </sheetData>
  <sheetProtection algorithmName="SHA-512" hashValue="s+kFmf4jqZxeR52CktJspdWryFAe48x93tanS48n4RA5xI6pLiX6Kivz7M9iG+iRXIp9dH/wTk9/+6Xya5cJ9Q==" saltValue="YGLXNA5RkDtSTNb1spv92g==" spinCount="100000" sheet="1" autoFilter="0"/>
  <customSheetViews>
    <customSheetView guid="{9FCFC836-1CA5-48BF-958D-24D2EA94B219}" showGridLines="0" fitToPage="1" hiddenColumns="1">
      <pane ySplit="4" topLeftCell="A5" activePane="bottomLeft" state="frozen"/>
      <selection pane="bottomLeft" sqref="A1:O1"/>
      <pageMargins left="0" right="0" top="0" bottom="0" header="0" footer="0"/>
      <pageSetup scale="69" fitToHeight="2" orientation="portrait" r:id="rId1"/>
    </customSheetView>
    <customSheetView guid="{BEA4BE86-04D1-4C96-9358-7A260B9D2B2D}" showGridLines="0" fitToPage="1" hiddenRows="1" showRuler="0">
      <selection sqref="A1:J1"/>
      <pageMargins left="0" right="0" top="0" bottom="0" header="0" footer="0"/>
      <pageSetup scale="80" fitToHeight="2" orientation="portrait" r:id="rId2"/>
      <headerFooter alignWithMargins="0"/>
    </customSheetView>
    <customSheetView guid="{1250FD07-FF56-4A9D-AF9E-C27124A7EBE9}" showGridLines="0" fitToPage="1" hiddenRows="1" showRuler="0">
      <selection sqref="A1:J1"/>
      <pageMargins left="0" right="0" top="0" bottom="0" header="0" footer="0"/>
      <pageSetup scale="80" fitToHeight="2" orientation="portrait" r:id="rId3"/>
      <headerFooter alignWithMargins="0"/>
    </customSheetView>
    <customSheetView guid="{B08879A4-635B-4C39-9937-AC7883D562FC}" showPageBreaks="1" showGridLines="0" fitToPage="1" printArea="1" hiddenColumns="1">
      <pane ySplit="4" topLeftCell="A5" activePane="bottomLeft" state="frozen"/>
      <selection pane="bottomLeft" sqref="A1:O1"/>
      <pageMargins left="0" right="0" top="0" bottom="0" header="0" footer="0"/>
      <pageSetup scale="68" fitToHeight="2" orientation="portrait" r:id="rId4"/>
    </customSheetView>
  </customSheetViews>
  <mergeCells count="123">
    <mergeCell ref="E111:O111"/>
    <mergeCell ref="E109:O109"/>
    <mergeCell ref="E90:O90"/>
    <mergeCell ref="E92:O92"/>
    <mergeCell ref="E71:O71"/>
    <mergeCell ref="E72:O72"/>
    <mergeCell ref="E70:O70"/>
    <mergeCell ref="E103:O103"/>
    <mergeCell ref="E100:O100"/>
    <mergeCell ref="E85:O85"/>
    <mergeCell ref="E73:O73"/>
    <mergeCell ref="E74:O74"/>
    <mergeCell ref="E76:O76"/>
    <mergeCell ref="E77:O77"/>
    <mergeCell ref="E78:O78"/>
    <mergeCell ref="E89:O89"/>
    <mergeCell ref="E101:O101"/>
    <mergeCell ref="E108:O108"/>
    <mergeCell ref="E102:O102"/>
    <mergeCell ref="E96:O96"/>
    <mergeCell ref="E95:O95"/>
    <mergeCell ref="E81:O81"/>
    <mergeCell ref="E75:O75"/>
    <mergeCell ref="E112:O112"/>
    <mergeCell ref="E106:O106"/>
    <mergeCell ref="A1:O1"/>
    <mergeCell ref="A2:O2"/>
    <mergeCell ref="A3:O3"/>
    <mergeCell ref="B10:D10"/>
    <mergeCell ref="E6:J6"/>
    <mergeCell ref="E10:I10"/>
    <mergeCell ref="L4:O4"/>
    <mergeCell ref="E47:O47"/>
    <mergeCell ref="E54:O54"/>
    <mergeCell ref="E50:O50"/>
    <mergeCell ref="E48:O48"/>
    <mergeCell ref="E51:O51"/>
    <mergeCell ref="E16:O16"/>
    <mergeCell ref="E21:O21"/>
    <mergeCell ref="E27:O27"/>
    <mergeCell ref="E26:O26"/>
    <mergeCell ref="E24:O24"/>
    <mergeCell ref="E30:O30"/>
    <mergeCell ref="E32:O32"/>
    <mergeCell ref="E19:O19"/>
    <mergeCell ref="E25:O25"/>
    <mergeCell ref="E17:O17"/>
    <mergeCell ref="K11:N11"/>
    <mergeCell ref="E13:I13"/>
    <mergeCell ref="B12:D12"/>
    <mergeCell ref="E12:I12"/>
    <mergeCell ref="B11:D11"/>
    <mergeCell ref="B14:D14"/>
    <mergeCell ref="E11:I11"/>
    <mergeCell ref="E14:I14"/>
    <mergeCell ref="E57:O57"/>
    <mergeCell ref="E18:O18"/>
    <mergeCell ref="E23:O23"/>
    <mergeCell ref="E22:O22"/>
    <mergeCell ref="E31:O31"/>
    <mergeCell ref="E33:O33"/>
    <mergeCell ref="E37:O37"/>
    <mergeCell ref="E52:O52"/>
    <mergeCell ref="E53:O53"/>
    <mergeCell ref="K14:P14"/>
    <mergeCell ref="E59:O59"/>
    <mergeCell ref="E66:O66"/>
    <mergeCell ref="E67:O67"/>
    <mergeCell ref="E63:O63"/>
    <mergeCell ref="E64:O64"/>
    <mergeCell ref="E58:O58"/>
    <mergeCell ref="E56:O56"/>
    <mergeCell ref="E60:O60"/>
    <mergeCell ref="E61:O61"/>
    <mergeCell ref="E65:O65"/>
    <mergeCell ref="E69:O69"/>
    <mergeCell ref="E79:O79"/>
    <mergeCell ref="A126:P126"/>
    <mergeCell ref="A125:P125"/>
    <mergeCell ref="E113:O113"/>
    <mergeCell ref="E121:O121"/>
    <mergeCell ref="E120:O120"/>
    <mergeCell ref="E105:O105"/>
    <mergeCell ref="E80:O80"/>
    <mergeCell ref="I124:O124"/>
    <mergeCell ref="E118:O118"/>
    <mergeCell ref="E122:O122"/>
    <mergeCell ref="E123:O123"/>
    <mergeCell ref="E104:O104"/>
    <mergeCell ref="E99:O99"/>
    <mergeCell ref="E86:O86"/>
    <mergeCell ref="E84:O84"/>
    <mergeCell ref="E93:O93"/>
    <mergeCell ref="E88:O88"/>
    <mergeCell ref="E94:O94"/>
    <mergeCell ref="E98:O98"/>
    <mergeCell ref="E82:O82"/>
    <mergeCell ref="E83:O83"/>
    <mergeCell ref="E97:O97"/>
    <mergeCell ref="E115:O115"/>
    <mergeCell ref="E117:O117"/>
    <mergeCell ref="E110:O110"/>
    <mergeCell ref="E107:O107"/>
    <mergeCell ref="E20:O20"/>
    <mergeCell ref="E46:O46"/>
    <mergeCell ref="E44:O44"/>
    <mergeCell ref="E35:O35"/>
    <mergeCell ref="E43:O43"/>
    <mergeCell ref="E34:O34"/>
    <mergeCell ref="E55:O55"/>
    <mergeCell ref="E42:O42"/>
    <mergeCell ref="E45:O45"/>
    <mergeCell ref="E36:O36"/>
    <mergeCell ref="E41:O41"/>
    <mergeCell ref="E91:O91"/>
    <mergeCell ref="E68:O68"/>
    <mergeCell ref="E49:O49"/>
    <mergeCell ref="E39:O39"/>
    <mergeCell ref="E38:O38"/>
    <mergeCell ref="E40:O40"/>
    <mergeCell ref="E87:O87"/>
    <mergeCell ref="E114:O114"/>
    <mergeCell ref="E116:O116"/>
  </mergeCells>
  <phoneticPr fontId="16" type="noConversion"/>
  <conditionalFormatting sqref="F12:I12 E12:E14 F14:I14">
    <cfRule type="expression" dxfId="177" priority="1" stopIfTrue="1">
      <formula>ISBLANK(E12)</formula>
    </cfRule>
  </conditionalFormatting>
  <dataValidations count="5">
    <dataValidation type="textLength" operator="equal" allowBlank="1" showInputMessage="1" showErrorMessage="1" errorTitle="Input Error!" error="Leave blank or enter NA." prompt="Leave blank or enter NA." sqref="C27:C31 B100:B104 B47 C41:C42 C36:C37 C33 C25 C22:C23 C19:C20 B42:B45 B40:C40 B32:C32 C45:C50 B18 B34:B38 B21:C21 C106:C123 B50:B58 B22:B30 B106:B117 C54:C104 B60:B98" xr:uid="{00000000-0002-0000-0200-000000000000}">
      <formula1>2</formula1>
    </dataValidation>
    <dataValidation type="list" allowBlank="1" showInputMessage="1" showErrorMessage="1" sqref="F7:J7 E6:J6" xr:uid="{00000000-0002-0000-0200-000001000000}">
      <formula1>ConcNum</formula1>
    </dataValidation>
    <dataValidation type="textLength" operator="equal" allowBlank="1" showInputMessage="1" showErrorMessage="1" errorTitle="Input Error!" error="Leave blank or enter NA." prompt="Leave blank or enter NA._x000a_" sqref="C43:C44" xr:uid="{FC4B8B0B-5495-4CE5-AE64-968550E81B3C}">
      <formula1>2</formula1>
    </dataValidation>
    <dataValidation type="textLength" operator="equal" allowBlank="1" showInputMessage="1" showErrorMessage="1" errorTitle="Input Error" error="Leave blank or enter NA." prompt="Leave blank or enter NA." sqref="C39" xr:uid="{43CF070E-E170-4313-9461-8F2560C11FEB}">
      <formula1>2</formula1>
    </dataValidation>
    <dataValidation operator="equal" allowBlank="1" showErrorMessage="1" sqref="B99 C51:C53" xr:uid="{86C8FC96-CF18-406A-AC01-5DA3D3D785EF}"/>
  </dataValidations>
  <hyperlinks>
    <hyperlink ref="A24" location="'210'!A1" display="'210'!A1" xr:uid="{00000000-0004-0000-0200-000000000000}"/>
    <hyperlink ref="A17" location="'101'!A1" display="'101'!A1" xr:uid="{00000000-0004-0000-0200-000001000000}"/>
    <hyperlink ref="A30" location="'305'!A1" display="'305'!A1" xr:uid="{00000000-0004-0000-0200-000002000000}"/>
    <hyperlink ref="A58" location="'420'!A1" display="'420'!A1" xr:uid="{00000000-0004-0000-0200-000003000000}"/>
    <hyperlink ref="A91" location="'710'!A1" display="'710'!A1" xr:uid="{00000000-0004-0000-0200-000004000000}"/>
    <hyperlink ref="A92" location="'715'!A1" display="'715'!A1" xr:uid="{00000000-0004-0000-0200-000005000000}"/>
    <hyperlink ref="A93" location="'720'!A1" display="'720'!A1" xr:uid="{00000000-0004-0000-0200-000006000000}"/>
    <hyperlink ref="A43" location="'340'!A1" display="'340'!A1" xr:uid="{00000000-0004-0000-0200-000007000000}"/>
    <hyperlink ref="A59" location="'425'!A1" display="'425'!A1" xr:uid="{00000000-0004-0000-0200-000008000000}"/>
    <hyperlink ref="A46" location="'345'!A1" display="'345'!A1" xr:uid="{00000000-0004-0000-0200-000009000000}"/>
    <hyperlink ref="A47" location="'350'!A1" display="'350'!A1" xr:uid="{00000000-0004-0000-0200-00000A000000}"/>
    <hyperlink ref="A48" location="'355'!A1" display="'355'!A1" xr:uid="{00000000-0004-0000-0200-00000B000000}"/>
    <hyperlink ref="A38" location="'325'!A1" display="'325'!A1" xr:uid="{00000000-0004-0000-0200-00000C000000}"/>
    <hyperlink ref="A40" location="'330'!A1" display="'330'!A1" xr:uid="{00000000-0004-0000-0200-00000D000000}"/>
    <hyperlink ref="A66" location="'505'!A1" display="'505'!A1" xr:uid="{00000000-0004-0000-0200-00000E000000}"/>
    <hyperlink ref="A67" location="'510'!A1" display="'510'!A1" xr:uid="{00000000-0004-0000-0200-00000F000000}"/>
    <hyperlink ref="A68" location="'515'!A1" display="'515'!A1" xr:uid="{00000000-0004-0000-0200-000010000000}"/>
    <hyperlink ref="A69" location="'520'!A1" display="'520'!A1" xr:uid="{00000000-0004-0000-0200-000011000000}"/>
    <hyperlink ref="A70" location="'525'!A1" display="'525'!A1" xr:uid="{00000000-0004-0000-0200-000012000000}"/>
    <hyperlink ref="A71" location="'530'!A1" display="'530'!A1" xr:uid="{00000000-0004-0000-0200-000013000000}"/>
    <hyperlink ref="A87" location="'625'!A1" display="'625'!A1" xr:uid="{00000000-0004-0000-0200-000014000000}"/>
    <hyperlink ref="E17:L17" location="'101'!A1" display="Summary of Significant Accounting Policies" xr:uid="{00000000-0004-0000-0200-000015000000}"/>
    <hyperlink ref="E59:L59" location="'425'!A1" display="Net Assets/Fund Balance Deficit" xr:uid="{00000000-0004-0000-0200-000016000000}"/>
    <hyperlink ref="E21:L21" location="'201'!A1" display="Changes in Capital Assets" xr:uid="{00000000-0004-0000-0200-000017000000}"/>
    <hyperlink ref="E24:L24" location="'210'!A1" display="Accumulated Depreciation" xr:uid="{00000000-0004-0000-0200-000018000000}"/>
    <hyperlink ref="E27:L27" location="'301'!A1" display="Leases - Operating and Capital" xr:uid="{00000000-0004-0000-0200-000019000000}"/>
    <hyperlink ref="E30:L30" location="'305'!A1" display="Changes in Long-Term Liabilities and Short-Term Debt (Governmental)" xr:uid="{00000000-0004-0000-0200-00001A000000}"/>
    <hyperlink ref="A54" location="'401'!A1" display="'401'!A1" xr:uid="{00000000-0004-0000-0200-00001B000000}"/>
    <hyperlink ref="E54:L54" location="'401'!A1" display="General Fund" xr:uid="{00000000-0004-0000-0200-00001C000000}"/>
    <hyperlink ref="A55" location="'405'!A1" display="'405'!A1" xr:uid="{00000000-0004-0000-0200-00001D000000}"/>
    <hyperlink ref="E55:L55" location="'405'!A1" display="Special Revenue Fund" xr:uid="{00000000-0004-0000-0200-00001E000000}"/>
    <hyperlink ref="A56" location="'410'!A1" display="'410'!A1" xr:uid="{00000000-0004-0000-0200-00001F000000}"/>
    <hyperlink ref="E56:L56" location="'410'!A1" display="Capital Projects" xr:uid="{00000000-0004-0000-0200-000020000000}"/>
    <hyperlink ref="A57" location="'415'!A1" display="'415'!A1" xr:uid="{00000000-0004-0000-0200-000021000000}"/>
    <hyperlink ref="E57:L57" location="'415'!A1" display="Permanent Funds" xr:uid="{00000000-0004-0000-0200-000022000000}"/>
    <hyperlink ref="E58:L58" location="'420'!A1" display="Restricted and Unrestricted Net Assets - Business Type Activities" xr:uid="{00000000-0004-0000-0200-000023000000}"/>
    <hyperlink ref="E60:L60" location="'430'!A1" display="Fund Equity Restatement (Part 1 of 2)" xr:uid="{00000000-0004-0000-0200-000024000000}"/>
    <hyperlink ref="E46:L46" location="'345'!A1" display="Contingencies" xr:uid="{00000000-0004-0000-0200-000025000000}"/>
    <hyperlink ref="E47:L47" location="'350'!A1" display="Construction and Other Significant Commitments" xr:uid="{00000000-0004-0000-0200-000026000000}"/>
    <hyperlink ref="E48:L48" location="'355'!A1" display="Subsequent Events/Other Items" xr:uid="{00000000-0004-0000-0200-000027000000}"/>
    <hyperlink ref="E38:L38" location="'325'!A1" display="Revenue Bond Coverage" xr:uid="{00000000-0004-0000-0200-000028000000}"/>
    <hyperlink ref="E40:L40" location="'330'!A1" display="Debt Defeasances" xr:uid="{00000000-0004-0000-0200-000029000000}"/>
    <hyperlink ref="A82" location="'605'!A1" display="'605'!A1" xr:uid="{00000000-0004-0000-0200-00002A000000}"/>
    <hyperlink ref="E82:L82" location="'605'!A1" display="University Optional Retirement Program" xr:uid="{00000000-0004-0000-0200-00002B000000}"/>
    <hyperlink ref="A88" location="'635'!A1" display="'635'!A1" xr:uid="{00000000-0004-0000-0200-00002C000000}"/>
    <hyperlink ref="E88:L88" location="'635'!A1" display="Segments" xr:uid="{00000000-0004-0000-0200-00002D000000}"/>
    <hyperlink ref="A83" location="'610'!A1" display="'610'!A1" xr:uid="{00000000-0004-0000-0200-00002E000000}"/>
    <hyperlink ref="E83:L83" location="'610'!A1" display="Significant Transactions Between Component Units and Analysis of Federal Grants" xr:uid="{00000000-0004-0000-0200-00002F000000}"/>
    <hyperlink ref="E34:L34" location="'315'!A1" display="Annual Debt Svc Reqmts - Bonds, COPs, Notes Payable - Without Interest Rate Swaps" xr:uid="{00000000-0004-0000-0200-000030000000}"/>
    <hyperlink ref="A34" location="'315'!A1" display="'315'!A1" xr:uid="{00000000-0004-0000-0200-000031000000}"/>
    <hyperlink ref="E90:L90" location="'705'!A1" display="Cash and Cash Equivalents in Banks Outside the State Treasurer - Method of Collateralization" xr:uid="{00000000-0004-0000-0200-000032000000}"/>
    <hyperlink ref="E43:L43" location="'340'!A1" display="Derivatives Outstanding Not Reported at Fair Value" xr:uid="{00000000-0004-0000-0200-000033000000}"/>
    <hyperlink ref="A65" location="'501'!A1" display="'501'!A1" xr:uid="{00000000-0004-0000-0200-000034000000}"/>
    <hyperlink ref="E65:L65" location="'501'!A1" display="Schedule of Intra-Agency Receivables" xr:uid="{00000000-0004-0000-0200-000035000000}"/>
    <hyperlink ref="E66:L66" location="'505'!A1" display="Schedule of Inter-Agency Receivables" xr:uid="{00000000-0004-0000-0200-000036000000}"/>
    <hyperlink ref="E67:L67" location="'510'!A1" display="Schedule of Inter-Agency Payables" xr:uid="{00000000-0004-0000-0200-000037000000}"/>
    <hyperlink ref="E68:L68" location="'515'!A1" display="Schedule of Due From / Restricted Due From Primary Government" xr:uid="{00000000-0004-0000-0200-000038000000}"/>
    <hyperlink ref="E69:L69" location="'520'!A1" display="Schedule of Due To Primary Government" xr:uid="{00000000-0004-0000-0200-000039000000}"/>
    <hyperlink ref="E70:L70" location="'525'!A1" display="Schedule of Due from State of NC Component Units" xr:uid="{00000000-0004-0000-0200-00003A000000}"/>
    <hyperlink ref="E71:L71" location="'530'!A1" display="Schedule of Due to State of NC Component Units" xr:uid="{00000000-0004-0000-0200-00003B000000}"/>
    <hyperlink ref="A86" location="'620'!A1" display="'620'!A1" xr:uid="{00000000-0004-0000-0200-00003C000000}"/>
    <hyperlink ref="E86:L86" location="'620'!A1" display="Analysis of Deferred Revenues" xr:uid="{00000000-0004-0000-0200-00003D000000}"/>
    <hyperlink ref="E87:L87" location="'625'!A1" display="Management Discussion and Analysis Schedule" xr:uid="{00000000-0004-0000-0200-00003E000000}"/>
    <hyperlink ref="A79" location="'565'!A1" display="'565'!A1" xr:uid="{00000000-0004-0000-0200-00003F000000}"/>
    <hyperlink ref="A84" location="'615'!A1" display="'615'!A1" xr:uid="{00000000-0004-0000-0200-000040000000}"/>
    <hyperlink ref="E79:L79" location="'565'!A1" display="Schedule of Interinstitutional Transfers" xr:uid="{00000000-0004-0000-0200-000041000000}"/>
    <hyperlink ref="E84:L84" location="'615'!A1" display="Foundations Survey" xr:uid="{00000000-0004-0000-0200-000042000000}"/>
    <hyperlink ref="A27" location="'301'!A1" display="'301'!A1" xr:uid="{00000000-0004-0000-0200-000043000000}"/>
    <hyperlink ref="E80" location="a3p25!a1" display="a3p25!a1" xr:uid="{00000000-0004-0000-0200-000044000000}"/>
    <hyperlink ref="A80" location="'570'!A1" display="'570'!A1" xr:uid="{00000000-0004-0000-0200-000045000000}"/>
    <hyperlink ref="A72" location="'535'!A1" display="'535'!A1" xr:uid="{00000000-0004-0000-0200-000046000000}"/>
    <hyperlink ref="E72:L72" location="'535'!A1" display="Schedule of Advances" xr:uid="{00000000-0004-0000-0200-000047000000}"/>
    <hyperlink ref="A63" location="'431G'!A1" display="431G" xr:uid="{00000000-0004-0000-0200-000048000000}"/>
    <hyperlink ref="E63:L63" location="'431'!A1" display="Fund Equity Restatement (Part 2 of 2)" xr:uid="{00000000-0004-0000-0200-000049000000}"/>
    <hyperlink ref="A32" location="'310'!A1" display="'310'!A1" xr:uid="{00000000-0004-0000-0200-00004A000000}"/>
    <hyperlink ref="E32:L32" location="'310'!A1" display="Changes in Long-Term Liabilities and Short-Term Debt (Business-Type)" xr:uid="{00000000-0004-0000-0200-00004B000000}"/>
    <hyperlink ref="E80:L80" location="'570'!A1" display="Receivables" xr:uid="{00000000-0004-0000-0200-00004C000000}"/>
    <hyperlink ref="A117" location="Comments!A1" display="Comm" xr:uid="{00000000-0004-0000-0200-00004D000000}"/>
    <hyperlink ref="E117:L117" location="End!A1" display="Your Comments and Suggestions" xr:uid="{00000000-0004-0000-0200-00004E000000}"/>
    <hyperlink ref="E91:L91" location="'710'!A1" display="Investments Held Outside the State Treasurer - Custodial Credit Risk" xr:uid="{00000000-0004-0000-0200-00004F000000}"/>
    <hyperlink ref="E92:L92" location="'715'!A1" display="Investments Held Outside the State Treasurer - Custodial Credit Risk" xr:uid="{00000000-0004-0000-0200-000050000000}"/>
    <hyperlink ref="E93:L93" location="'720'!A1" display="Investments Held Outside the State Treasurer - Interest Rate Risk" xr:uid="{00000000-0004-0000-0200-000051000000}"/>
    <hyperlink ref="E94:L94" location="'725'!A1" display="Investments Held Outside the State Treasurer - Credit Risk (Part 1 of 2)" xr:uid="{00000000-0004-0000-0200-000052000000}"/>
    <hyperlink ref="E95:L95" location="'730'!A1" display="Investments Held Outside the State Treasurer - Additional Level of Detail" xr:uid="{00000000-0004-0000-0200-000053000000}"/>
    <hyperlink ref="A94" location="'725'!A1" display="'725'!A1" xr:uid="{00000000-0004-0000-0200-000054000000}"/>
    <hyperlink ref="A95" location="'730'!A1" display="'730'!A1" xr:uid="{00000000-0004-0000-0200-000055000000}"/>
    <hyperlink ref="A96" location="'735'!A1" display="'735'!A1" xr:uid="{00000000-0004-0000-0200-000056000000}"/>
    <hyperlink ref="A97" location="'740'!A1" display="'740'!A1" xr:uid="{00000000-0004-0000-0200-000057000000}"/>
    <hyperlink ref="A98" location="'745'!A1" display="'745'!A1" xr:uid="{00000000-0004-0000-0200-000058000000}"/>
    <hyperlink ref="E96:L96" location="'735'!A1" display="Investments Held Outside the State Treasurer - Concentration of Credit Risk" xr:uid="{00000000-0004-0000-0200-000059000000}"/>
    <hyperlink ref="E97:L97" location="'740'!A1" display="Investments Held Outside the State Treasurer - Foreign Currency Risk" xr:uid="{00000000-0004-0000-0200-00005A000000}"/>
    <hyperlink ref="E98:L98" location="'745'!A1" display="Investments Held Outside the State Treasurer - Investment Policies" xr:uid="{00000000-0004-0000-0200-00005B000000}"/>
    <hyperlink ref="A90" location="'705'!A1" display="'705'!A1" xr:uid="{00000000-0004-0000-0200-00005C000000}"/>
    <hyperlink ref="E116:O116" location="Explanations!A1" display="Worksheet Explanations" xr:uid="{00000000-0004-0000-0200-00005D000000}"/>
    <hyperlink ref="A116" location="Explanations!A1" display="Exp" xr:uid="{00000000-0004-0000-0200-00005E000000}"/>
    <hyperlink ref="A18" location="'105'!A1" display="'105'!A1" xr:uid="{00000000-0004-0000-0200-00005F000000}"/>
    <hyperlink ref="A25" location="'215'!A1" display="'215'!A1" xr:uid="{00000000-0004-0000-0200-000060000000}"/>
    <hyperlink ref="A26" location="'220'!A1" display="'220'!A1" xr:uid="{00000000-0004-0000-0200-000061000000}"/>
    <hyperlink ref="E25:O25" location="'215'!A1" display="Capital Asset Impairments *** Hyperlink, etc ***" xr:uid="{00000000-0004-0000-0200-000062000000}"/>
    <hyperlink ref="E26:O26" location="'220'!A1" display="Capital Asset Statistics ****NEW****" xr:uid="{00000000-0004-0000-0200-000063000000}"/>
    <hyperlink ref="A104" location="'905'!A1" display="'905'!A1" xr:uid="{00000000-0004-0000-0200-000064000000}"/>
    <hyperlink ref="A107" location="'906-6B'!A1" display="906-6B" xr:uid="{00000000-0004-0000-0200-000065000000}"/>
    <hyperlink ref="A110" location="'907'!A1" display="'907'!A1" xr:uid="{00000000-0004-0000-0200-000066000000}"/>
    <hyperlink ref="A112" location="'910'!A1" display="'910'!A1" xr:uid="{00000000-0004-0000-0200-000067000000}"/>
    <hyperlink ref="A114" location="'911-6B'!A1" display="911-6B" xr:uid="{00000000-0004-0000-0200-000068000000}"/>
    <hyperlink ref="E114:O114" location="'911-6B'!A1" display="Offline Fiduciary Analytical Review  - 6B -  Deferred Comp - Computed Variances" xr:uid="{00000000-0004-0000-0200-000069000000}"/>
    <hyperlink ref="E49:O49" location="'360'!A1" display="Related Party Transactions" xr:uid="{00000000-0004-0000-0200-00006A000000}"/>
    <hyperlink ref="E18:O18" location="'105'!A1" display="Operating Indicators By Function" xr:uid="{00000000-0004-0000-0200-00006B000000}"/>
    <hyperlink ref="E118:O118" location="'All Agencies'!C1" display="List of Agency Names and Numbers " xr:uid="{00000000-0004-0000-0200-00006C000000}"/>
    <hyperlink ref="A118" location="'All Agencies'!C1" display="Agencies" xr:uid="{00000000-0004-0000-0200-00006D000000}"/>
    <hyperlink ref="E117:O117" location="Comments!A1" display="Your Comments and Suggestions" xr:uid="{00000000-0004-0000-0200-00006E000000}"/>
    <hyperlink ref="A120" location="Functional!A1" display="Functional" xr:uid="{00000000-0004-0000-0200-00006F000000}"/>
    <hyperlink ref="E120:O120" location="Functional!A1" display="Functional Table to be used for worksheets 401, 405, and 415" xr:uid="{00000000-0004-0000-0200-000070000000}"/>
    <hyperlink ref="A50" location="'365'!A1" display="'365'!A1" xr:uid="{00000000-0004-0000-0200-000071000000}"/>
    <hyperlink ref="E50:O50" location="'365'!A1" display="Restricted Assets  (new for 2009)" xr:uid="{00000000-0004-0000-0200-000072000000}"/>
    <hyperlink ref="A36" location="'322'!A1" display="'322'!A1" xr:uid="{00000000-0004-0000-0200-000073000000}"/>
    <hyperlink ref="E36:O36" location="'322'!A1" display="Pollution Remediation Obligations (new for 2009)" xr:uid="{00000000-0004-0000-0200-000074000000}"/>
    <hyperlink ref="E35:L35" location="'320'!A1" display="Annual Debt Svc Reqmts - Bonds and COPs Payable - With Interest Rate Swaps" xr:uid="{00000000-0004-0000-0200-000075000000}"/>
    <hyperlink ref="A35" location="'320'!A1" display="'320'!A1" xr:uid="{00000000-0004-0000-0200-000076000000}"/>
    <hyperlink ref="A51" location="'370'!A1" display="'370'!A1" xr:uid="{00000000-0004-0000-0200-000077000000}"/>
    <hyperlink ref="E51:O51" location="'370'!A1" display="Government Wide - Special Indebtedness (new for 2009)" xr:uid="{00000000-0004-0000-0200-000078000000}"/>
    <hyperlink ref="A44" location="'341'!A1" display="'341'!A1" xr:uid="{00000000-0004-0000-0200-000079000000}"/>
    <hyperlink ref="E44:L44" location="'340'!A1" display="Derivatives Outstanding Not Reported at Fair Value" xr:uid="{00000000-0004-0000-0200-00007A000000}"/>
    <hyperlink ref="E44:O44" location="'341'!A1" display="Derivative Disclosures" xr:uid="{00000000-0004-0000-0200-00007B000000}"/>
    <hyperlink ref="A45" location="'342'!A1" display="'342'!A1" xr:uid="{00000000-0004-0000-0200-00007C000000}"/>
    <hyperlink ref="E45:L45" location="'340'!A1" display="Derivatives Outstanding Not Reported at Fair Value" xr:uid="{00000000-0004-0000-0200-00007D000000}"/>
    <hyperlink ref="E45:O45" location="'342'!A1" display="Investment Derivative Instruments Credit Risk" xr:uid="{00000000-0004-0000-0200-00007E000000}"/>
    <hyperlink ref="A106" location="'905Hosp'!A1" display="905Hosp" xr:uid="{00000000-0004-0000-0200-00007F000000}"/>
    <hyperlink ref="A121" location="NetPosition!A1" display="NetPosition" xr:uid="{00000000-0004-0000-0200-000080000000}"/>
    <hyperlink ref="E121:O121" location="NetPosition!A1" display="NetPosition and GASB Table for worksheets 905 &amp; 906" xr:uid="{00000000-0004-0000-0200-000081000000}"/>
    <hyperlink ref="A105" location="'For 905-NCAS Acct Roll-up'!A1" display="For 905-NCAS Acct Roll-up " xr:uid="{00000000-0004-0000-0200-000082000000}"/>
    <hyperlink ref="A113" location="'910Hosp'!A1" display="910Hosp" xr:uid="{00000000-0004-0000-0200-000083000000}"/>
    <hyperlink ref="E113:O113" location="'910Hosp'!A1" display="Offline Proprietary Analytical Review for UNC Health Care Reporting Unit Combined Pkg- Computed Variances" xr:uid="{00000000-0004-0000-0200-000084000000}"/>
    <hyperlink ref="A122" location="PriorYr905!A1" display="PriorYr905" xr:uid="{00000000-0004-0000-0200-000085000000}"/>
    <hyperlink ref="E122:O122" location="PriorYr905!A1" display="Prior Year Propietary Proforma - SNA &amp; SRECNA for Computed Variances 910 worksheet" xr:uid="{00000000-0004-0000-0200-000086000000}"/>
    <hyperlink ref="A123" location="PriorYr906!A1" display="PriorYr906" xr:uid="{00000000-0004-0000-0200-000087000000}"/>
    <hyperlink ref="E123:O123" location="PriorYr906!A1" display="Prior Year Fiduciary Proforma - SNA &amp; SRECNA for Computed Variances 911 worksheet" xr:uid="{00000000-0004-0000-0200-000088000000}"/>
    <hyperlink ref="A108" location="'906-6C'!A1" display="906-6C" xr:uid="{00000000-0004-0000-0200-000089000000}"/>
    <hyperlink ref="A109" location="'906-6BC'!A1" display="906-6B&amp;6C" xr:uid="{00000000-0004-0000-0200-00008A000000}"/>
    <hyperlink ref="A115" location="'911-6C'!A1" display="911-6C" xr:uid="{00000000-0004-0000-0200-00008B000000}"/>
    <hyperlink ref="E115:O115" location="'911-6C'!A1" display="Offline Fiduciary Analytical Review - 6C - 401(k) Computed Variances" xr:uid="{00000000-0004-0000-0200-00008C000000}"/>
    <hyperlink ref="A21" location="'201'!A1" display="'201'!A1" xr:uid="{00000000-0004-0000-0200-00008D000000}"/>
    <hyperlink ref="E19:L19" location="'201'!A1" display="Changes in Capital Assets" xr:uid="{00000000-0004-0000-0200-00008E000000}"/>
    <hyperlink ref="A19" location="'110'!A1" display="'110'!A1" xr:uid="{00000000-0004-0000-0200-00008F000000}"/>
    <hyperlink ref="E19:O19" location="'110'!A1" display="Service Concession Arrangements" xr:uid="{00000000-0004-0000-0200-000090000000}"/>
    <hyperlink ref="A42" location="'338'!A1" display="'338'!A1" xr:uid="{00000000-0004-0000-0200-000091000000}"/>
    <hyperlink ref="E42:L42" location="'340'!A1" display="Derivatives Outstanding Not Reported at Fair Value" xr:uid="{00000000-0004-0000-0200-000092000000}"/>
    <hyperlink ref="E42:O42" location="'338'!A1" display="Nonexchange Financial Guarantees" xr:uid="{00000000-0004-0000-0200-000093000000}"/>
    <hyperlink ref="A61" location="'430BTA'!A1" display="430BTA" xr:uid="{00000000-0004-0000-0200-000094000000}"/>
    <hyperlink ref="E61:L61" location="'430'!A1" display="Fund Equity Restatement (Part 1 of 2)" xr:uid="{00000000-0004-0000-0200-000095000000}"/>
    <hyperlink ref="A60" location="'430G'!A1" display="430G" xr:uid="{00000000-0004-0000-0200-000096000000}"/>
    <hyperlink ref="E60:O60" location="'430G'!A1" display="Fund Equity Restatement Governmental Funds (Part 1 of 2)" xr:uid="{00000000-0004-0000-0200-000097000000}"/>
    <hyperlink ref="E61:O61" location="'430BTA'!A1" display="Fund Equity Restatement Business Type Activities (Part 1 of 2)" xr:uid="{00000000-0004-0000-0200-000098000000}"/>
    <hyperlink ref="A20" location="'120'!A1" display="'120'!A1" xr:uid="{00000000-0004-0000-0200-000099000000}"/>
    <hyperlink ref="E20:O20" location="'120'!A1" display="Government Combinations and Disposals of Government Operations" xr:uid="{00000000-0004-0000-0200-00009A000000}"/>
    <hyperlink ref="A64" location="'431BTA'!A1" display="431BTA" xr:uid="{00000000-0004-0000-0200-00009B000000}"/>
    <hyperlink ref="E64:L64" location="'431'!A1" display="Fund Equity Restatement (Part 2 of 2)" xr:uid="{00000000-0004-0000-0200-00009C000000}"/>
    <hyperlink ref="E63:O63" location="'431G'!A1" display="Restatements Governmental Funds (Part 2 of 2)" xr:uid="{00000000-0004-0000-0200-00009D000000}"/>
    <hyperlink ref="E64:O64" location="'431BTA'!A1" display="Restatements Business Type Activities (Part 2 of 2)" xr:uid="{00000000-0004-0000-0200-00009E000000}"/>
    <hyperlink ref="A100" location="'755'!A1" display="'755'!A1" xr:uid="{00000000-0004-0000-0200-00009F000000}"/>
    <hyperlink ref="E100:O100" location="'755'!A1" display="Investments Held Outside the State Treasurer And Derivatives - Fair Value Measurements" xr:uid="{00000000-0004-0000-0200-0000A0000000}"/>
    <hyperlink ref="A102" location="'760'!A1" display="'760'!A1" xr:uid="{00000000-0004-0000-0200-0000A1000000}"/>
    <hyperlink ref="A103" location="'765'!A1" display="'765'!A1" xr:uid="{00000000-0004-0000-0200-0000A2000000}"/>
    <hyperlink ref="E82:O82" location="'605'!A1" display="University Optional Retirement Program " xr:uid="{00000000-0004-0000-0200-0000A3000000}"/>
    <hyperlink ref="A89" location="'640'!A1" display="'640'!A1" xr:uid="{00000000-0004-0000-0200-0000A4000000}"/>
    <hyperlink ref="E89" location="'640'!A1" display="Tax Abatement" xr:uid="{00000000-0004-0000-0200-0000A5000000}"/>
    <hyperlink ref="A85" location="'616'!A1" display="'616'!A1" xr:uid="{00000000-0004-0000-0200-0000A6000000}"/>
    <hyperlink ref="E85:L85" location="'620'!A1" display="Analysis of Deferred Revenues" xr:uid="{00000000-0004-0000-0200-0000A7000000}"/>
    <hyperlink ref="E85:O85" location="'616'!A1" display="Schedule of Due from / Due to University Component Units   NEW FY 2017" xr:uid="{00000000-0004-0000-0200-0000A8000000}"/>
    <hyperlink ref="A73" location="'540'!A1" display="'540'!A1" xr:uid="{00000000-0004-0000-0200-0000A9000000}"/>
    <hyperlink ref="A74" location="'545'!A1" display="'545'!A1" xr:uid="{00000000-0004-0000-0200-0000AA000000}"/>
    <hyperlink ref="A76" location="'550'!A1" display="'550'!A1" xr:uid="{00000000-0004-0000-0200-0000AB000000}"/>
    <hyperlink ref="A77" location="'555'!A1" display="'555'!A1" xr:uid="{00000000-0004-0000-0200-0000AC000000}"/>
    <hyperlink ref="A78" location="'560'!A1" display="'560'!A1" xr:uid="{00000000-0004-0000-0200-0000AD000000}"/>
    <hyperlink ref="E73" location="'540'!A1" display="Schedule of Intra-Agency Operating Transfers  NEW FY 2017" xr:uid="{00000000-0004-0000-0200-0000AE000000}"/>
    <hyperlink ref="E74:O74" location="'545'!A1" display="Schedule of Agency Inter-Company Operating Transfers to be Eliminated at CAFR Level  NEW FY 2017" xr:uid="{00000000-0004-0000-0200-0000AF000000}"/>
    <hyperlink ref="E76:O76" location="'550'!A1" display="Schedule of Inter-Agency Operating Transfers In  NEW FY 2017" xr:uid="{00000000-0004-0000-0200-0000B0000000}"/>
    <hyperlink ref="E77:O77" location="'555'!A1" display="Schedule of Inter-Agency Operating Transfers Out  NEW FY 2017" xr:uid="{00000000-0004-0000-0200-0000B1000000}"/>
    <hyperlink ref="E78:O78" location="'560'!A1" display="Schedule of Agency Nonroutine Transfers  NEW FY 2017" xr:uid="{00000000-0004-0000-0200-0000B2000000}"/>
    <hyperlink ref="E101:L101" location="'710'!A1" display="Investments Held Outside the State Treasurer - Custodial Credit Risk" xr:uid="{00000000-0004-0000-0200-0000B3000000}"/>
    <hyperlink ref="E101:O101" location="'756'!A1" display="Investments Held Outside the State Treasurer - Valuation of Investments " xr:uid="{00000000-0004-0000-0200-0000B4000000}"/>
    <hyperlink ref="E103" location="'765'!A1" display="Investments Held Outside the State Treasurer - External Investment Pools and Pool Participants" xr:uid="{00000000-0004-0000-0200-0000B5000000}"/>
    <hyperlink ref="E102" location="'760'!A1" display="Investments Held Outside the State Treasurer - Investments Measured at NAV" xr:uid="{00000000-0004-0000-0200-0000B6000000}"/>
    <hyperlink ref="E109:O109" location="'906-6BC'!A1" display="Offline Fiduciary - Stmt of Net Position &amp; Stmt of Chgs in Net position-Combined DefComp&amp;401(k)(new for 2013)" xr:uid="{00000000-0004-0000-0200-0000B7000000}"/>
    <hyperlink ref="E108:O108" location="'906-6C'!A1" display="Offline Fiduciary - Stmt of Net Position &amp; Stmt of Chgs in Net position NC 401(k)-6C (changes for 2013)" xr:uid="{00000000-0004-0000-0200-0000B8000000}"/>
    <hyperlink ref="E105:O105" location="'For 905-NCAS Acct Roll-up'!A1" display="Roll-up tables for the CAFR 11P Stmnt of Net assets &amp; CAFR 53P Stmnt of Rev, Exp and Changes in Net Assets showing NCAS  accts making  up each caption" xr:uid="{00000000-0004-0000-0200-0000B9000000}"/>
    <hyperlink ref="E106:O106" location="'905Hosp'!A1" display="'905Hosp'!A1" xr:uid="{00000000-0004-0000-0200-0000BA000000}"/>
    <hyperlink ref="E112:O112" location="'910'!A1" display="Offline Proprietary MD&amp;A - Computed Variances" xr:uid="{00000000-0004-0000-0200-0000BB000000}"/>
    <hyperlink ref="E110:O110" location="'907'!A1" display="Offline Agency Funds Proforma - Stmt of Chnages in Assets and Liabilities" xr:uid="{00000000-0004-0000-0200-0000BC000000}"/>
    <hyperlink ref="E107:O107" location="'906-6B'!A1" display="Offline Fiduciary - Stmt of Net Position &amp; Stmt of Chgs in Net position Deferred Comp-6B (changes for 2013)" xr:uid="{00000000-0004-0000-0200-0000BD000000}"/>
    <hyperlink ref="E104:O104" location="'905'!A1" display="Offline Proprietary Proforma - Stmt of Net Assets &amp; Stmt of Revs, Exps and Chgs in Net Assets and Certification of Data file for universities using 905 template (new for 2011)" xr:uid="{00000000-0004-0000-0200-0000BE000000}"/>
    <hyperlink ref="A101" location="'756'!A1" display="'756'!A1" xr:uid="{00000000-0004-0000-0200-0000BF000000}"/>
    <hyperlink ref="A119" location="'OSC Analysts'!A1" display="OSC Analysts" xr:uid="{00000000-0004-0000-0200-0000C0000000}"/>
    <hyperlink ref="E119" location="'OSC Analysts'!A1" display="List of OSC Statewide Accounting Financial Reporting Analyst Names and Numbers" xr:uid="{00000000-0004-0000-0200-0000C1000000}"/>
    <hyperlink ref="E23" location="'202'!A1" display="Governmental Fund Capital Assets" xr:uid="{6412FCA9-5AA5-48AA-90DA-17B6E4616697}"/>
    <hyperlink ref="E22" location="'202'!A1" display="Governmental Fund Capital Assets" xr:uid="{1C13EEC7-68B3-48C6-87DB-338DF7E3283F}"/>
    <hyperlink ref="A22" location="'202'!A1" display="'202'!A1" xr:uid="{FCE26A03-8923-4534-B3E3-493F70E792F1}"/>
    <hyperlink ref="A23" location="'203'!A1" display="'203'!A1" xr:uid="{DF04F2A4-861F-44FF-8947-1CA29D35EEAF}"/>
    <hyperlink ref="E34:O34" location="'315'!A1" display="Annual Debt Svc Reqmts - Bonds, Special Indebtedness, Notes Payable, Notes from Direct Borrowings &amp; Direct Placements - Without Interest Rate Swaps" xr:uid="{18034629-C2BA-4388-BDB3-3CC929647F2F}"/>
    <hyperlink ref="E35:O35" location="'320'!A1" display="Annual Debt Svc Reqmts - Bonds, Special Indebtedness, Notes Payable, Notes from Direct Borrowings &amp; Direct Placements - With Interest Rate Swaps" xr:uid="{41A45703-D09E-4BF4-9586-16FD88CA1170}"/>
    <hyperlink ref="A81" location="'602'!A1" display="'602'!A1" xr:uid="{F9552FBD-07BD-496F-A177-6321A98E298A}"/>
    <hyperlink ref="E81:O81" location="'602'!A1" display="Employer Contribution Amounts for TSERS and OPEB (New FY 2020 for Universities only)" xr:uid="{9FD2A0FA-EBD2-4D4E-83C4-345F7D0E133E}"/>
    <hyperlink ref="A37" location="'323'!A1" display="'323'!A1" xr:uid="{685A4699-5EAD-4116-92F2-D417D3DF4242}"/>
    <hyperlink ref="E37:O37" location="'323'!A1" display="Certain Asset Retirement Obligations" xr:uid="{99737A01-9111-4F4F-A3D7-1AB7647F715E}"/>
    <hyperlink ref="A52" location="'375-A'!A1" display="375-A" xr:uid="{65A527AF-815E-4ECF-B1AF-5A6D407B85AF}"/>
    <hyperlink ref="E52:O52" location="'375-A'!A1" display="Financial Reporting for Federal Coronavirus (COVID-19) Funds " xr:uid="{F100CA2B-2755-413A-9C52-0F8D91DDA760}"/>
    <hyperlink ref="E62" location="'430F'!A1" display="Restatements Fiduciary Activities (Part 1 of 2) (NEW for Fiscal Year 2021)" xr:uid="{27D27304-2A4E-4DA5-9348-E9AC0C0481E1}"/>
    <hyperlink ref="A62" location="'430F'!A1" display="430F" xr:uid="{D1298303-12F2-4E06-B257-5CF8A1C51A97}"/>
    <hyperlink ref="A53" location="'375-B'!A1" display="375-B" xr:uid="{4F400107-57EA-45FE-A61D-4743DCD7105D}"/>
    <hyperlink ref="E53:O53" location="'375-B'!A1" display="Budget Reporting for Federal Coronavirus (COVID-19) Funds " xr:uid="{06F749E1-5A07-48C9-A6C8-D85E58CD841D}"/>
    <hyperlink ref="A28" location="'302'!A1" display="'302'!A1" xr:uid="{165D3BB0-7752-4D08-B8D4-B13C101D9CB5}"/>
    <hyperlink ref="A29" location="'303'!A1" display="'303'!A1" xr:uid="{7E739062-D5B6-4F1C-B8DE-30B92CB7574B}"/>
    <hyperlink ref="A111" location="'908'!Print_Area" display="'908'!Print_Area" xr:uid="{777D2AEA-B613-4C78-9D57-222F3A10D6B8}"/>
    <hyperlink ref="A75" location="'546'!A1" display="'546'!A1" xr:uid="{8B39F7CF-66A3-418E-B00C-B8CBB145F8C1}"/>
    <hyperlink ref="E75:O75" location="'546'!A1" display="Schedule of Intra-Agency Intra-Company Operating Transfers to be Eliminated at Annual Report Level New FY 2023" xr:uid="{26F407ED-1870-4B60-A4F9-2B5C6CBC61F6}"/>
  </hyperlinks>
  <pageMargins left="0.6" right="0.6" top="0.5" bottom="0.5" header="0.3" footer="0.3"/>
  <pageSetup scale="75" fitToHeight="0" orientation="portrait" r:id="rId5"/>
  <rowBreaks count="1" manualBreakCount="1">
    <brk id="6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9F27-0C6F-4870-BA55-887DBFDD3F09}">
  <sheetPr codeName="Sheet99">
    <pageSetUpPr fitToPage="1"/>
  </sheetPr>
  <dimension ref="A1:P105"/>
  <sheetViews>
    <sheetView zoomScale="120" zoomScaleNormal="120" workbookViewId="0">
      <selection activeCell="I70" sqref="I70"/>
    </sheetView>
  </sheetViews>
  <sheetFormatPr defaultRowHeight="12.75" x14ac:dyDescent="0.2"/>
  <cols>
    <col min="12" max="12" width="13.28515625" customWidth="1"/>
  </cols>
  <sheetData>
    <row r="1" spans="1:14" ht="15.75" x14ac:dyDescent="0.25">
      <c r="A1" s="2439" t="s">
        <v>0</v>
      </c>
      <c r="B1" s="2439"/>
      <c r="C1" s="2439"/>
      <c r="D1" s="2439"/>
      <c r="E1" s="2439"/>
      <c r="F1" s="2439"/>
      <c r="G1" s="2439"/>
      <c r="H1" s="2439"/>
      <c r="I1" s="2439"/>
      <c r="J1" s="2439"/>
      <c r="K1" s="2439"/>
      <c r="L1" s="2439"/>
      <c r="M1" s="2439"/>
      <c r="N1" s="2439"/>
    </row>
    <row r="2" spans="1:14" ht="15.75" x14ac:dyDescent="0.25">
      <c r="A2" s="2439" t="str">
        <f>CONCATENATE(YEAR(Data!A2)," ACFR Worksheets")</f>
        <v>2023 ACFR Worksheets</v>
      </c>
      <c r="B2" s="2439"/>
      <c r="C2" s="2439"/>
      <c r="D2" s="2439"/>
      <c r="E2" s="2439"/>
      <c r="F2" s="2439"/>
      <c r="G2" s="2439"/>
      <c r="H2" s="2439"/>
      <c r="I2" s="2439"/>
      <c r="J2" s="2439"/>
      <c r="K2" s="2439"/>
      <c r="L2" s="2439"/>
      <c r="M2" s="2439"/>
      <c r="N2" s="1566"/>
    </row>
    <row r="3" spans="1:14" ht="16.5" thickBot="1" x14ac:dyDescent="0.3">
      <c r="A3" s="2439" t="s">
        <v>218</v>
      </c>
      <c r="B3" s="2439"/>
      <c r="C3" s="2439"/>
      <c r="D3" s="2439"/>
      <c r="E3" s="2439"/>
      <c r="F3" s="2439"/>
      <c r="G3" s="2439"/>
      <c r="H3" s="2439"/>
      <c r="I3" s="2439"/>
      <c r="J3" s="2439"/>
      <c r="K3" s="2439"/>
      <c r="L3" s="2439"/>
      <c r="M3" s="2439"/>
      <c r="N3" s="1566"/>
    </row>
    <row r="4" spans="1:14" x14ac:dyDescent="0.2">
      <c r="B4" s="1555"/>
      <c r="C4" s="1558"/>
      <c r="D4" s="1558"/>
      <c r="E4" s="1558"/>
      <c r="F4" s="1558"/>
      <c r="G4" s="1558"/>
      <c r="H4" s="1558"/>
      <c r="I4" s="1558"/>
      <c r="J4" s="1558"/>
      <c r="K4" s="1558"/>
      <c r="L4" s="1558"/>
      <c r="M4" s="1561"/>
    </row>
    <row r="5" spans="1:14" x14ac:dyDescent="0.2">
      <c r="B5" s="1556"/>
      <c r="M5" s="1562"/>
    </row>
    <row r="6" spans="1:14" ht="15.75" thickBot="1" x14ac:dyDescent="0.3">
      <c r="B6" s="1556"/>
      <c r="C6" s="1559" t="s">
        <v>219</v>
      </c>
      <c r="D6" s="1559"/>
      <c r="M6" s="1563" t="str">
        <f>AgyIdx</f>
        <v>01</v>
      </c>
    </row>
    <row r="7" spans="1:14" ht="15" x14ac:dyDescent="0.25">
      <c r="B7" s="1556"/>
      <c r="C7" s="1559"/>
      <c r="D7" s="1559"/>
      <c r="M7" s="1562"/>
    </row>
    <row r="8" spans="1:14" ht="15.75" thickBot="1" x14ac:dyDescent="0.3">
      <c r="B8" s="1556"/>
      <c r="C8" s="1560" t="s">
        <v>220</v>
      </c>
      <c r="D8" s="1559"/>
      <c r="M8" s="1564" t="str">
        <f>'905'!P1</f>
        <v/>
      </c>
    </row>
    <row r="9" spans="1:14" ht="15" x14ac:dyDescent="0.25">
      <c r="B9" s="1556"/>
      <c r="C9" s="1560" t="s">
        <v>221</v>
      </c>
      <c r="D9" s="1559"/>
      <c r="M9" s="1562"/>
    </row>
    <row r="10" spans="1:14" ht="15.75" thickBot="1" x14ac:dyDescent="0.3">
      <c r="B10" s="1556"/>
      <c r="C10" s="1560" t="s">
        <v>222</v>
      </c>
      <c r="D10" s="1559"/>
      <c r="M10" s="1564" t="str">
        <f>'905'!P2</f>
        <v>0100</v>
      </c>
    </row>
    <row r="11" spans="1:14" ht="15" x14ac:dyDescent="0.25">
      <c r="B11" s="1556"/>
      <c r="C11" s="2103" t="s">
        <v>223</v>
      </c>
      <c r="D11" s="2104"/>
      <c r="E11" s="2104"/>
      <c r="F11" s="2104"/>
      <c r="G11" s="2104"/>
      <c r="H11" s="2104"/>
      <c r="I11" s="2104"/>
      <c r="J11" s="2104"/>
      <c r="K11" s="2104"/>
      <c r="L11" s="2104"/>
      <c r="M11" s="1562"/>
    </row>
    <row r="12" spans="1:14" ht="15" x14ac:dyDescent="0.25">
      <c r="B12" s="1556"/>
      <c r="C12" s="376" t="s">
        <v>224</v>
      </c>
      <c r="D12" s="1559"/>
      <c r="M12" s="1567" t="str">
        <f>IF(ISBLANK('101'!F17),"ERROR","OK")</f>
        <v>ERROR</v>
      </c>
    </row>
    <row r="13" spans="1:14" ht="15" x14ac:dyDescent="0.25">
      <c r="B13" s="1556"/>
      <c r="C13" s="376" t="s">
        <v>225</v>
      </c>
      <c r="D13" s="1559"/>
      <c r="M13" s="1565" t="str">
        <f>IF('101'!J25="",IF('101'!L25="","ERROR","OK"),IF('101'!L25="","OK","ERROR"))</f>
        <v>ERROR</v>
      </c>
    </row>
    <row r="14" spans="1:14" ht="15" x14ac:dyDescent="0.25">
      <c r="B14" s="1556"/>
      <c r="C14" s="376" t="s">
        <v>226</v>
      </c>
      <c r="D14" s="1559"/>
      <c r="M14" s="1565" t="str">
        <f>IF('101'!L25="",IF('101'!J25="","ERROR",IF('101'!G26="","OK","ERROR")),IF('101'!G26="","ERROR","OK"))</f>
        <v>ERROR</v>
      </c>
    </row>
    <row r="15" spans="1:14" ht="15" x14ac:dyDescent="0.25">
      <c r="B15" s="1556"/>
      <c r="C15" s="376" t="s">
        <v>227</v>
      </c>
      <c r="D15" s="1559"/>
      <c r="M15" s="1565" t="str">
        <f>IF('101'!J31="",IF('101'!L31="","ERROR","OK"),IF('101'!L31="","OK","ERROR"))</f>
        <v>ERROR</v>
      </c>
    </row>
    <row r="16" spans="1:14" ht="15" x14ac:dyDescent="0.25">
      <c r="B16" s="1556"/>
      <c r="C16" s="376" t="s">
        <v>228</v>
      </c>
      <c r="D16" s="1559"/>
      <c r="M16" s="1565" t="str">
        <f>IF('101'!L31="",IF('101'!J31="","ERROR",IF('101'!G33="","OK","ERROR")),IF('101'!G33="","ERROR","OK"))</f>
        <v>ERROR</v>
      </c>
    </row>
    <row r="17" spans="2:13" ht="15" x14ac:dyDescent="0.25">
      <c r="B17" s="1556"/>
      <c r="C17" s="376" t="s">
        <v>229</v>
      </c>
      <c r="D17" s="1559"/>
      <c r="M17" s="1565" t="str">
        <f>IF(ISBLANK('101'!D38),"ERROR","OK")</f>
        <v>ERROR</v>
      </c>
    </row>
    <row r="18" spans="2:13" ht="15" x14ac:dyDescent="0.25">
      <c r="B18" s="1556"/>
      <c r="C18" s="376" t="s">
        <v>230</v>
      </c>
      <c r="D18" s="1559"/>
      <c r="M18" s="1565" t="str">
        <f>IF('101'!J51="",IF('101'!L51="","ERROR","OK"),IF('101'!L51="","OK","ERROR"))</f>
        <v>ERROR</v>
      </c>
    </row>
    <row r="19" spans="2:13" ht="15" x14ac:dyDescent="0.25">
      <c r="B19" s="1556"/>
      <c r="C19" s="376" t="s">
        <v>231</v>
      </c>
      <c r="D19" s="1559"/>
      <c r="M19" s="1565" t="str">
        <f>IF('101'!J51="",IF('101'!L51="","ERROR",IF('101'!C53="","OK","ERROR")),IF('101'!C53="","ERROR","OK"))</f>
        <v>ERROR</v>
      </c>
    </row>
    <row r="20" spans="2:13" ht="15" x14ac:dyDescent="0.25">
      <c r="B20" s="1556"/>
      <c r="C20" s="376" t="s">
        <v>232</v>
      </c>
      <c r="D20" s="1559"/>
      <c r="M20" s="1565" t="str">
        <f>IF(AND(ISBLANK('101'!H59),ISBLANK('101'!J59),ISBLANK('101'!L59))=TRUE,"ERROR",IF(COUNTIF('101'!H59:L59,"")&gt;1,"OK","ERROR"))</f>
        <v>ERROR</v>
      </c>
    </row>
    <row r="21" spans="2:13" ht="15" x14ac:dyDescent="0.25">
      <c r="B21" s="1556"/>
      <c r="C21" s="376" t="s">
        <v>233</v>
      </c>
      <c r="D21" s="1559"/>
      <c r="M21" s="1565" t="str">
        <f>IF('101'!J63="",IF('101'!L63="","ERROR","OK"),IF('101'!L63="","OK","ERROR"))</f>
        <v>ERROR</v>
      </c>
    </row>
    <row r="22" spans="2:13" ht="15" x14ac:dyDescent="0.25">
      <c r="B22" s="1556"/>
      <c r="C22" s="376" t="s">
        <v>234</v>
      </c>
      <c r="D22" s="1559"/>
      <c r="M22" s="1565" t="str">
        <f>IF('101'!J63="",IF('101'!L63="","ERROR",IF('101'!F64="","OK","ERROR")),IF('101'!F64="","ERROR","OK"))</f>
        <v>ERROR</v>
      </c>
    </row>
    <row r="23" spans="2:13" ht="15" x14ac:dyDescent="0.25">
      <c r="B23" s="1556"/>
      <c r="C23" s="376" t="s">
        <v>235</v>
      </c>
      <c r="D23" s="1559"/>
      <c r="M23" s="1565" t="str">
        <f>IF(AND(ISBLANK('101'!H68),ISBLANK('101'!J68),ISBLANK('101'!L68))=TRUE,"ERROR",IF(COUNTIF('101'!H68:L68,"")&gt;1,"OK","ERROR"))</f>
        <v>ERROR</v>
      </c>
    </row>
    <row r="24" spans="2:13" ht="15" x14ac:dyDescent="0.25">
      <c r="B24" s="1556"/>
      <c r="C24" s="376" t="s">
        <v>236</v>
      </c>
      <c r="D24" s="1559"/>
      <c r="M24" s="1565" t="str">
        <f>IF('101'!H68="","OK",IF('101'!E69="","ERROR","OK"))</f>
        <v>OK</v>
      </c>
    </row>
    <row r="25" spans="2:13" x14ac:dyDescent="0.2">
      <c r="B25" s="1556"/>
      <c r="C25" s="376" t="s">
        <v>237</v>
      </c>
      <c r="D25" s="376"/>
      <c r="M25" s="1565" t="str">
        <f>IF('110'!E23="",IF('110'!E24="","ERROR","OK"),IF('110'!E24="","OK","ERROR"))</f>
        <v>ERROR</v>
      </c>
    </row>
    <row r="26" spans="2:13" x14ac:dyDescent="0.2">
      <c r="B26" s="1556"/>
      <c r="C26" s="376" t="s">
        <v>238</v>
      </c>
      <c r="D26" s="376"/>
      <c r="M26" s="1565" t="str">
        <f>IF('120'!E31="",IF('120'!E32="","ERROR","OK"),IF('120'!E32="","OK","ERROR"))</f>
        <v>ERROR</v>
      </c>
    </row>
    <row r="27" spans="2:13" ht="15" x14ac:dyDescent="0.25">
      <c r="B27" s="1556"/>
      <c r="C27" s="376" t="s">
        <v>239</v>
      </c>
      <c r="D27" s="1559"/>
      <c r="M27" s="1565" t="str">
        <f>IF('120'!E31="",IF(COUNTA('120'!D37:D40)&gt;0,"ERROR","OK"),IF(COUNTA('120'!D37:D40)=1,"OK","ERROR"))</f>
        <v>OK</v>
      </c>
    </row>
    <row r="28" spans="2:13" ht="15" x14ac:dyDescent="0.25">
      <c r="B28" s="1556"/>
      <c r="C28" s="376" t="s">
        <v>240</v>
      </c>
      <c r="D28" s="1559"/>
      <c r="M28" s="1565" t="str">
        <f>IF('201'!R44=0,"OK","ERROR")</f>
        <v>OK</v>
      </c>
    </row>
    <row r="29" spans="2:13" x14ac:dyDescent="0.2">
      <c r="B29" s="1556"/>
      <c r="C29" s="376" t="s">
        <v>241</v>
      </c>
      <c r="D29" s="376"/>
      <c r="M29" s="1565" t="str">
        <f>IF('202'!T1="NA","OK",IF('202'!E14="",IF('202'!I14="","ERROR","OK"),IF('202'!I14="","OK","ERROR")))</f>
        <v>ERROR</v>
      </c>
    </row>
    <row r="30" spans="2:13" ht="15" x14ac:dyDescent="0.25">
      <c r="B30" s="1556"/>
      <c r="C30" s="376" t="s">
        <v>242</v>
      </c>
      <c r="D30" s="1559"/>
      <c r="M30" s="1565" t="str">
        <f>IF('202'!T1="NA","OK",IF('202'!E14="",IF('202'!I14="","ERROR",IF('202'!E18="","OK","ERROR")),IF('202'!E18="","ERROR","OK")))</f>
        <v>ERROR</v>
      </c>
    </row>
    <row r="31" spans="2:13" x14ac:dyDescent="0.2">
      <c r="B31" s="1556"/>
      <c r="C31" s="376" t="s">
        <v>243</v>
      </c>
      <c r="D31" s="376"/>
      <c r="M31" s="1565" t="str">
        <f>IF('202'!T1="NA","OK",IF('202'!E14="",IF('202'!I14="","ERROR",IF('202'!G20="","OK","ERROR")),IF('202'!G20="","ERROR","OK")))</f>
        <v>ERROR</v>
      </c>
    </row>
    <row r="32" spans="2:13" x14ac:dyDescent="0.2">
      <c r="B32" s="1556"/>
      <c r="C32" s="376" t="s">
        <v>244</v>
      </c>
      <c r="D32" s="376"/>
      <c r="M32" s="1565" t="str">
        <f>IF('202'!T1="NA","OK",IF(AND(ISBLANK('202'!E23),ISBLANK('202'!I23),ISBLANK('202'!M23))=TRUE,"ERROR",IF(COUNTIF('202'!E23:M23,"")&gt;1,"OK","ERROR")))</f>
        <v>ERROR</v>
      </c>
    </row>
    <row r="33" spans="2:14" ht="15" x14ac:dyDescent="0.25">
      <c r="B33" s="1556"/>
      <c r="C33" s="376" t="s">
        <v>245</v>
      </c>
      <c r="D33" s="1559"/>
      <c r="M33" s="1565" t="str">
        <f>IF('202'!T1="NA","OK",IF('202'!I23="","OK",IF('202'!C26="","ERROR","OK")))</f>
        <v>OK</v>
      </c>
    </row>
    <row r="34" spans="2:14" x14ac:dyDescent="0.2">
      <c r="B34" s="1556"/>
      <c r="C34" s="376" t="s">
        <v>246</v>
      </c>
      <c r="D34" s="376"/>
      <c r="M34" s="1565" t="str">
        <f>IF('202'!T1="NA","OK",IF('202'!M28="",IF('202'!Q28="","ERROR","OK"),IF('202'!Q28="","OK","ERROR")))</f>
        <v>ERROR</v>
      </c>
    </row>
    <row r="35" spans="2:14" ht="15" x14ac:dyDescent="0.25">
      <c r="B35" s="1556"/>
      <c r="C35" s="376" t="s">
        <v>247</v>
      </c>
      <c r="D35" s="1559"/>
      <c r="M35" s="1565" t="str">
        <f>IF('202'!T1="NA","OK",IF('202'!M28="",IF('202'!Q28="","ERROR",IF('202'!E34="","OK","ERROR")),IF('202'!E34="","ERROR","OK")))</f>
        <v>ERROR</v>
      </c>
      <c r="N35" t="s">
        <v>50</v>
      </c>
    </row>
    <row r="36" spans="2:14" x14ac:dyDescent="0.2">
      <c r="B36" s="1556"/>
      <c r="C36" s="376" t="s">
        <v>248</v>
      </c>
      <c r="D36" s="376"/>
      <c r="M36" s="1565" t="str">
        <f>IF('202'!T1="NA","OK",IF(AND(ISBLANK('202'!E44),ISBLANK('202'!I44),ISBLANK('202'!M44))=TRUE,"ERROR",IF(COUNTIF('202'!E44:M44,"")&gt;1,"OK","ERROR")))</f>
        <v>ERROR</v>
      </c>
    </row>
    <row r="37" spans="2:14" ht="15" x14ac:dyDescent="0.25">
      <c r="B37" s="1556"/>
      <c r="C37" s="376" t="s">
        <v>249</v>
      </c>
      <c r="D37" s="1559"/>
      <c r="M37" s="1565" t="str">
        <f>IF('202'!T1="NA","OK",IF('202'!I44="","OK",IF('202'!C47="","ERROR","OK")))</f>
        <v>OK</v>
      </c>
    </row>
    <row r="38" spans="2:14" x14ac:dyDescent="0.2">
      <c r="B38" s="1556"/>
      <c r="C38" s="376" t="s">
        <v>250</v>
      </c>
      <c r="D38" s="376"/>
      <c r="M38" s="1565" t="str">
        <f>IF('202'!T1="NA","OK",IF('202'!M49="",IF('202'!Q49="","ERROR","OK"),IF('202'!Q49="","OK","ERROR")))</f>
        <v>ERROR</v>
      </c>
    </row>
    <row r="39" spans="2:14" ht="15" x14ac:dyDescent="0.25">
      <c r="B39" s="1556"/>
      <c r="C39" s="376" t="s">
        <v>251</v>
      </c>
      <c r="D39" s="1559"/>
      <c r="M39" s="1565" t="str">
        <f>IF('202'!T1="NA","OK",IF('202'!M49="",IF('202'!Q49="","ERROR",IF('202'!E55="","OK","ERROR")),IF('202'!E55="","ERROR","OK")))</f>
        <v>ERROR</v>
      </c>
    </row>
    <row r="40" spans="2:14" x14ac:dyDescent="0.2">
      <c r="B40" s="1556"/>
      <c r="C40" s="376" t="s">
        <v>252</v>
      </c>
      <c r="D40" s="376"/>
      <c r="M40" s="1565" t="str">
        <f>IF('202'!T1="NA","OK",IF('202'!M57="",IF('202'!Q57="","ERROR","OK"),IF('202'!Q57="","OK","ERROR")))</f>
        <v>ERROR</v>
      </c>
    </row>
    <row r="41" spans="2:14" ht="15" x14ac:dyDescent="0.25">
      <c r="B41" s="1556"/>
      <c r="C41" s="376" t="s">
        <v>253</v>
      </c>
      <c r="D41" s="1559"/>
      <c r="M41" s="1565" t="str">
        <f>IF('202'!T1="NA","OK",IF('202'!M57="",IF('202'!Q57="","ERROR",IF('202'!E63="","OK","ERROR")),IF('202'!E63="","ERROR","OK")))</f>
        <v>ERROR</v>
      </c>
    </row>
    <row r="42" spans="2:14" x14ac:dyDescent="0.2">
      <c r="B42" s="1556"/>
      <c r="C42" s="376" t="s">
        <v>254</v>
      </c>
      <c r="D42" s="376"/>
      <c r="M42" s="1565" t="str">
        <f>IF('202'!T1="NA","OK",IF(AND(ISBLANK('202'!E69),ISBLANK('202'!I69),ISBLANK('202'!M69))=TRUE,"ERROR",IF(COUNTIF('202'!E69:M69,"")&gt;1,"OK","ERROR")))</f>
        <v>ERROR</v>
      </c>
    </row>
    <row r="43" spans="2:14" ht="15" x14ac:dyDescent="0.25">
      <c r="B43" s="1556"/>
      <c r="C43" s="376" t="s">
        <v>255</v>
      </c>
      <c r="D43" s="1559"/>
      <c r="M43" s="1565" t="str">
        <f>IF('202'!T1="NA","OK",IF('202'!I69="","OK",IF('202'!C72="","ERROR","OK")))</f>
        <v>OK</v>
      </c>
    </row>
    <row r="44" spans="2:14" x14ac:dyDescent="0.2">
      <c r="B44" s="1556"/>
      <c r="C44" s="376" t="s">
        <v>256</v>
      </c>
      <c r="D44" s="376"/>
      <c r="M44" s="1565" t="str">
        <f>IF('203'!T1="NA","OK",IF('203'!E15="",IF('203'!J15="","ERROR","OK"),IF('203'!Q15="","OK","ERROR")))</f>
        <v>ERROR</v>
      </c>
    </row>
    <row r="45" spans="2:14" x14ac:dyDescent="0.2">
      <c r="B45" s="1556"/>
      <c r="C45" s="376" t="s">
        <v>257</v>
      </c>
      <c r="D45" s="376"/>
      <c r="M45" s="1565" t="str">
        <f>IF('203'!T1="NA","OK",IF('203'!E25="",IF('203'!J25="","ERROR","OK"),IF('203'!J25="","OK","ERROR")))</f>
        <v>ERROR</v>
      </c>
    </row>
    <row r="46" spans="2:14" ht="15" x14ac:dyDescent="0.25">
      <c r="B46" s="1556"/>
      <c r="C46" s="376" t="s">
        <v>258</v>
      </c>
      <c r="D46" s="1559"/>
      <c r="M46" s="1565" t="str">
        <f>IF('203'!T1="NA","OK",IF('203'!E25="",IF('203'!J25="","ERROR",IF('203'!C32="","OK","ERROR")),IF('203'!C32="","ERROR","OK")))</f>
        <v>ERROR</v>
      </c>
    </row>
    <row r="47" spans="2:14" x14ac:dyDescent="0.2">
      <c r="B47" s="1556"/>
      <c r="C47" s="376" t="s">
        <v>259</v>
      </c>
      <c r="D47" s="376"/>
      <c r="M47" s="1565" t="str">
        <f>IF('203'!T1="NA","OK",IF('203'!E44="",IF('203'!J44="","ERROR","OK"),IF('203'!J44="","OK","ERROR")))</f>
        <v>ERROR</v>
      </c>
    </row>
    <row r="48" spans="2:14" ht="15" x14ac:dyDescent="0.25">
      <c r="B48" s="1556"/>
      <c r="C48" s="376" t="s">
        <v>260</v>
      </c>
      <c r="D48" s="1559"/>
      <c r="M48" s="1565" t="str">
        <f>IF('203'!T1="NA","OK",IF('203'!E44="",IF('203'!J44="","ERROR",IF('203'!C50="","OK","ERROR")),IF('203'!C50="","ERROR","OK")))</f>
        <v>ERROR</v>
      </c>
    </row>
    <row r="49" spans="2:16" x14ac:dyDescent="0.2">
      <c r="B49" s="1556"/>
      <c r="C49" s="376" t="s">
        <v>261</v>
      </c>
      <c r="D49" s="376"/>
      <c r="M49" s="1565" t="str">
        <f>IF('203'!T1="NA","OK",IF('203'!E58="",IF('203'!J58="","ERROR","OK"),IF('203'!J58="","OK","ERROR")))</f>
        <v>ERROR</v>
      </c>
    </row>
    <row r="50" spans="2:16" x14ac:dyDescent="0.2">
      <c r="B50" s="1556"/>
      <c r="C50" s="376" t="s">
        <v>262</v>
      </c>
      <c r="D50" s="376"/>
      <c r="M50" s="1567" t="str">
        <f>IF('203'!T1="NA","OK",IF(ISBLANK('203'!C78),"ERROR","OK"))</f>
        <v>ERROR</v>
      </c>
    </row>
    <row r="51" spans="2:16" x14ac:dyDescent="0.2">
      <c r="B51" s="1556"/>
      <c r="C51" s="376" t="s">
        <v>263</v>
      </c>
      <c r="D51" s="376"/>
      <c r="E51" s="376"/>
      <c r="M51" s="1567" t="str">
        <f>IF('301'!AD1="NA","OK",IF('301'!G56="",IF('301'!K56="","ERROR","OK"),IF('301'!K56="","OK","ERROR")))</f>
        <v>ERROR</v>
      </c>
    </row>
    <row r="52" spans="2:16" x14ac:dyDescent="0.2">
      <c r="B52" s="1556"/>
      <c r="C52" s="376" t="s">
        <v>264</v>
      </c>
      <c r="D52" s="376"/>
      <c r="E52" s="376"/>
      <c r="M52" s="1567" t="str">
        <f>IF('301'!AD1="NA","OK",IF('301'!G56="",IF('301'!K56="","ERROR",IF('301'!G58="","OK","ERROR")),IF('301'!G58="","ERROR","OK")))</f>
        <v>ERROR</v>
      </c>
    </row>
    <row r="53" spans="2:16" x14ac:dyDescent="0.2">
      <c r="B53" s="1556"/>
      <c r="C53" s="376" t="s">
        <v>265</v>
      </c>
      <c r="D53" s="376"/>
      <c r="E53" s="376"/>
      <c r="M53" s="1567" t="str">
        <f>IF('301'!AD1="NA","OK",IF(AND(ISBLANK('301'!E63),ISBLANK('301'!G63),ISBLANK('301'!K63))=TRUE,"ERROR",IF(COUNTIF('301'!E63:K63,"")&gt;1,"OK","ERROR")))</f>
        <v>ERROR</v>
      </c>
    </row>
    <row r="54" spans="2:16" x14ac:dyDescent="0.2">
      <c r="B54" s="1556"/>
      <c r="C54" s="376" t="s">
        <v>264</v>
      </c>
      <c r="D54" s="376"/>
      <c r="E54" s="376"/>
      <c r="M54" s="1567" t="str">
        <f>IF('301'!AD1="NA","OK",IF('301'!E53="","OK",IF('301'!G65="","ERROR","OK")))</f>
        <v>ERROR</v>
      </c>
      <c r="P54" t="s">
        <v>50</v>
      </c>
    </row>
    <row r="55" spans="2:16" x14ac:dyDescent="0.2">
      <c r="B55" s="1556"/>
      <c r="C55" s="376" t="s">
        <v>266</v>
      </c>
      <c r="D55" s="376"/>
      <c r="E55" s="376"/>
      <c r="M55" s="1567" t="str">
        <f>IF('301'!AD1="NA","OK",IF('301'!G72="",IF('301'!K72="","ERROR","OK"),IF('301'!K72="","OK","ERROR")))</f>
        <v>ERROR</v>
      </c>
    </row>
    <row r="56" spans="2:16" x14ac:dyDescent="0.2">
      <c r="B56" s="1556"/>
      <c r="C56" s="376" t="s">
        <v>267</v>
      </c>
      <c r="D56" s="376"/>
      <c r="E56" s="376"/>
      <c r="M56" s="1567" t="str">
        <f>IF('301'!AD1="NA","OK",IF('301'!G77="",IF('301'!K77="","ERROR","OK"),IF('301'!K77="","OK","ERROR")))</f>
        <v>ERROR</v>
      </c>
    </row>
    <row r="57" spans="2:16" x14ac:dyDescent="0.2">
      <c r="B57" s="1556"/>
      <c r="C57" s="376" t="s">
        <v>264</v>
      </c>
      <c r="D57" s="376"/>
      <c r="E57" s="376"/>
      <c r="M57" s="1567" t="str">
        <f>IF('301'!AD1="NA","OK",IF('301'!G77="",IF('301'!K77="","ERROR",IF('301'!G79="","OK","ERROR")),IF('301'!G79="","ERROR","OK")))</f>
        <v>ERROR</v>
      </c>
    </row>
    <row r="58" spans="2:16" x14ac:dyDescent="0.2">
      <c r="B58" s="1556"/>
      <c r="C58" s="376" t="s">
        <v>268</v>
      </c>
      <c r="D58" s="376"/>
      <c r="E58" s="376"/>
      <c r="M58" s="1567" t="str">
        <f>IF('301'!AD1="NA","OK",IF(AND(ISBLANK('301'!E84),ISBLANK('301'!G84),ISBLANK('301'!K84))=TRUE,"ERROR",IF(COUNTIF('301'!E84:K84,"")&gt;1,"OK","ERROR")))</f>
        <v>ERROR</v>
      </c>
    </row>
    <row r="59" spans="2:16" x14ac:dyDescent="0.2">
      <c r="B59" s="1556"/>
      <c r="C59" s="376" t="s">
        <v>264</v>
      </c>
      <c r="D59" s="376"/>
      <c r="E59" s="376"/>
      <c r="M59" s="1567" t="str">
        <f>IF('301'!AD1="NA","OK",IF('301'!E84="","OK",IF('301'!G86="","ERROR","OK")))</f>
        <v>OK</v>
      </c>
    </row>
    <row r="60" spans="2:16" x14ac:dyDescent="0.2">
      <c r="B60" s="1556"/>
      <c r="C60" s="376" t="s">
        <v>269</v>
      </c>
      <c r="D60" s="376"/>
      <c r="E60" s="376"/>
      <c r="F60" s="376"/>
      <c r="G60" s="376"/>
      <c r="H60" s="376"/>
      <c r="I60" s="376"/>
      <c r="J60" s="376"/>
      <c r="K60" s="376"/>
      <c r="L60" s="2095" t="s">
        <v>270</v>
      </c>
      <c r="M60" s="1567" t="str">
        <f>IF('303'!T1="NA","OK",IF('303'!F24=('305'!M28+'310'!M27)*-1,"OK","ERROR"))</f>
        <v>OK</v>
      </c>
    </row>
    <row r="61" spans="2:16" x14ac:dyDescent="0.2">
      <c r="B61" s="1556"/>
      <c r="C61" s="376" t="s">
        <v>271</v>
      </c>
      <c r="D61" s="376"/>
      <c r="E61" s="376"/>
      <c r="F61" s="376"/>
      <c r="G61" s="376"/>
      <c r="H61" s="376"/>
      <c r="I61" s="376"/>
      <c r="J61" s="376"/>
      <c r="K61" s="376"/>
      <c r="L61" s="2095" t="s">
        <v>270</v>
      </c>
      <c r="M61" s="1567" t="str">
        <f>IF('303'!T1="NA","OK",IF('303'!H24=('305'!O28+'310'!O27)*-1,"OK","ERROR"))</f>
        <v>OK</v>
      </c>
    </row>
    <row r="62" spans="2:16" x14ac:dyDescent="0.2">
      <c r="B62" s="1556"/>
      <c r="C62" s="376" t="s">
        <v>272</v>
      </c>
      <c r="D62" s="376"/>
      <c r="E62" s="376"/>
      <c r="F62" s="376"/>
      <c r="G62" s="376"/>
      <c r="H62" s="376"/>
      <c r="I62" s="376"/>
      <c r="J62" s="376"/>
      <c r="K62" s="376"/>
      <c r="L62" s="2095" t="s">
        <v>270</v>
      </c>
      <c r="M62" s="1567" t="str">
        <f>IF('303'!T1="NA","OK",IF('303'!F48=('305'!M29+'310'!M28)*-1,"OK","ERROR"))</f>
        <v>OK</v>
      </c>
    </row>
    <row r="63" spans="2:16" x14ac:dyDescent="0.2">
      <c r="B63" s="1556"/>
      <c r="C63" s="376" t="s">
        <v>273</v>
      </c>
      <c r="D63" s="376"/>
      <c r="E63" s="376"/>
      <c r="F63" s="376"/>
      <c r="G63" s="376"/>
      <c r="H63" s="376"/>
      <c r="I63" s="376"/>
      <c r="J63" s="376"/>
      <c r="K63" s="376"/>
      <c r="L63" s="2095" t="s">
        <v>270</v>
      </c>
      <c r="M63" s="1567" t="str">
        <f>IF('303'!T1="NA","OK",IF('303'!H48=('305'!O29+'310'!O28)*-1,"OK","ERROR"))</f>
        <v>OK</v>
      </c>
    </row>
    <row r="64" spans="2:16" x14ac:dyDescent="0.2">
      <c r="B64" s="1556"/>
      <c r="C64" s="376" t="s">
        <v>274</v>
      </c>
      <c r="D64" s="376"/>
      <c r="M64" s="1567" t="str">
        <f>IF('305'!P1="NA","OK",IF('305'!K44="",IF('305'!O44="","ERROR","OK"),IF('305'!O44="","OK","ERROR")))</f>
        <v>ERROR</v>
      </c>
    </row>
    <row r="65" spans="2:13" x14ac:dyDescent="0.2">
      <c r="B65" s="1556"/>
      <c r="C65" s="376" t="s">
        <v>275</v>
      </c>
      <c r="D65" s="376"/>
      <c r="M65" s="1565" t="str">
        <f>IF('322'!N1="NA","OK",IF('322'!C28="",IF('322'!C29="","ERROR","OK"),IF('203'!C26="","OK","ERROR")))</f>
        <v>ERROR</v>
      </c>
    </row>
    <row r="66" spans="2:13" x14ac:dyDescent="0.2">
      <c r="B66" s="1556"/>
      <c r="C66" s="376" t="s">
        <v>276</v>
      </c>
      <c r="D66" s="376"/>
      <c r="M66" s="1567" t="str">
        <f>IF('330'!O1="NA","OK",IF('330'!M58='330'!M63,"OK","ERROR"))</f>
        <v>OK</v>
      </c>
    </row>
    <row r="67" spans="2:13" x14ac:dyDescent="0.2">
      <c r="B67" s="1556"/>
      <c r="C67" s="376" t="s">
        <v>277</v>
      </c>
      <c r="D67" s="376"/>
      <c r="M67" s="1565" t="str">
        <f>IF('338'!J1="NA","OK",IF('338'!D28="",IF('338'!D29="","ERROR","OK"),IF('338'!D29="","OK","ERROR")))</f>
        <v>ERROR</v>
      </c>
    </row>
    <row r="68" spans="2:13" x14ac:dyDescent="0.2">
      <c r="B68" s="1556"/>
      <c r="C68" s="376" t="s">
        <v>278</v>
      </c>
      <c r="D68" s="376"/>
      <c r="M68" s="1565" t="str">
        <f>IF('345'!F30="",IF('345'!I30="","ERROR","OK"),IF('345'!I30="","OK","ERROR"))</f>
        <v>ERROR</v>
      </c>
    </row>
    <row r="69" spans="2:13" x14ac:dyDescent="0.2">
      <c r="B69" s="1556"/>
      <c r="C69" s="376" t="s">
        <v>279</v>
      </c>
      <c r="D69" s="376"/>
      <c r="M69" s="1565" t="str">
        <f>IF('345'!F39="",IF('345'!I39="","ERROR","OK"),IF('345'!I39="","OK","ERROR"))</f>
        <v>ERROR</v>
      </c>
    </row>
    <row r="70" spans="2:13" ht="15" x14ac:dyDescent="0.25">
      <c r="B70" s="1556"/>
      <c r="C70" s="376" t="s">
        <v>280</v>
      </c>
      <c r="D70" s="1559"/>
      <c r="M70" s="1565" t="str">
        <f>IF('345'!F39="",IF('345'!I39="","ERROR",IF('345'!D43="","OK","ERROR")),IF('345'!D43="","ERROR","OK"))</f>
        <v>ERROR</v>
      </c>
    </row>
    <row r="71" spans="2:13" x14ac:dyDescent="0.2">
      <c r="B71" s="1556"/>
      <c r="C71" s="376" t="s">
        <v>281</v>
      </c>
      <c r="D71" s="376"/>
      <c r="M71" s="1565" t="str">
        <f>IF('345'!K52="",IF('345'!K53="","ERROR","OK"),IF('345'!K53="","OK","ERROR"))</f>
        <v>ERROR</v>
      </c>
    </row>
    <row r="72" spans="2:13" x14ac:dyDescent="0.2">
      <c r="B72" s="1556"/>
      <c r="C72" s="376" t="s">
        <v>282</v>
      </c>
      <c r="D72" s="376"/>
      <c r="M72" s="1565" t="str">
        <f>IF('355'!C29="",IF('355'!E29="","ERROR","OK"),IF('355'!E29="","OK","ERROR"))</f>
        <v>ERROR</v>
      </c>
    </row>
    <row r="73" spans="2:13" x14ac:dyDescent="0.2">
      <c r="B73" s="1556"/>
      <c r="C73" s="376" t="s">
        <v>283</v>
      </c>
      <c r="D73" s="376"/>
      <c r="M73" s="1565" t="str">
        <f>IF('355'!J43="",IF('355'!L43="","ERROR","OK"),IF('355'!L43="","OK","ERROR"))</f>
        <v>ERROR</v>
      </c>
    </row>
    <row r="74" spans="2:13" x14ac:dyDescent="0.2">
      <c r="B74" s="1556"/>
      <c r="C74" s="376" t="s">
        <v>284</v>
      </c>
      <c r="D74" s="376"/>
      <c r="M74" s="1565" t="str">
        <f>IF('370'!J1="NA","OK",IF('370'!H18="",IF('370'!J18="","ERROR","OK"),IF('370'!J18="","OK","ERROR")))</f>
        <v>ERROR</v>
      </c>
    </row>
    <row r="75" spans="2:13" x14ac:dyDescent="0.2">
      <c r="B75" s="1556"/>
      <c r="C75" s="376" t="s">
        <v>285</v>
      </c>
      <c r="D75" s="376"/>
      <c r="M75" s="1565" t="str">
        <f>IF('370'!J1="NA","OK",IF('370'!H20="",IF('370'!J20="","ERROR","OK"),IF('370'!J20="","OK","ERROR")))</f>
        <v>ERROR</v>
      </c>
    </row>
    <row r="76" spans="2:13" x14ac:dyDescent="0.2">
      <c r="B76" s="1556"/>
      <c r="C76" s="376" t="s">
        <v>286</v>
      </c>
      <c r="D76" s="376"/>
      <c r="M76" s="1565" t="str">
        <f>IF('375-A'!L1="NA","OK",IF('375-A'!C21="",IF('375-A'!C22="","ERROR","OK"),IF('375-A'!C22="","OK","ERROR")))</f>
        <v>ERROR</v>
      </c>
    </row>
    <row r="77" spans="2:13" ht="15" x14ac:dyDescent="0.25">
      <c r="B77" s="1556"/>
      <c r="C77" s="376" t="s">
        <v>287</v>
      </c>
      <c r="D77" s="1559"/>
      <c r="M77" s="1565" t="str">
        <f>IF('375-A'!L1="NA","OK",IF('375-A'!C21="",IF('375-A'!C22="","ERROR",IF('375-A'!A31="","OK","ERROR")),IF('375-A'!A31="","ERROR","OK")))</f>
        <v>ERROR</v>
      </c>
    </row>
    <row r="78" spans="2:13" x14ac:dyDescent="0.2">
      <c r="B78" s="1556"/>
      <c r="C78" s="376" t="s">
        <v>288</v>
      </c>
      <c r="D78" s="376"/>
      <c r="M78" s="1565" t="str">
        <f>IF('375-B'!L1="NA","OK",IF('375-B'!C20="",IF('375-B'!C21="","ERROR","OK"),IF('375-B'!C21="","OK","ERROR")))</f>
        <v>ERROR</v>
      </c>
    </row>
    <row r="79" spans="2:13" ht="15" x14ac:dyDescent="0.25">
      <c r="B79" s="1556"/>
      <c r="C79" s="376" t="s">
        <v>289</v>
      </c>
      <c r="D79" s="1559"/>
      <c r="M79" s="1565" t="str">
        <f>IF('375-B'!L1="NA","OK",IF('375-B'!C20="",IF('375-B'!C21="","ERROR",IF('375-B'!A30="","OK","ERROR")),IF('375-B'!A30="","ERROR","OK")))</f>
        <v>ERROR</v>
      </c>
    </row>
    <row r="80" spans="2:13" x14ac:dyDescent="0.2">
      <c r="B80" s="1556"/>
      <c r="C80" s="376" t="s">
        <v>290</v>
      </c>
      <c r="D80" s="376"/>
      <c r="M80" s="1565" t="str">
        <f>IF('425'!D17="",IF('425'!H17="","ERROR","OK"),IF('425'!H17="","OK","ERROR"))</f>
        <v>ERROR</v>
      </c>
    </row>
    <row r="81" spans="2:14" ht="15" x14ac:dyDescent="0.25">
      <c r="B81" s="1556"/>
      <c r="C81" s="376" t="s">
        <v>291</v>
      </c>
      <c r="D81" s="1559"/>
      <c r="M81" s="1565" t="str">
        <f>IF('425'!D17="",IF('425'!H17="","ERROR",IF('425'!B20="","ERROR","OK")),IF('425'!B20="","OK","ERROR"))</f>
        <v>ERROR</v>
      </c>
    </row>
    <row r="82" spans="2:14" x14ac:dyDescent="0.2">
      <c r="B82" s="1556"/>
      <c r="C82" s="376" t="s">
        <v>292</v>
      </c>
      <c r="D82" s="376"/>
      <c r="M82" s="1565" t="str">
        <f>IF('501'!U1="NA","OK",IF('501'!H32='501'!R32,"OK","ERROR"))</f>
        <v>OK</v>
      </c>
    </row>
    <row r="83" spans="2:14" x14ac:dyDescent="0.2">
      <c r="B83" s="1556"/>
      <c r="C83" s="376" t="s">
        <v>293</v>
      </c>
      <c r="D83" s="376"/>
      <c r="M83" s="1565" t="str">
        <f>IF('540'!AI1="NA","OK",IF('540'!H28='540'!P28,"OK","ERROR"))</f>
        <v>OK</v>
      </c>
    </row>
    <row r="84" spans="2:14" x14ac:dyDescent="0.2">
      <c r="B84" s="1556"/>
      <c r="C84" s="376" t="s">
        <v>294</v>
      </c>
      <c r="M84" s="1565" t="str">
        <f>IF('545'!AF1="NA","OK",IF('545'!H33='545'!P33,"OK","ERROR"))</f>
        <v>OK</v>
      </c>
    </row>
    <row r="85" spans="2:14" x14ac:dyDescent="0.2">
      <c r="B85" s="1556"/>
      <c r="C85" s="376" t="s">
        <v>295</v>
      </c>
      <c r="M85" s="1565" t="str">
        <f>IF('546'!AF1="NA","OK",IF('546'!H33='546'!P33,"OK","ERROR"))</f>
        <v>OK</v>
      </c>
    </row>
    <row r="86" spans="2:14" x14ac:dyDescent="0.2">
      <c r="B86" s="1556"/>
      <c r="C86" s="376" t="s">
        <v>296</v>
      </c>
      <c r="D86" s="376"/>
      <c r="M86" s="1565" t="str">
        <f>IF('602'!P1="NA","OK",IF('602'!K14&lt;0.01,"ERROR",IF('602'!K31&lt;0.01,"ERROR",IF('602'!K48&lt;0.01,"ERROR","OK"))))</f>
        <v>ERROR</v>
      </c>
    </row>
    <row r="87" spans="2:14" x14ac:dyDescent="0.2">
      <c r="B87" s="1556"/>
      <c r="C87" s="376" t="s">
        <v>297</v>
      </c>
      <c r="D87" s="376"/>
      <c r="M87" s="1567" t="str">
        <f>IF('605'!P1="NA","OK",IF(ISBLANK('605'!M35),"ERROR","OK"))</f>
        <v>ERROR</v>
      </c>
    </row>
    <row r="88" spans="2:14" x14ac:dyDescent="0.2">
      <c r="B88" s="1556"/>
      <c r="C88" s="376" t="s">
        <v>298</v>
      </c>
      <c r="D88" s="376"/>
      <c r="M88" s="1567" t="str">
        <f>IF('610'!I1="NA","OK",IF(ISBLANK('610'!G29),"ERROR","OK"))</f>
        <v>ERROR</v>
      </c>
    </row>
    <row r="89" spans="2:14" x14ac:dyDescent="0.2">
      <c r="B89" s="1556"/>
      <c r="C89" s="376" t="s">
        <v>299</v>
      </c>
      <c r="D89" s="376"/>
      <c r="M89" s="1567" t="str">
        <f>IF('616'!K1="NA","OK",IF('616'!D30='905'!F25,"OK","ERROR"))</f>
        <v>OK</v>
      </c>
    </row>
    <row r="90" spans="2:14" x14ac:dyDescent="0.2">
      <c r="B90" s="1556"/>
      <c r="C90" s="376" t="s">
        <v>300</v>
      </c>
      <c r="D90" s="376"/>
      <c r="M90" s="1567" t="str">
        <f>IF('616'!K1="NA","OK",IF('616'!D47='905'!F115,"OK","ERROR"))</f>
        <v>OK</v>
      </c>
    </row>
    <row r="91" spans="2:14" x14ac:dyDescent="0.2">
      <c r="B91" s="1556"/>
      <c r="C91" s="376" t="s">
        <v>301</v>
      </c>
      <c r="M91" s="1567" t="str">
        <f>IF('710'!S1="NA","OK",IF('710'!K38=('710'!M38+'710'!O38+'710'!Q38),"OK","ERROR"))</f>
        <v>OK</v>
      </c>
    </row>
    <row r="92" spans="2:14" x14ac:dyDescent="0.2">
      <c r="B92" s="1556"/>
      <c r="C92" s="376" t="s">
        <v>302</v>
      </c>
      <c r="M92" s="1567" t="str">
        <f ca="1">IF('720'!R1="NA","OK",IF('720'!I35=('720'!K35+'720'!M35+'720'!O35+'720'!Q35),"OK","ERROR"))</f>
        <v>OK</v>
      </c>
    </row>
    <row r="93" spans="2:14" x14ac:dyDescent="0.2">
      <c r="B93" s="1556"/>
      <c r="C93" s="376" t="s">
        <v>303</v>
      </c>
      <c r="M93" s="1567" t="str">
        <f>IF('725'!R4="NA","OK",IF(AND(ISBLANK('725'!J37),ISBLANK('725'!N37),ISBLANK('725'!R37))=TRUE,"ERROR",IF(COUNTA('725'!J37:R37,"")&gt;4,"ERROR","OK")))</f>
        <v>ERROR</v>
      </c>
      <c r="N93" t="s">
        <v>50</v>
      </c>
    </row>
    <row r="94" spans="2:14" x14ac:dyDescent="0.2">
      <c r="B94" s="1556"/>
      <c r="C94" s="376" t="s">
        <v>304</v>
      </c>
      <c r="M94" s="1567" t="str">
        <f>IF('725'!R4="NA","OK",IF('725'!J37="","OK",IF('725'!D42="","ERROR","OK")))</f>
        <v>OK</v>
      </c>
    </row>
    <row r="95" spans="2:14" x14ac:dyDescent="0.2">
      <c r="B95" s="1556"/>
      <c r="C95" s="376" t="s">
        <v>305</v>
      </c>
      <c r="M95" s="1567" t="str">
        <f>IF('755'!U1="NA","OK",IF('755'!O80="",IF('755'!O81="","ERROR","OK"),IF('755'!O81="","OK","ERROR")))</f>
        <v>ERROR</v>
      </c>
    </row>
    <row r="96" spans="2:14" x14ac:dyDescent="0.2">
      <c r="B96" s="1556"/>
      <c r="C96" s="376" t="s">
        <v>306</v>
      </c>
      <c r="M96" s="1567" t="str">
        <f>IF('755'!U1="NA","OK",IF('755'!O83="",IF('755'!O84="","ERROR","OK"),IF('755'!O84="","OK","ERROR")))</f>
        <v>ERROR</v>
      </c>
    </row>
    <row r="97" spans="2:14" x14ac:dyDescent="0.2">
      <c r="B97" s="1556"/>
      <c r="C97" s="376" t="s">
        <v>307</v>
      </c>
      <c r="M97" s="1567" t="str">
        <f>IF('765'!J1="NA","OK",IF('765'!D33="",IF('765'!D34="","ERROR","OK"),IF('765'!D34="","OK","ERROR")))</f>
        <v>ERROR</v>
      </c>
    </row>
    <row r="98" spans="2:14" x14ac:dyDescent="0.2">
      <c r="B98" s="1556"/>
      <c r="C98" s="376" t="s">
        <v>308</v>
      </c>
      <c r="M98" s="1567" t="str">
        <f>IF('765'!J1="NA","OK",IF('765'!D48="",IF('765'!D49="","ERROR","OK"),IF('765'!D49="","OK","ERROR")))</f>
        <v>ERROR</v>
      </c>
    </row>
    <row r="99" spans="2:14" x14ac:dyDescent="0.2">
      <c r="B99" s="1556"/>
      <c r="C99" s="376" t="s">
        <v>309</v>
      </c>
      <c r="M99" s="1568" t="str">
        <f>IF('905'!H1="NA","OK",IF('905'!F196="0","OK","ERROR"))</f>
        <v>OK</v>
      </c>
    </row>
    <row r="100" spans="2:14" x14ac:dyDescent="0.2">
      <c r="B100" s="1556"/>
      <c r="C100" s="376" t="s">
        <v>310</v>
      </c>
      <c r="M100" s="1568" t="str">
        <f>IF('905'!H1="NA","OK",IF('905'!F263="OK","OK","ERROR"))</f>
        <v>ERROR</v>
      </c>
    </row>
    <row r="101" spans="2:14" x14ac:dyDescent="0.2">
      <c r="B101" s="1556"/>
      <c r="C101" s="376" t="s">
        <v>311</v>
      </c>
      <c r="M101" s="1567" t="str">
        <f>IF('905'!H1="NA","OK",IF(ISBLANK('905'!A272),"ERROR","OK"))</f>
        <v>ERROR</v>
      </c>
    </row>
    <row r="102" spans="2:14" x14ac:dyDescent="0.2">
      <c r="B102" s="1556"/>
      <c r="C102" s="376" t="s">
        <v>312</v>
      </c>
      <c r="M102" s="1567" t="str">
        <f>IF('906-6B'!K1="NA","OK",IF('906-6B'!J87='906-6B'!J56,"OK","ERROR"))</f>
        <v>ERROR</v>
      </c>
    </row>
    <row r="103" spans="2:14" x14ac:dyDescent="0.2">
      <c r="B103" s="1556"/>
      <c r="C103" s="376" t="s">
        <v>313</v>
      </c>
      <c r="M103" s="1567" t="str">
        <f>IF('906-6C'!K1="NA","OK",IF('906-6C'!J87='906-6C'!J56,"OK","ERROR"))</f>
        <v>ERROR</v>
      </c>
    </row>
    <row r="104" spans="2:14" x14ac:dyDescent="0.2">
      <c r="B104" s="1556"/>
      <c r="C104" s="376" t="s">
        <v>314</v>
      </c>
      <c r="M104" s="1567" t="str">
        <f>IF('906-6BC'!K1="NA","OK",IF('906-6BC'!J88='906-6BC'!J57,"OK","ERROR"))</f>
        <v>ERROR</v>
      </c>
      <c r="N104" t="s">
        <v>50</v>
      </c>
    </row>
    <row r="105" spans="2:14" ht="13.5" thickBot="1" x14ac:dyDescent="0.25">
      <c r="B105" s="1557"/>
      <c r="C105" s="472"/>
      <c r="D105" s="472"/>
      <c r="E105" s="472"/>
      <c r="F105" s="472"/>
      <c r="G105" s="472"/>
      <c r="H105" s="472"/>
      <c r="I105" s="472"/>
      <c r="J105" s="472"/>
      <c r="K105" s="472"/>
      <c r="L105" s="472"/>
      <c r="M105" s="1564"/>
    </row>
  </sheetData>
  <sheetProtection algorithmName="SHA-512" hashValue="Qeo4gxlg9W5cD/mWSqVfIVeO9uLBkQz2wyOraH+m1KeP4diHG9lglTVN1KHN1m+NbvgVDcj+6dLhLYXxfjApAg==" saltValue="IzUgEzoZXzl7vaLsIpoX1g==" spinCount="100000" sheet="1" autoFilter="0"/>
  <mergeCells count="3">
    <mergeCell ref="A1:N1"/>
    <mergeCell ref="A2:M2"/>
    <mergeCell ref="A3:M3"/>
  </mergeCells>
  <conditionalFormatting sqref="M12:M104">
    <cfRule type="cellIs" dxfId="176" priority="1" operator="equal">
      <formula>"ERROR"</formula>
    </cfRule>
    <cfRule type="cellIs" dxfId="175" priority="2" operator="equal">
      <formula>"OK"</formula>
    </cfRule>
  </conditionalFormatting>
  <pageMargins left="0.6" right="0.6" top="0.5" bottom="0.5" header="0.3" footer="0.3"/>
  <pageSetup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82"/>
  <sheetViews>
    <sheetView showGridLines="0" topLeftCell="B1" zoomScaleNormal="100" workbookViewId="0">
      <selection activeCell="F17" sqref="F17:L17"/>
    </sheetView>
  </sheetViews>
  <sheetFormatPr defaultColWidth="9.42578125" defaultRowHeight="12.75" x14ac:dyDescent="0.2"/>
  <cols>
    <col min="1" max="1" width="9" style="48" hidden="1" customWidth="1"/>
    <col min="2" max="3" width="3.42578125" style="48" customWidth="1"/>
    <col min="4" max="4" width="14.5703125" style="48" customWidth="1"/>
    <col min="5" max="5" width="9.42578125" style="48"/>
    <col min="6" max="6" width="12.5703125" style="48" customWidth="1"/>
    <col min="7" max="7" width="7.5703125" style="48" customWidth="1"/>
    <col min="8" max="8" width="8.5703125" style="48" customWidth="1"/>
    <col min="9" max="9" width="7.42578125" style="48" customWidth="1"/>
    <col min="10" max="10" width="8.42578125" style="48" customWidth="1"/>
    <col min="11" max="11" width="7" style="48" customWidth="1"/>
    <col min="12" max="12" width="8.42578125" style="48" customWidth="1"/>
    <col min="13" max="13" width="7.42578125" style="48" customWidth="1"/>
    <col min="14" max="14" width="10.42578125" style="48" customWidth="1"/>
    <col min="15" max="15" width="14.42578125" style="48" customWidth="1"/>
    <col min="16" max="16384" width="9.42578125" style="48"/>
  </cols>
  <sheetData>
    <row r="1" spans="1:13" ht="15.75" x14ac:dyDescent="0.25">
      <c r="A1" s="48" t="str">
        <f t="shared" ref="A1:A38" si="0">AgyIdx</f>
        <v>01</v>
      </c>
      <c r="B1" s="2384" t="str">
        <f>+Index!$A$1</f>
        <v xml:space="preserve">                                                               Office of the State Controller                                                                </v>
      </c>
      <c r="C1" s="2384"/>
      <c r="D1" s="2384"/>
      <c r="E1" s="2384"/>
      <c r="F1" s="2384"/>
      <c r="G1" s="2384"/>
      <c r="H1" s="2384"/>
      <c r="I1" s="2384"/>
      <c r="J1" s="2384"/>
      <c r="K1" s="2384"/>
      <c r="L1" s="2384"/>
      <c r="M1" s="2450" t="str">
        <f>IF(Index!$B$17="na","NA","")</f>
        <v/>
      </c>
    </row>
    <row r="2" spans="1:13" ht="15.75" x14ac:dyDescent="0.25">
      <c r="A2" s="48" t="str">
        <f t="shared" si="0"/>
        <v>01</v>
      </c>
      <c r="B2" s="2452" t="str">
        <f>+Index!$A$2</f>
        <v>2023 ACFR Worksheets</v>
      </c>
      <c r="C2" s="2452"/>
      <c r="D2" s="2452"/>
      <c r="E2" s="2452"/>
      <c r="F2" s="2452"/>
      <c r="G2" s="2452"/>
      <c r="H2" s="2452"/>
      <c r="I2" s="2452"/>
      <c r="J2" s="2452"/>
      <c r="K2" s="2452"/>
      <c r="L2" s="2452"/>
      <c r="M2" s="2450"/>
    </row>
    <row r="3" spans="1:13" ht="15.75" x14ac:dyDescent="0.25">
      <c r="A3" s="48" t="str">
        <f t="shared" si="0"/>
        <v>01</v>
      </c>
      <c r="B3" s="2453" t="s">
        <v>315</v>
      </c>
      <c r="C3" s="2453"/>
      <c r="D3" s="2453"/>
      <c r="E3" s="2453"/>
      <c r="F3" s="2453"/>
      <c r="G3" s="2453"/>
      <c r="H3" s="2453"/>
      <c r="I3" s="2453"/>
      <c r="J3" s="2453"/>
      <c r="K3" s="2453"/>
      <c r="L3" s="2453"/>
      <c r="M3" s="2450"/>
    </row>
    <row r="4" spans="1:13" ht="12.75" customHeight="1" x14ac:dyDescent="0.25">
      <c r="A4" s="48" t="str">
        <f t="shared" si="0"/>
        <v>01</v>
      </c>
      <c r="B4" s="262"/>
      <c r="C4" s="262"/>
      <c r="D4" s="262"/>
      <c r="E4" s="262"/>
      <c r="F4" s="262"/>
      <c r="G4" s="262"/>
      <c r="H4" s="262"/>
      <c r="I4" s="262"/>
      <c r="J4" s="262"/>
      <c r="K4" s="262"/>
      <c r="L4" s="263"/>
      <c r="M4" s="264"/>
    </row>
    <row r="5" spans="1:13" ht="15.75" x14ac:dyDescent="0.25">
      <c r="A5" s="48" t="str">
        <f t="shared" si="0"/>
        <v>01</v>
      </c>
      <c r="B5" s="2217" t="s">
        <v>316</v>
      </c>
      <c r="C5" s="2217"/>
      <c r="D5" s="265"/>
      <c r="E5" s="266"/>
      <c r="F5" s="2213"/>
      <c r="G5" s="2213"/>
      <c r="H5" s="820" t="s">
        <v>317</v>
      </c>
      <c r="I5" s="2454" t="str">
        <f>+Index!$E$10</f>
        <v>01</v>
      </c>
      <c r="J5" s="2454"/>
      <c r="K5" s="2454"/>
      <c r="L5" s="2454"/>
    </row>
    <row r="6" spans="1:13" ht="15.75" x14ac:dyDescent="0.25">
      <c r="A6" s="48" t="str">
        <f t="shared" si="0"/>
        <v>01</v>
      </c>
      <c r="F6" s="267"/>
      <c r="G6" s="2213"/>
      <c r="H6" s="820" t="s">
        <v>318</v>
      </c>
      <c r="I6" s="2451" t="str">
        <f>AgyName</f>
        <v>North Carolina General Assembly</v>
      </c>
      <c r="J6" s="2451"/>
      <c r="K6" s="2451"/>
      <c r="L6" s="2451"/>
    </row>
    <row r="7" spans="1:13" ht="15.75" x14ac:dyDescent="0.25">
      <c r="A7" s="48" t="str">
        <f t="shared" si="0"/>
        <v>01</v>
      </c>
      <c r="B7" s="2217"/>
      <c r="C7" s="2217"/>
      <c r="D7" s="2213"/>
      <c r="E7" s="268"/>
      <c r="F7" s="268"/>
      <c r="G7" s="2213"/>
      <c r="H7" s="820" t="s">
        <v>319</v>
      </c>
      <c r="I7" s="2448" t="str">
        <f>CONCATENATE(Index!$E$12," ",Index!$E$14)</f>
        <v xml:space="preserve"> </v>
      </c>
      <c r="J7" s="2448"/>
      <c r="K7" s="2448"/>
      <c r="L7" s="2448"/>
    </row>
    <row r="8" spans="1:13" ht="15.75" x14ac:dyDescent="0.25">
      <c r="A8" s="48" t="str">
        <f t="shared" si="0"/>
        <v>01</v>
      </c>
      <c r="B8" s="2217"/>
      <c r="C8" s="2217"/>
      <c r="D8" s="2213"/>
      <c r="E8" s="268"/>
      <c r="F8" s="268"/>
      <c r="G8" s="2213"/>
      <c r="H8" s="820" t="s">
        <v>71</v>
      </c>
      <c r="I8" s="2448">
        <f>+Index!$E$13</f>
        <v>0</v>
      </c>
      <c r="J8" s="2448"/>
      <c r="K8" s="2448"/>
      <c r="L8" s="2448"/>
    </row>
    <row r="9" spans="1:13" ht="6" customHeight="1" thickBot="1" x14ac:dyDescent="0.3">
      <c r="A9" s="48" t="str">
        <f t="shared" si="0"/>
        <v>01</v>
      </c>
      <c r="B9" s="269"/>
      <c r="C9" s="269"/>
      <c r="D9" s="269"/>
      <c r="E9" s="269"/>
      <c r="F9" s="269"/>
      <c r="G9" s="269"/>
      <c r="H9" s="269"/>
      <c r="I9" s="269"/>
      <c r="J9" s="269"/>
      <c r="K9" s="269"/>
      <c r="L9" s="269"/>
    </row>
    <row r="10" spans="1:13" ht="9" customHeight="1" x14ac:dyDescent="0.25">
      <c r="A10" s="48" t="str">
        <f t="shared" si="0"/>
        <v>01</v>
      </c>
      <c r="B10" s="2213"/>
      <c r="C10" s="2213"/>
      <c r="D10" s="2213"/>
      <c r="E10" s="2213"/>
      <c r="F10" s="2213"/>
      <c r="G10" s="2213"/>
      <c r="H10" s="2213"/>
      <c r="I10" s="2213"/>
      <c r="J10" s="2213"/>
      <c r="K10" s="2213"/>
      <c r="L10" s="2213"/>
    </row>
    <row r="11" spans="1:13" ht="12" customHeight="1" x14ac:dyDescent="0.2">
      <c r="A11" s="48" t="str">
        <f t="shared" si="0"/>
        <v>01</v>
      </c>
      <c r="B11" s="716" t="s">
        <v>320</v>
      </c>
      <c r="C11" s="716" t="s">
        <v>321</v>
      </c>
      <c r="D11" s="537"/>
      <c r="E11" s="537"/>
      <c r="F11" s="537"/>
      <c r="G11" s="537"/>
      <c r="H11" s="537"/>
      <c r="I11" s="537"/>
      <c r="J11" s="537"/>
      <c r="K11" s="537"/>
      <c r="L11" s="537"/>
    </row>
    <row r="12" spans="1:13" ht="12" customHeight="1" x14ac:dyDescent="0.2">
      <c r="A12" s="48" t="str">
        <f t="shared" si="0"/>
        <v>01</v>
      </c>
      <c r="B12" s="716"/>
      <c r="C12" s="537" t="s">
        <v>322</v>
      </c>
      <c r="D12" s="537"/>
      <c r="E12" s="537"/>
      <c r="F12" s="537"/>
      <c r="G12" s="537"/>
      <c r="H12" s="537"/>
      <c r="I12" s="537"/>
      <c r="J12" s="537"/>
      <c r="K12" s="537"/>
      <c r="L12" s="537"/>
    </row>
    <row r="13" spans="1:13" ht="12" customHeight="1" x14ac:dyDescent="0.2">
      <c r="A13" s="48" t="str">
        <f t="shared" si="0"/>
        <v>01</v>
      </c>
      <c r="B13" s="537"/>
      <c r="C13" s="270" t="s">
        <v>323</v>
      </c>
      <c r="D13" s="537" t="s">
        <v>324</v>
      </c>
      <c r="E13" s="537"/>
      <c r="F13" s="1691" t="s">
        <v>323</v>
      </c>
      <c r="G13" s="537" t="s">
        <v>325</v>
      </c>
      <c r="H13" s="537"/>
      <c r="I13" s="1350"/>
      <c r="J13" s="1630"/>
      <c r="K13" s="1350"/>
      <c r="L13" s="1630"/>
    </row>
    <row r="14" spans="1:13" ht="12" customHeight="1" x14ac:dyDescent="0.2">
      <c r="A14" s="48" t="str">
        <f t="shared" si="0"/>
        <v>01</v>
      </c>
      <c r="B14" s="537"/>
      <c r="C14" s="270" t="s">
        <v>323</v>
      </c>
      <c r="D14" s="537" t="s">
        <v>326</v>
      </c>
      <c r="E14" s="537"/>
      <c r="F14" s="1691" t="s">
        <v>323</v>
      </c>
      <c r="G14" s="537" t="s">
        <v>327</v>
      </c>
      <c r="H14" s="537"/>
      <c r="I14" s="1350"/>
      <c r="J14" s="1630"/>
      <c r="K14" s="1350"/>
      <c r="L14" s="1630"/>
    </row>
    <row r="15" spans="1:13" ht="12" customHeight="1" x14ac:dyDescent="0.2">
      <c r="A15" s="48" t="str">
        <f t="shared" si="0"/>
        <v>01</v>
      </c>
      <c r="B15" s="537"/>
      <c r="C15" s="537" t="s">
        <v>328</v>
      </c>
      <c r="E15" s="537"/>
      <c r="F15" s="537"/>
      <c r="G15" s="537"/>
      <c r="H15" s="537"/>
      <c r="I15" s="1350"/>
      <c r="J15" s="1630"/>
      <c r="K15" s="1350"/>
      <c r="L15" s="1630"/>
    </row>
    <row r="16" spans="1:13" ht="12" customHeight="1" x14ac:dyDescent="0.2">
      <c r="A16" s="48" t="str">
        <f t="shared" si="0"/>
        <v>01</v>
      </c>
      <c r="B16" s="537"/>
      <c r="C16" s="537"/>
      <c r="D16" s="2212" t="s">
        <v>329</v>
      </c>
      <c r="E16" s="537"/>
      <c r="F16" s="2449" t="s">
        <v>330</v>
      </c>
      <c r="G16" s="2449"/>
      <c r="H16" s="2449"/>
      <c r="I16" s="2449"/>
      <c r="J16" s="2449"/>
      <c r="K16" s="2449"/>
      <c r="L16" s="2449"/>
    </row>
    <row r="17" spans="1:15" ht="12" customHeight="1" x14ac:dyDescent="0.2">
      <c r="A17" s="48" t="str">
        <f t="shared" si="0"/>
        <v>01</v>
      </c>
      <c r="B17" s="537"/>
      <c r="C17" s="537"/>
      <c r="D17" s="978"/>
      <c r="E17" s="537"/>
      <c r="F17" s="2443"/>
      <c r="G17" s="2443"/>
      <c r="H17" s="2443"/>
      <c r="I17" s="2443"/>
      <c r="J17" s="2443"/>
      <c r="K17" s="2443"/>
      <c r="L17" s="2443"/>
      <c r="N17" s="2440" t="str">
        <f>IF(ISBLANK($F$17)=TRUE,"Valuation Missing"," ")</f>
        <v>Valuation Missing</v>
      </c>
      <c r="O17" s="2383"/>
    </row>
    <row r="18" spans="1:15" ht="12" customHeight="1" x14ac:dyDescent="0.2">
      <c r="A18" s="48" t="str">
        <f t="shared" si="0"/>
        <v>01</v>
      </c>
      <c r="B18" s="537"/>
      <c r="C18" s="537"/>
      <c r="D18" s="1692"/>
      <c r="E18" s="537"/>
      <c r="F18" s="2447"/>
      <c r="G18" s="2447"/>
      <c r="H18" s="2447"/>
      <c r="I18" s="2447"/>
      <c r="J18" s="2447"/>
      <c r="K18" s="2447"/>
      <c r="L18" s="2447"/>
    </row>
    <row r="19" spans="1:15" ht="5.0999999999999996" customHeight="1" x14ac:dyDescent="0.2">
      <c r="A19" s="48" t="str">
        <f t="shared" si="0"/>
        <v>01</v>
      </c>
      <c r="B19" s="537"/>
      <c r="C19" s="537"/>
      <c r="D19" s="537"/>
      <c r="E19" s="537"/>
      <c r="F19" s="537"/>
      <c r="G19" s="537"/>
      <c r="H19" s="537"/>
      <c r="I19" s="1350"/>
      <c r="J19" s="1630"/>
      <c r="K19" s="1350"/>
      <c r="L19" s="1630"/>
    </row>
    <row r="20" spans="1:15" ht="12" customHeight="1" x14ac:dyDescent="0.2">
      <c r="A20" s="48" t="str">
        <f t="shared" si="0"/>
        <v>01</v>
      </c>
      <c r="B20" s="716" t="s">
        <v>331</v>
      </c>
      <c r="C20" s="716" t="s">
        <v>332</v>
      </c>
      <c r="D20" s="537"/>
      <c r="E20" s="537"/>
      <c r="F20" s="537"/>
      <c r="G20" s="537"/>
      <c r="H20" s="537"/>
      <c r="I20" s="537"/>
      <c r="J20" s="537"/>
      <c r="K20" s="537"/>
      <c r="L20" s="537"/>
    </row>
    <row r="21" spans="1:15" ht="12" customHeight="1" x14ac:dyDescent="0.2">
      <c r="A21" s="48" t="str">
        <f t="shared" si="0"/>
        <v>01</v>
      </c>
      <c r="B21" s="537"/>
      <c r="C21" s="271" t="s">
        <v>333</v>
      </c>
      <c r="E21" s="537"/>
      <c r="F21" s="537"/>
      <c r="G21" s="537"/>
      <c r="H21" s="1350"/>
      <c r="I21" s="1630"/>
      <c r="J21" s="1350"/>
      <c r="K21" s="1630"/>
      <c r="L21" s="537"/>
    </row>
    <row r="22" spans="1:15" ht="12" customHeight="1" x14ac:dyDescent="0.2">
      <c r="A22" s="48" t="str">
        <f t="shared" si="0"/>
        <v>01</v>
      </c>
      <c r="B22" s="537"/>
      <c r="C22" s="537" t="s">
        <v>334</v>
      </c>
      <c r="E22" s="537"/>
      <c r="F22" s="537"/>
      <c r="G22" s="537"/>
      <c r="H22" s="1350"/>
      <c r="I22" s="1630"/>
      <c r="J22" s="1350"/>
      <c r="K22" s="1630"/>
      <c r="L22" s="537"/>
    </row>
    <row r="23" spans="1:15" ht="12" customHeight="1" x14ac:dyDescent="0.2">
      <c r="A23" s="48" t="str">
        <f t="shared" si="0"/>
        <v>01</v>
      </c>
      <c r="B23" s="537"/>
      <c r="C23" s="537" t="s">
        <v>335</v>
      </c>
      <c r="E23" s="537"/>
      <c r="F23" s="537"/>
      <c r="G23" s="537"/>
      <c r="H23" s="1350"/>
      <c r="I23" s="1630"/>
      <c r="J23" s="1350"/>
      <c r="K23" s="1630"/>
      <c r="L23" s="537"/>
    </row>
    <row r="24" spans="1:15" ht="12" customHeight="1" x14ac:dyDescent="0.2">
      <c r="B24" s="537"/>
      <c r="C24" s="537" t="s">
        <v>336</v>
      </c>
      <c r="E24" s="537"/>
      <c r="F24" s="537"/>
      <c r="G24" s="537"/>
      <c r="H24" s="1350"/>
      <c r="I24" s="1630"/>
      <c r="J24" s="1350"/>
      <c r="K24" s="1630"/>
      <c r="L24" s="537"/>
    </row>
    <row r="25" spans="1:15" ht="16.350000000000001" customHeight="1" x14ac:dyDescent="0.2">
      <c r="A25" s="48" t="str">
        <f t="shared" si="0"/>
        <v>01</v>
      </c>
      <c r="B25" s="537"/>
      <c r="C25" s="48" t="s">
        <v>337</v>
      </c>
      <c r="D25" s="537" t="s">
        <v>338</v>
      </c>
      <c r="E25" s="537"/>
      <c r="F25" s="537"/>
      <c r="G25" s="537"/>
      <c r="H25" s="1350"/>
      <c r="I25" s="1350" t="s">
        <v>339</v>
      </c>
      <c r="J25" s="536"/>
      <c r="K25" s="1350" t="s">
        <v>340</v>
      </c>
      <c r="L25" s="536"/>
      <c r="N25" s="2440" t="str">
        <f>IF(AND(ISBLANK($J$25),ISBLANK($L$25))=TRUE,"Answer Missing"," ")</f>
        <v>Answer Missing</v>
      </c>
      <c r="O25" s="2383"/>
    </row>
    <row r="26" spans="1:15" ht="16.350000000000001" customHeight="1" x14ac:dyDescent="0.2">
      <c r="A26" s="48" t="str">
        <f t="shared" si="0"/>
        <v>01</v>
      </c>
      <c r="B26" s="537"/>
      <c r="D26" s="716" t="s">
        <v>341</v>
      </c>
      <c r="E26" s="537"/>
      <c r="F26" s="537"/>
      <c r="G26" s="2446"/>
      <c r="H26" s="2443"/>
      <c r="I26" s="2443"/>
      <c r="J26" s="2443"/>
      <c r="K26" s="2443"/>
      <c r="L26" s="2443"/>
    </row>
    <row r="27" spans="1:15" ht="6.6" customHeight="1" x14ac:dyDescent="0.2">
      <c r="B27" s="537"/>
      <c r="D27" s="716"/>
      <c r="E27" s="537"/>
      <c r="F27" s="537"/>
      <c r="G27" s="1629"/>
      <c r="H27" s="1631"/>
      <c r="I27" s="1631"/>
      <c r="J27" s="1631"/>
      <c r="K27" s="1631"/>
      <c r="L27" s="1631"/>
    </row>
    <row r="28" spans="1:15" ht="16.350000000000001" customHeight="1" x14ac:dyDescent="0.2">
      <c r="B28" s="537"/>
      <c r="C28" s="271" t="s">
        <v>342</v>
      </c>
      <c r="D28" s="716"/>
      <c r="E28" s="537"/>
      <c r="F28" s="537"/>
      <c r="G28" s="1629"/>
      <c r="H28" s="1631"/>
      <c r="I28" s="1631"/>
      <c r="J28" s="1631"/>
      <c r="K28" s="1631"/>
      <c r="L28" s="1631"/>
    </row>
    <row r="29" spans="1:15" x14ac:dyDescent="0.2">
      <c r="B29" s="537"/>
      <c r="C29" s="537" t="s">
        <v>343</v>
      </c>
      <c r="D29" s="716"/>
      <c r="E29" s="537"/>
      <c r="F29" s="537"/>
      <c r="G29" s="1629"/>
      <c r="H29" s="1631"/>
      <c r="I29" s="1631"/>
      <c r="J29" s="1631"/>
      <c r="K29" s="1631"/>
      <c r="L29" s="1631"/>
    </row>
    <row r="30" spans="1:15" x14ac:dyDescent="0.2">
      <c r="B30" s="537"/>
      <c r="C30" s="537" t="s">
        <v>344</v>
      </c>
      <c r="D30" s="716"/>
      <c r="E30" s="537"/>
      <c r="F30" s="537"/>
      <c r="G30" s="1629"/>
      <c r="H30" s="1631"/>
      <c r="I30" s="1631"/>
      <c r="J30" s="1631"/>
      <c r="K30" s="1631"/>
      <c r="L30" s="1631"/>
    </row>
    <row r="31" spans="1:15" x14ac:dyDescent="0.2">
      <c r="B31" s="537"/>
      <c r="C31" s="48" t="s">
        <v>345</v>
      </c>
      <c r="D31" s="537" t="s">
        <v>346</v>
      </c>
      <c r="E31" s="537"/>
      <c r="F31" s="537"/>
      <c r="G31" s="537"/>
      <c r="H31" s="1350"/>
      <c r="I31" s="1350" t="s">
        <v>339</v>
      </c>
      <c r="J31" s="536"/>
      <c r="K31" s="1350" t="s">
        <v>340</v>
      </c>
      <c r="L31" s="536"/>
      <c r="N31" s="2440" t="str">
        <f>IF(AND(ISBLANK($J$31),ISBLANK($L$31))=TRUE,"Answer Missing"," ")</f>
        <v>Answer Missing</v>
      </c>
      <c r="O31" s="2383"/>
    </row>
    <row r="32" spans="1:15" x14ac:dyDescent="0.2">
      <c r="B32" s="537"/>
      <c r="C32" s="48" t="s">
        <v>347</v>
      </c>
      <c r="D32" s="537" t="s">
        <v>348</v>
      </c>
      <c r="E32" s="537"/>
      <c r="F32" s="537"/>
      <c r="G32" s="537"/>
      <c r="H32" s="1350"/>
      <c r="I32" s="1350" t="s">
        <v>339</v>
      </c>
      <c r="J32" s="536"/>
      <c r="K32" s="1350" t="s">
        <v>340</v>
      </c>
      <c r="L32" s="536"/>
      <c r="N32" s="2440" t="str">
        <f>IF(AND(ISBLANK($J$32),ISBLANK($L$32))=TRUE,"Answer Missing"," ")</f>
        <v>Answer Missing</v>
      </c>
      <c r="O32" s="2383"/>
    </row>
    <row r="33" spans="1:12" x14ac:dyDescent="0.2">
      <c r="B33" s="537"/>
      <c r="D33" s="716" t="s">
        <v>341</v>
      </c>
      <c r="E33" s="537"/>
      <c r="F33" s="537"/>
      <c r="G33" s="2446"/>
      <c r="H33" s="2443"/>
      <c r="I33" s="2443"/>
      <c r="J33" s="2443"/>
      <c r="K33" s="2443"/>
      <c r="L33" s="2443"/>
    </row>
    <row r="34" spans="1:12" ht="6" customHeight="1" x14ac:dyDescent="0.2">
      <c r="B34" s="537"/>
      <c r="D34" s="716"/>
      <c r="E34" s="537"/>
      <c r="F34" s="537"/>
      <c r="G34" s="1629"/>
      <c r="H34" s="1631"/>
      <c r="I34" s="1631"/>
      <c r="J34" s="1631"/>
      <c r="K34" s="1631"/>
      <c r="L34" s="1631"/>
    </row>
    <row r="35" spans="1:12" ht="12" customHeight="1" x14ac:dyDescent="0.2">
      <c r="A35" s="48" t="str">
        <f t="shared" si="0"/>
        <v>01</v>
      </c>
      <c r="B35" s="537"/>
      <c r="C35" s="271" t="s">
        <v>349</v>
      </c>
      <c r="D35" s="537"/>
      <c r="E35" s="537"/>
      <c r="F35" s="537"/>
      <c r="G35" s="537"/>
      <c r="H35" s="1350"/>
      <c r="I35" s="1350"/>
      <c r="J35" s="1630"/>
      <c r="K35" s="1350"/>
      <c r="L35" s="1630"/>
    </row>
    <row r="36" spans="1:12" ht="12" customHeight="1" x14ac:dyDescent="0.2">
      <c r="A36" s="48" t="str">
        <f t="shared" si="0"/>
        <v>01</v>
      </c>
      <c r="B36" s="537"/>
      <c r="C36" s="537" t="s">
        <v>350</v>
      </c>
      <c r="E36" s="537"/>
      <c r="F36" s="537"/>
      <c r="G36" s="537"/>
      <c r="H36" s="1350"/>
      <c r="I36" s="1350"/>
      <c r="J36" s="1630"/>
      <c r="K36" s="1350"/>
      <c r="L36" s="1630"/>
    </row>
    <row r="37" spans="1:12" ht="12" customHeight="1" x14ac:dyDescent="0.2">
      <c r="A37" s="48" t="str">
        <f t="shared" si="0"/>
        <v>01</v>
      </c>
      <c r="B37" s="537"/>
      <c r="C37" s="48" t="s">
        <v>351</v>
      </c>
      <c r="D37" s="537" t="s">
        <v>352</v>
      </c>
      <c r="E37" s="537"/>
      <c r="F37" s="537"/>
      <c r="G37" s="537"/>
      <c r="H37" s="1350"/>
      <c r="I37" s="1350"/>
      <c r="J37" s="1630"/>
      <c r="K37" s="1350"/>
      <c r="L37" s="1630"/>
    </row>
    <row r="38" spans="1:12" ht="12" customHeight="1" x14ac:dyDescent="0.2">
      <c r="A38" s="48" t="str">
        <f t="shared" si="0"/>
        <v>01</v>
      </c>
      <c r="B38" s="537"/>
      <c r="C38" s="537"/>
      <c r="D38" s="2443"/>
      <c r="E38" s="2443"/>
      <c r="F38" s="2443"/>
      <c r="G38" s="2443"/>
      <c r="H38" s="2443"/>
      <c r="I38" s="2443"/>
      <c r="J38" s="2443"/>
      <c r="K38" s="2443"/>
      <c r="L38" s="2443"/>
    </row>
    <row r="39" spans="1:12" ht="12" customHeight="1" x14ac:dyDescent="0.2">
      <c r="A39" s="48" t="str">
        <f t="shared" ref="A39:A71" si="1">AgyIdx</f>
        <v>01</v>
      </c>
      <c r="B39" s="537"/>
      <c r="C39" s="537"/>
      <c r="D39" s="2447"/>
      <c r="E39" s="2447"/>
      <c r="F39" s="2447"/>
      <c r="G39" s="2447"/>
      <c r="H39" s="2447"/>
      <c r="I39" s="2447"/>
      <c r="J39" s="2447"/>
      <c r="K39" s="2447"/>
      <c r="L39" s="2447"/>
    </row>
    <row r="40" spans="1:12" ht="5.0999999999999996" customHeight="1" x14ac:dyDescent="0.2">
      <c r="A40" s="48" t="str">
        <f t="shared" si="1"/>
        <v>01</v>
      </c>
      <c r="B40" s="537"/>
      <c r="C40" s="537"/>
      <c r="D40" s="537"/>
      <c r="E40" s="537"/>
      <c r="F40" s="537"/>
      <c r="G40" s="537"/>
      <c r="H40" s="1350"/>
      <c r="I40" s="1630"/>
      <c r="J40" s="1350"/>
      <c r="K40" s="1630"/>
      <c r="L40" s="537"/>
    </row>
    <row r="41" spans="1:12" ht="12" customHeight="1" x14ac:dyDescent="0.2">
      <c r="A41" s="48" t="str">
        <f t="shared" si="1"/>
        <v>01</v>
      </c>
      <c r="B41" s="716" t="s">
        <v>353</v>
      </c>
      <c r="C41" s="716" t="s">
        <v>354</v>
      </c>
      <c r="D41" s="537"/>
      <c r="E41" s="537"/>
      <c r="F41" s="537"/>
      <c r="G41" s="537"/>
      <c r="H41" s="537"/>
      <c r="I41" s="537"/>
      <c r="J41" s="537"/>
      <c r="K41" s="537"/>
      <c r="L41" s="537"/>
    </row>
    <row r="42" spans="1:12" ht="12" customHeight="1" x14ac:dyDescent="0.2">
      <c r="A42" s="48" t="str">
        <f t="shared" si="1"/>
        <v>01</v>
      </c>
      <c r="B42" s="537"/>
      <c r="C42" s="537" t="s">
        <v>355</v>
      </c>
      <c r="D42" s="537"/>
      <c r="E42" s="537"/>
      <c r="F42" s="537"/>
      <c r="G42" s="537"/>
      <c r="H42" s="537"/>
      <c r="I42" s="537"/>
      <c r="J42" s="537"/>
      <c r="K42" s="537"/>
      <c r="L42" s="537"/>
    </row>
    <row r="43" spans="1:12" ht="12" customHeight="1" x14ac:dyDescent="0.2">
      <c r="A43" s="48" t="str">
        <f t="shared" si="1"/>
        <v>01</v>
      </c>
      <c r="B43" s="537"/>
      <c r="C43" s="537" t="s">
        <v>356</v>
      </c>
      <c r="D43" s="537"/>
      <c r="E43" s="537"/>
      <c r="F43" s="537"/>
      <c r="G43" s="537"/>
      <c r="H43" s="537"/>
      <c r="I43" s="537"/>
      <c r="J43" s="537"/>
      <c r="K43" s="537"/>
      <c r="L43" s="537"/>
    </row>
    <row r="44" spans="1:12" ht="12" customHeight="1" x14ac:dyDescent="0.2">
      <c r="A44" s="48" t="str">
        <f t="shared" si="1"/>
        <v>01</v>
      </c>
      <c r="B44" s="537"/>
      <c r="C44" s="537" t="s">
        <v>357</v>
      </c>
      <c r="D44" s="537"/>
      <c r="E44" s="537"/>
      <c r="F44" s="537"/>
      <c r="G44" s="537"/>
      <c r="H44" s="537"/>
      <c r="I44" s="537"/>
      <c r="J44" s="537"/>
      <c r="K44" s="537"/>
      <c r="L44" s="537"/>
    </row>
    <row r="45" spans="1:12" ht="12" customHeight="1" x14ac:dyDescent="0.2">
      <c r="A45" s="48" t="str">
        <f t="shared" si="1"/>
        <v>01</v>
      </c>
      <c r="B45" s="537"/>
      <c r="C45" s="537" t="s">
        <v>358</v>
      </c>
      <c r="D45" s="537"/>
      <c r="E45" s="537"/>
      <c r="F45" s="537"/>
      <c r="G45" s="537"/>
      <c r="H45" s="537"/>
      <c r="I45" s="537"/>
      <c r="J45" s="537"/>
      <c r="K45" s="537"/>
      <c r="L45" s="537"/>
    </row>
    <row r="46" spans="1:12" ht="12" customHeight="1" x14ac:dyDescent="0.2">
      <c r="A46" s="48" t="str">
        <f t="shared" si="1"/>
        <v>01</v>
      </c>
      <c r="B46" s="537"/>
      <c r="C46" s="537"/>
      <c r="D46" s="537" t="s">
        <v>359</v>
      </c>
      <c r="E46" s="537"/>
      <c r="F46" s="537"/>
      <c r="G46" s="2443"/>
      <c r="H46" s="2443"/>
      <c r="I46" s="2443"/>
      <c r="J46" s="2443"/>
      <c r="K46" s="2443"/>
      <c r="L46" s="2443"/>
    </row>
    <row r="47" spans="1:12" ht="12" customHeight="1" x14ac:dyDescent="0.2">
      <c r="A47" s="48" t="str">
        <f t="shared" si="1"/>
        <v>01</v>
      </c>
      <c r="B47" s="537"/>
      <c r="C47" s="537"/>
      <c r="D47" s="537" t="s">
        <v>360</v>
      </c>
      <c r="E47" s="537"/>
      <c r="F47" s="537"/>
      <c r="G47" s="2443"/>
      <c r="H47" s="2443"/>
      <c r="I47" s="2443"/>
      <c r="J47" s="2443"/>
      <c r="K47" s="2443"/>
      <c r="L47" s="2443"/>
    </row>
    <row r="48" spans="1:12" ht="12" customHeight="1" x14ac:dyDescent="0.2">
      <c r="B48" s="537"/>
      <c r="C48" s="537"/>
      <c r="D48" s="537"/>
      <c r="E48" s="537"/>
      <c r="F48" s="537"/>
      <c r="G48" s="537"/>
      <c r="H48" s="537"/>
      <c r="I48" s="537"/>
      <c r="J48" s="537"/>
      <c r="K48" s="537"/>
      <c r="L48" s="537"/>
    </row>
    <row r="49" spans="1:15" ht="12" customHeight="1" x14ac:dyDescent="0.2">
      <c r="A49" s="48" t="str">
        <f t="shared" si="1"/>
        <v>01</v>
      </c>
      <c r="B49" s="716" t="s">
        <v>361</v>
      </c>
      <c r="C49" s="716" t="s">
        <v>362</v>
      </c>
      <c r="D49" s="537"/>
      <c r="E49" s="537"/>
      <c r="F49" s="537"/>
      <c r="G49" s="537"/>
      <c r="H49" s="537"/>
      <c r="I49" s="537"/>
      <c r="J49" s="537"/>
      <c r="K49" s="537"/>
      <c r="L49" s="537"/>
    </row>
    <row r="50" spans="1:15" ht="12" customHeight="1" x14ac:dyDescent="0.2">
      <c r="A50" s="48" t="str">
        <f t="shared" si="1"/>
        <v>01</v>
      </c>
      <c r="B50" s="537"/>
      <c r="C50" s="537" t="s">
        <v>363</v>
      </c>
      <c r="D50" s="537"/>
      <c r="E50" s="537"/>
      <c r="F50" s="537"/>
      <c r="G50" s="537"/>
      <c r="H50" s="537"/>
      <c r="I50" s="537"/>
      <c r="J50" s="537"/>
      <c r="K50" s="537"/>
      <c r="L50" s="537"/>
    </row>
    <row r="51" spans="1:15" ht="12" customHeight="1" x14ac:dyDescent="0.2">
      <c r="A51" s="48" t="str">
        <f t="shared" si="1"/>
        <v>01</v>
      </c>
      <c r="B51" s="537"/>
      <c r="C51" s="537" t="s">
        <v>364</v>
      </c>
      <c r="D51" s="537"/>
      <c r="E51" s="537"/>
      <c r="F51" s="537"/>
      <c r="G51" s="537"/>
      <c r="H51" s="537"/>
      <c r="I51" s="1350" t="s">
        <v>339</v>
      </c>
      <c r="J51" s="536"/>
      <c r="K51" s="1350" t="s">
        <v>340</v>
      </c>
      <c r="L51" s="536"/>
      <c r="N51" s="2440" t="str">
        <f>IF(AND(ISBLANK($J$51),ISBLANK($L$51))=TRUE,"Answer Missing"," ")</f>
        <v>Answer Missing</v>
      </c>
      <c r="O51" s="2383"/>
    </row>
    <row r="52" spans="1:15" ht="12" customHeight="1" x14ac:dyDescent="0.2">
      <c r="A52" s="48" t="str">
        <f t="shared" si="1"/>
        <v>01</v>
      </c>
      <c r="B52" s="537"/>
      <c r="C52" s="716" t="s">
        <v>365</v>
      </c>
      <c r="D52" s="537"/>
      <c r="E52" s="537"/>
      <c r="F52" s="537"/>
      <c r="G52" s="537"/>
      <c r="H52" s="537"/>
      <c r="I52" s="537"/>
      <c r="J52" s="537"/>
      <c r="K52" s="537"/>
      <c r="L52" s="537"/>
    </row>
    <row r="53" spans="1:15" ht="12" customHeight="1" x14ac:dyDescent="0.2">
      <c r="A53" s="48" t="str">
        <f t="shared" si="1"/>
        <v>01</v>
      </c>
      <c r="B53" s="537"/>
      <c r="C53" s="2443"/>
      <c r="D53" s="2443"/>
      <c r="E53" s="2443"/>
      <c r="F53" s="2443"/>
      <c r="G53" s="2443"/>
      <c r="H53" s="2443"/>
      <c r="I53" s="2443"/>
      <c r="J53" s="2443"/>
      <c r="K53" s="2443"/>
      <c r="L53" s="2443"/>
      <c r="M53" s="2296"/>
      <c r="N53" s="2445" t="str">
        <f>IF(ISTEXT(J51), "Response for Yes needed", " ")</f>
        <v xml:space="preserve"> </v>
      </c>
      <c r="O53" s="2445"/>
    </row>
    <row r="54" spans="1:15" ht="12" customHeight="1" x14ac:dyDescent="0.2">
      <c r="A54" s="48" t="str">
        <f t="shared" si="1"/>
        <v>01</v>
      </c>
      <c r="B54" s="537"/>
      <c r="C54" s="2443"/>
      <c r="D54" s="2443"/>
      <c r="E54" s="2443"/>
      <c r="F54" s="2443"/>
      <c r="G54" s="2443"/>
      <c r="H54" s="2443"/>
      <c r="I54" s="2443"/>
      <c r="J54" s="2443"/>
      <c r="K54" s="2443"/>
      <c r="L54" s="2443"/>
    </row>
    <row r="55" spans="1:15" ht="5.0999999999999996" customHeight="1" x14ac:dyDescent="0.2">
      <c r="A55" s="48" t="str">
        <f t="shared" si="1"/>
        <v>01</v>
      </c>
      <c r="B55" s="537"/>
      <c r="C55" s="537"/>
      <c r="D55" s="537"/>
      <c r="E55" s="537"/>
      <c r="F55" s="537"/>
      <c r="G55" s="537"/>
      <c r="H55" s="537"/>
      <c r="I55" s="537"/>
      <c r="J55" s="537"/>
      <c r="K55" s="537"/>
      <c r="L55" s="537"/>
    </row>
    <row r="56" spans="1:15" ht="12" customHeight="1" x14ac:dyDescent="0.2">
      <c r="A56" s="48" t="str">
        <f t="shared" si="1"/>
        <v>01</v>
      </c>
      <c r="B56" s="716" t="s">
        <v>366</v>
      </c>
      <c r="C56" s="716" t="s">
        <v>367</v>
      </c>
      <c r="D56" s="537"/>
      <c r="E56" s="537"/>
      <c r="F56" s="537"/>
      <c r="G56" s="537"/>
      <c r="H56" s="537"/>
      <c r="I56" s="537"/>
      <c r="J56" s="537"/>
      <c r="K56" s="537"/>
      <c r="L56" s="537"/>
    </row>
    <row r="57" spans="1:15" ht="12" customHeight="1" x14ac:dyDescent="0.2">
      <c r="A57" s="48" t="str">
        <f t="shared" si="1"/>
        <v>01</v>
      </c>
      <c r="B57" s="537"/>
      <c r="C57" s="537" t="s">
        <v>368</v>
      </c>
      <c r="D57" s="537"/>
      <c r="E57" s="537"/>
      <c r="F57" s="537"/>
      <c r="G57" s="537"/>
      <c r="H57" s="537"/>
      <c r="I57" s="537"/>
      <c r="J57" s="537"/>
      <c r="K57" s="537"/>
      <c r="L57" s="537"/>
    </row>
    <row r="58" spans="1:15" ht="12" customHeight="1" x14ac:dyDescent="0.2">
      <c r="A58" s="48" t="str">
        <f t="shared" si="1"/>
        <v>01</v>
      </c>
      <c r="B58" s="537"/>
      <c r="C58" s="537" t="s">
        <v>369</v>
      </c>
      <c r="D58" s="537"/>
      <c r="E58" s="537"/>
      <c r="F58" s="537"/>
      <c r="G58" s="537"/>
      <c r="H58" s="537"/>
      <c r="I58" s="537"/>
      <c r="J58" s="537"/>
      <c r="K58" s="537"/>
      <c r="L58" s="537"/>
    </row>
    <row r="59" spans="1:15" ht="14.1" customHeight="1" x14ac:dyDescent="0.2">
      <c r="A59" s="48" t="str">
        <f t="shared" si="1"/>
        <v>01</v>
      </c>
      <c r="B59" s="537"/>
      <c r="C59" s="537"/>
      <c r="D59" s="537"/>
      <c r="E59" s="537"/>
      <c r="F59" s="537"/>
      <c r="G59" s="533" t="s">
        <v>339</v>
      </c>
      <c r="H59" s="978"/>
      <c r="I59" s="1350" t="s">
        <v>340</v>
      </c>
      <c r="J59" s="536"/>
      <c r="K59" s="1350" t="s">
        <v>78</v>
      </c>
      <c r="L59" s="2211"/>
      <c r="N59" s="2440" t="str">
        <f>IF(AND(ISBLANK($H$59),ISBLANK($J$59),ISBLANK($L$59))=TRUE,"Answer Missing"," ")</f>
        <v>Answer Missing</v>
      </c>
      <c r="O59" s="2383"/>
    </row>
    <row r="60" spans="1:15" ht="5.0999999999999996" customHeight="1" x14ac:dyDescent="0.2">
      <c r="A60" s="48" t="str">
        <f t="shared" si="1"/>
        <v>01</v>
      </c>
    </row>
    <row r="61" spans="1:15" ht="12" customHeight="1" x14ac:dyDescent="0.2">
      <c r="A61" s="48" t="str">
        <f t="shared" si="1"/>
        <v>01</v>
      </c>
      <c r="B61" s="716" t="s">
        <v>370</v>
      </c>
      <c r="C61" s="716" t="s">
        <v>371</v>
      </c>
      <c r="D61" s="537"/>
      <c r="E61" s="537"/>
      <c r="F61" s="537"/>
      <c r="G61" s="537"/>
      <c r="H61" s="537"/>
      <c r="I61" s="537"/>
      <c r="J61" s="537"/>
      <c r="K61" s="537"/>
      <c r="L61" s="537"/>
    </row>
    <row r="62" spans="1:15" x14ac:dyDescent="0.2">
      <c r="A62" s="48" t="str">
        <f t="shared" si="1"/>
        <v>01</v>
      </c>
      <c r="C62" s="534" t="s">
        <v>372</v>
      </c>
      <c r="I62" s="1350"/>
      <c r="J62" s="1693"/>
      <c r="K62" s="1350"/>
      <c r="L62" s="535"/>
    </row>
    <row r="63" spans="1:15" x14ac:dyDescent="0.2">
      <c r="A63" s="48" t="str">
        <f t="shared" si="1"/>
        <v>01</v>
      </c>
      <c r="C63" s="534" t="s">
        <v>373</v>
      </c>
      <c r="I63" s="1350" t="s">
        <v>339</v>
      </c>
      <c r="J63" s="536"/>
      <c r="K63" s="1350" t="s">
        <v>340</v>
      </c>
      <c r="L63" s="2211"/>
      <c r="N63" s="2440" t="str">
        <f>IF(AND(ISBLANK($J$63),ISBLANK($L$63))=TRUE,"Answer Missing"," ")</f>
        <v>Answer Missing</v>
      </c>
      <c r="O63" s="2383"/>
    </row>
    <row r="64" spans="1:15" ht="16.5" customHeight="1" x14ac:dyDescent="0.2">
      <c r="A64" s="48" t="str">
        <f t="shared" si="1"/>
        <v>01</v>
      </c>
      <c r="D64" s="537" t="s">
        <v>374</v>
      </c>
      <c r="F64" s="2444"/>
      <c r="G64" s="2444"/>
      <c r="H64" s="2444"/>
      <c r="I64" s="2444"/>
      <c r="J64" s="2444"/>
      <c r="K64" s="2444"/>
      <c r="L64" s="2444"/>
    </row>
    <row r="65" spans="1:15" ht="5.0999999999999996" customHeight="1" x14ac:dyDescent="0.2">
      <c r="A65" s="48" t="str">
        <f t="shared" si="1"/>
        <v>01</v>
      </c>
    </row>
    <row r="66" spans="1:15" x14ac:dyDescent="0.2">
      <c r="A66" s="48" t="str">
        <f t="shared" si="1"/>
        <v>01</v>
      </c>
      <c r="B66" s="716" t="s">
        <v>375</v>
      </c>
      <c r="C66" s="537" t="s">
        <v>376</v>
      </c>
    </row>
    <row r="67" spans="1:15" x14ac:dyDescent="0.2">
      <c r="A67" s="48" t="str">
        <f t="shared" si="1"/>
        <v>01</v>
      </c>
      <c r="B67" s="716"/>
      <c r="C67" s="537" t="s">
        <v>377</v>
      </c>
    </row>
    <row r="68" spans="1:15" x14ac:dyDescent="0.2">
      <c r="A68" s="48" t="str">
        <f t="shared" si="1"/>
        <v>01</v>
      </c>
      <c r="C68" s="537" t="s">
        <v>378</v>
      </c>
      <c r="G68" s="533" t="s">
        <v>339</v>
      </c>
      <c r="H68" s="978"/>
      <c r="I68" s="1350" t="s">
        <v>340</v>
      </c>
      <c r="J68" s="536"/>
      <c r="K68" s="1350" t="s">
        <v>78</v>
      </c>
      <c r="L68" s="2211"/>
      <c r="N68" s="2440" t="str">
        <f>IF(AND(ISBLANK($H$68),ISBLANK($J$68),ISBLANK($L$68))=TRUE,"Answer Missing"," ")</f>
        <v>Answer Missing</v>
      </c>
      <c r="O68" s="2383"/>
    </row>
    <row r="69" spans="1:15" ht="16.5" customHeight="1" x14ac:dyDescent="0.2">
      <c r="A69" s="48" t="str">
        <f t="shared" si="1"/>
        <v>01</v>
      </c>
      <c r="C69" s="537" t="s">
        <v>379</v>
      </c>
      <c r="E69" s="2441"/>
      <c r="F69" s="2442"/>
      <c r="G69" s="2442"/>
      <c r="H69" s="2442"/>
      <c r="I69" s="2442"/>
      <c r="J69" s="2442"/>
      <c r="K69" s="2442"/>
      <c r="L69" s="2442"/>
    </row>
    <row r="70" spans="1:15" ht="11.1" customHeight="1" x14ac:dyDescent="0.2">
      <c r="C70" s="537"/>
      <c r="E70" s="715"/>
      <c r="F70" s="381"/>
      <c r="G70" s="381"/>
      <c r="H70" s="381"/>
      <c r="I70" s="381"/>
      <c r="J70" s="381"/>
      <c r="K70" s="381"/>
      <c r="L70" s="381"/>
    </row>
    <row r="71" spans="1:15" x14ac:dyDescent="0.2">
      <c r="A71" s="48" t="str">
        <f t="shared" si="1"/>
        <v>01</v>
      </c>
      <c r="B71" s="716"/>
    </row>
    <row r="72" spans="1:15" ht="15" x14ac:dyDescent="0.2">
      <c r="A72" s="445" t="str">
        <f ca="1">MID(CELL("filename",A1),FIND("]",CELL("filename",A1))+1,256)</f>
        <v>101</v>
      </c>
      <c r="B72" s="445"/>
      <c r="C72" s="445"/>
    </row>
    <row r="73" spans="1:15" ht="15" x14ac:dyDescent="0.2">
      <c r="A73" s="445" t="s">
        <v>380</v>
      </c>
      <c r="B73" s="445" t="str">
        <f t="shared" ref="B73:B82" ca="1" si="2">IF(ISNA(INDEX(ErrorTable,MATCH($A$72&amp;$A73&amp;FALSE,ErrorKey,0),6)),"",INDEX(ErrorTable,MATCH($A$72&amp;$A73&amp;FALSE,ErrorKey,0),6))</f>
        <v/>
      </c>
      <c r="C73" s="445"/>
    </row>
    <row r="74" spans="1:15" ht="15" x14ac:dyDescent="0.2">
      <c r="A74" s="445" t="s">
        <v>381</v>
      </c>
      <c r="B74" s="445" t="str">
        <f t="shared" ca="1" si="2"/>
        <v/>
      </c>
      <c r="C74" s="445"/>
    </row>
    <row r="75" spans="1:15" ht="15" x14ac:dyDescent="0.2">
      <c r="A75" s="445" t="s">
        <v>382</v>
      </c>
      <c r="B75" s="445" t="str">
        <f t="shared" ca="1" si="2"/>
        <v/>
      </c>
      <c r="C75" s="445"/>
    </row>
    <row r="76" spans="1:15" ht="15" x14ac:dyDescent="0.2">
      <c r="A76" s="445" t="s">
        <v>383</v>
      </c>
      <c r="B76" s="445" t="str">
        <f t="shared" ca="1" si="2"/>
        <v/>
      </c>
      <c r="C76" s="445"/>
    </row>
    <row r="77" spans="1:15" ht="15" x14ac:dyDescent="0.2">
      <c r="A77" s="445" t="s">
        <v>384</v>
      </c>
      <c r="B77" s="445" t="str">
        <f t="shared" ca="1" si="2"/>
        <v/>
      </c>
      <c r="C77" s="445"/>
    </row>
    <row r="78" spans="1:15" ht="15" x14ac:dyDescent="0.2">
      <c r="A78" s="445" t="s">
        <v>385</v>
      </c>
      <c r="B78" s="445" t="str">
        <f t="shared" ca="1" si="2"/>
        <v/>
      </c>
      <c r="C78" s="445"/>
    </row>
    <row r="79" spans="1:15" ht="15" x14ac:dyDescent="0.2">
      <c r="A79" s="445" t="s">
        <v>386</v>
      </c>
      <c r="B79" s="445" t="str">
        <f t="shared" ca="1" si="2"/>
        <v/>
      </c>
      <c r="C79" s="445"/>
    </row>
    <row r="80" spans="1:15" ht="15" x14ac:dyDescent="0.2">
      <c r="A80" s="445" t="s">
        <v>387</v>
      </c>
      <c r="B80" s="445" t="str">
        <f t="shared" ca="1" si="2"/>
        <v/>
      </c>
      <c r="C80" s="445"/>
    </row>
    <row r="81" spans="1:3" ht="15" x14ac:dyDescent="0.2">
      <c r="A81" s="445" t="s">
        <v>388</v>
      </c>
      <c r="B81" s="445" t="str">
        <f t="shared" ca="1" si="2"/>
        <v/>
      </c>
      <c r="C81" s="445"/>
    </row>
    <row r="82" spans="1:3" ht="15" x14ac:dyDescent="0.2">
      <c r="A82" s="445" t="s">
        <v>389</v>
      </c>
      <c r="B82" s="445" t="str">
        <f t="shared" ca="1" si="2"/>
        <v/>
      </c>
      <c r="C82" s="445"/>
    </row>
  </sheetData>
  <sheetProtection algorithmName="SHA-512" hashValue="n8rsCbHd/zKPA2YLj3evKpDQirpdiIurOvtyL40dEqYkFiWyzkbrczzbwJOMqKP4Maq9z5OZdusLrWP2UdWxEg==" saltValue="6foHU0CXtKfmFC0CyqlSFw==" spinCount="100000" sheet="1" objects="1" scenarios="1" autoFilter="0"/>
  <customSheetViews>
    <customSheetView guid="{9FCFC836-1CA5-48BF-958D-24D2EA94B219}" showGridLines="0" fitToPage="1" hiddenColumns="1" topLeftCell="B1">
      <selection activeCell="I7" sqref="I7:L7"/>
      <pageMargins left="0" right="0" top="0" bottom="0" header="0" footer="0"/>
      <pageSetup scale="93" orientation="portrait" r:id="rId1"/>
      <headerFooter alignWithMargins="0">
        <oddFooter>&amp;R&amp;A</oddFooter>
      </headerFooter>
    </customSheetView>
    <customSheetView guid="{BEA4BE86-04D1-4C96-9358-7A260B9D2B2D}" showGridLines="0" fitToPage="1" showRuler="0">
      <selection sqref="A1:K1"/>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K1"/>
      <pageMargins left="0" right="0" top="0" bottom="0" header="0" footer="0"/>
      <pageSetup orientation="portrait" r:id="rId3"/>
      <headerFooter alignWithMargins="0">
        <oddFooter>&amp;R&amp;A</oddFooter>
      </headerFooter>
    </customSheetView>
    <customSheetView guid="{B08879A4-635B-4C39-9937-AC7883D562FC}" showGridLines="0" fitToPage="1" hiddenColumns="1" topLeftCell="B1">
      <selection activeCell="I7" sqref="I7:L7"/>
      <pageMargins left="0" right="0" top="0" bottom="0" header="0" footer="0"/>
      <pageSetup scale="93" orientation="portrait" r:id="rId4"/>
      <headerFooter alignWithMargins="0">
        <oddFooter>&amp;R&amp;A</oddFooter>
      </headerFooter>
    </customSheetView>
  </customSheetViews>
  <mergeCells count="30">
    <mergeCell ref="M1:M3"/>
    <mergeCell ref="B1:L1"/>
    <mergeCell ref="I6:L6"/>
    <mergeCell ref="I7:L7"/>
    <mergeCell ref="B2:L2"/>
    <mergeCell ref="B3:L3"/>
    <mergeCell ref="I5:L5"/>
    <mergeCell ref="G26:L26"/>
    <mergeCell ref="D38:L38"/>
    <mergeCell ref="D39:L39"/>
    <mergeCell ref="I8:L8"/>
    <mergeCell ref="F17:L17"/>
    <mergeCell ref="F18:L18"/>
    <mergeCell ref="F16:L16"/>
    <mergeCell ref="G33:L33"/>
    <mergeCell ref="N68:O68"/>
    <mergeCell ref="E69:L69"/>
    <mergeCell ref="G46:L46"/>
    <mergeCell ref="G47:L47"/>
    <mergeCell ref="C53:L53"/>
    <mergeCell ref="C54:L54"/>
    <mergeCell ref="F64:L64"/>
    <mergeCell ref="N53:O53"/>
    <mergeCell ref="N17:O17"/>
    <mergeCell ref="N25:O25"/>
    <mergeCell ref="N51:O51"/>
    <mergeCell ref="N59:O59"/>
    <mergeCell ref="N63:O63"/>
    <mergeCell ref="N31:O31"/>
    <mergeCell ref="N32:O32"/>
  </mergeCells>
  <phoneticPr fontId="16" type="noConversion"/>
  <conditionalFormatting sqref="M1:M3">
    <cfRule type="cellIs" dxfId="174" priority="14" stopIfTrue="1" operator="equal">
      <formula>"na"</formula>
    </cfRule>
  </conditionalFormatting>
  <conditionalFormatting sqref="M53">
    <cfRule type="containsText" dxfId="173" priority="9" stopIfTrue="1" operator="containsText" text="Response for Yes needed">
      <formula>NOT(ISERROR(SEARCH("Response for Yes needed",M53)))</formula>
    </cfRule>
  </conditionalFormatting>
  <conditionalFormatting sqref="M53:N53">
    <cfRule type="containsText" dxfId="172" priority="8" stopIfTrue="1" operator="containsText" text="Response for Yes needed">
      <formula>NOT(ISERROR(SEARCH("Response for Yes needed",M53)))</formula>
    </cfRule>
  </conditionalFormatting>
  <conditionalFormatting sqref="N17">
    <cfRule type="containsText" dxfId="171" priority="3" stopIfTrue="1" operator="containsText" text="Answer Missing">
      <formula>NOT(ISERROR(SEARCH("Answer Missing",N17)))</formula>
    </cfRule>
  </conditionalFormatting>
  <conditionalFormatting sqref="N25:N32">
    <cfRule type="containsText" dxfId="170" priority="1" stopIfTrue="1" operator="containsText" text="Answer Missing">
      <formula>NOT(ISERROR(SEARCH("Answer Missing",N25)))</formula>
    </cfRule>
  </conditionalFormatting>
  <conditionalFormatting sqref="N51">
    <cfRule type="containsText" dxfId="169" priority="10" stopIfTrue="1" operator="containsText" text="Answer Missing">
      <formula>NOT(ISERROR(SEARCH("Answer Missing",N51)))</formula>
    </cfRule>
  </conditionalFormatting>
  <conditionalFormatting sqref="N59">
    <cfRule type="containsText" dxfId="168" priority="7" stopIfTrue="1" operator="containsText" text="Answer Missing">
      <formula>NOT(ISERROR(SEARCH("Answer Missing",N59)))</formula>
    </cfRule>
  </conditionalFormatting>
  <conditionalFormatting sqref="N63">
    <cfRule type="containsText" dxfId="167" priority="6" stopIfTrue="1" operator="containsText" text="Answer Missing">
      <formula>NOT(ISERROR(SEARCH("Answer Missing",N63)))</formula>
    </cfRule>
  </conditionalFormatting>
  <conditionalFormatting sqref="N68">
    <cfRule type="containsText" dxfId="166" priority="4" stopIfTrue="1" operator="containsText" text="Answer Missing">
      <formula>NOT(ISERROR(SEARCH("Answer Missing",N68)))</formula>
    </cfRule>
  </conditionalFormatting>
  <conditionalFormatting sqref="N17:O17">
    <cfRule type="containsText" dxfId="165" priority="2" operator="containsText" text="Valuation Missing">
      <formula>NOT(ISERROR(SEARCH("Valuation Missing",N17)))</formula>
    </cfRule>
  </conditionalFormatting>
  <hyperlinks>
    <hyperlink ref="B1:L1" location="Index!A1" display="Index!A1" xr:uid="{00000000-0004-0000-0300-000000000000}"/>
  </hyperlinks>
  <pageMargins left="0.6" right="0.6" top="0.5" bottom="0.5" header="0.3" footer="0.3"/>
  <pageSetup scale="85" orientation="portrait" r:id="rId5"/>
  <ignoredErrors>
    <ignoredError sqref="I7:I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P98"/>
  <sheetViews>
    <sheetView showGridLines="0" zoomScaleNormal="100" zoomScaleSheetLayoutView="100" workbookViewId="0">
      <selection activeCell="K1" sqref="K1:K3"/>
    </sheetView>
  </sheetViews>
  <sheetFormatPr defaultRowHeight="12.75" x14ac:dyDescent="0.2"/>
  <cols>
    <col min="1" max="1" width="2" customWidth="1"/>
    <col min="2" max="2" width="1.42578125" customWidth="1"/>
    <col min="3" max="3" width="36.5703125" customWidth="1"/>
    <col min="4" max="4" width="10.5703125" customWidth="1"/>
    <col min="5" max="5" width="1.5703125" customWidth="1"/>
    <col min="6" max="6" width="1.42578125" customWidth="1"/>
    <col min="7" max="7" width="1.5703125" customWidth="1"/>
    <col min="8" max="8" width="1.42578125" customWidth="1"/>
    <col min="9" max="9" width="45.42578125" customWidth="1"/>
    <col min="10" max="10" width="10.5703125" customWidth="1"/>
    <col min="11" max="11" width="4.5703125" customWidth="1"/>
    <col min="12" max="12" width="1.5703125" customWidth="1"/>
    <col min="15" max="15" width="47" bestFit="1" customWidth="1"/>
  </cols>
  <sheetData>
    <row r="1" spans="1:16" s="71" customFormat="1" ht="15" customHeight="1" x14ac:dyDescent="0.25">
      <c r="B1" s="2455" t="str">
        <f>+Index!$A$1</f>
        <v xml:space="preserve">                                                               Office of the State Controller                                                                </v>
      </c>
      <c r="C1" s="2455"/>
      <c r="D1" s="2455"/>
      <c r="E1" s="2455"/>
      <c r="F1" s="2455"/>
      <c r="G1" s="2455"/>
      <c r="H1" s="2455"/>
      <c r="I1" s="2455"/>
      <c r="J1" s="2455"/>
      <c r="K1" s="2456" t="str">
        <f>IF(Index!$B$18="na","NA","")</f>
        <v/>
      </c>
      <c r="L1" s="72"/>
    </row>
    <row r="2" spans="1:16" s="71" customFormat="1" ht="15" customHeight="1" x14ac:dyDescent="0.25">
      <c r="B2" s="2457" t="str">
        <f>+Index!$A$2</f>
        <v>2023 ACFR Worksheets</v>
      </c>
      <c r="C2" s="2457"/>
      <c r="D2" s="2457"/>
      <c r="E2" s="2457"/>
      <c r="F2" s="2457"/>
      <c r="G2" s="2457"/>
      <c r="H2" s="2457"/>
      <c r="I2" s="2457"/>
      <c r="J2" s="2457"/>
      <c r="K2" s="2456"/>
      <c r="L2" s="72"/>
    </row>
    <row r="3" spans="1:16" s="71" customFormat="1" ht="15" customHeight="1" x14ac:dyDescent="0.25">
      <c r="B3" s="2457" t="s">
        <v>390</v>
      </c>
      <c r="C3" s="2457"/>
      <c r="D3" s="2457"/>
      <c r="E3" s="2457"/>
      <c r="F3" s="2457"/>
      <c r="G3" s="2457"/>
      <c r="H3" s="2457"/>
      <c r="I3" s="2457"/>
      <c r="J3" s="2457"/>
      <c r="K3" s="2456"/>
      <c r="L3" s="72"/>
    </row>
    <row r="4" spans="1:16" s="71" customFormat="1" ht="15" customHeight="1" x14ac:dyDescent="0.25">
      <c r="B4" s="2216"/>
      <c r="C4" s="2216"/>
      <c r="D4" s="2216"/>
      <c r="E4" s="2216"/>
      <c r="F4" s="2216"/>
      <c r="G4" s="2216"/>
      <c r="H4" s="2216"/>
      <c r="I4" s="2216"/>
      <c r="J4" s="2216"/>
      <c r="K4" s="2215"/>
      <c r="L4" s="72"/>
    </row>
    <row r="5" spans="1:16" s="86" customFormat="1" ht="15" customHeight="1" x14ac:dyDescent="0.2">
      <c r="A5" s="1694"/>
      <c r="B5" s="1695"/>
      <c r="C5" s="1696"/>
      <c r="D5" s="1695"/>
      <c r="E5" s="1697"/>
      <c r="F5" s="27"/>
      <c r="G5" s="1697" t="s">
        <v>317</v>
      </c>
      <c r="H5" s="1695"/>
      <c r="I5" s="1698" t="str">
        <f>AgyIdx</f>
        <v>01</v>
      </c>
      <c r="J5" s="87"/>
      <c r="K5" s="87"/>
      <c r="L5" s="1695"/>
      <c r="M5" s="27"/>
      <c r="N5" s="27"/>
      <c r="O5" s="27"/>
      <c r="P5" s="27"/>
    </row>
    <row r="6" spans="1:16" s="86" customFormat="1" ht="15" customHeight="1" x14ac:dyDescent="0.2">
      <c r="A6" s="27"/>
      <c r="B6" s="27"/>
      <c r="C6" s="27"/>
      <c r="D6" s="27"/>
      <c r="E6" s="1697"/>
      <c r="F6" s="27"/>
      <c r="G6" s="1697" t="s">
        <v>318</v>
      </c>
      <c r="H6" s="1696"/>
      <c r="I6" s="1698" t="str">
        <f>AgyName</f>
        <v>North Carolina General Assembly</v>
      </c>
      <c r="J6" s="1696"/>
      <c r="K6" s="27"/>
      <c r="L6" s="27"/>
      <c r="M6" s="27"/>
      <c r="N6" s="27"/>
      <c r="O6" s="27"/>
      <c r="P6" s="27"/>
    </row>
    <row r="7" spans="1:16" s="86" customFormat="1" ht="15" customHeight="1" x14ac:dyDescent="0.2">
      <c r="A7" s="27"/>
      <c r="B7" s="27"/>
      <c r="C7" s="1696"/>
      <c r="D7" s="27"/>
      <c r="E7" s="1697"/>
      <c r="F7" s="27"/>
      <c r="G7" s="1697" t="s">
        <v>319</v>
      </c>
      <c r="H7" s="1696"/>
      <c r="I7" s="1699" t="str">
        <f>CONCATENATE(Index!$E$12," ",Index!$E$14)</f>
        <v xml:space="preserve"> </v>
      </c>
      <c r="J7" s="1696"/>
      <c r="K7" s="27"/>
      <c r="L7" s="27"/>
      <c r="M7" s="27"/>
      <c r="N7" s="27"/>
      <c r="O7" s="27"/>
      <c r="P7" s="27"/>
    </row>
    <row r="8" spans="1:16" s="86" customFormat="1" ht="15" customHeight="1" x14ac:dyDescent="0.2">
      <c r="A8" s="27"/>
      <c r="B8" s="27"/>
      <c r="C8" s="1696"/>
      <c r="D8" s="27"/>
      <c r="E8" s="1697"/>
      <c r="F8" s="27"/>
      <c r="G8" s="1697" t="s">
        <v>71</v>
      </c>
      <c r="H8" s="1696"/>
      <c r="I8" s="1700">
        <f>+Index!$E$13</f>
        <v>0</v>
      </c>
      <c r="J8" s="1701"/>
      <c r="K8" s="1701"/>
      <c r="L8" s="1701"/>
      <c r="M8" s="27"/>
      <c r="N8" s="27"/>
      <c r="O8" s="27"/>
      <c r="P8" s="27"/>
    </row>
    <row r="9" spans="1:16" s="86" customFormat="1" ht="12" customHeight="1" thickBot="1" x14ac:dyDescent="0.25">
      <c r="A9" s="1702"/>
      <c r="B9" s="1702"/>
      <c r="C9" s="1702"/>
      <c r="D9" s="1702"/>
      <c r="E9" s="1702"/>
      <c r="F9" s="1702"/>
      <c r="G9" s="1702"/>
      <c r="H9" s="1702"/>
      <c r="I9" s="1702"/>
      <c r="J9" s="1702"/>
      <c r="K9" s="27"/>
      <c r="L9" s="27"/>
      <c r="M9" s="27"/>
      <c r="N9" s="27"/>
      <c r="O9" s="27"/>
      <c r="P9" s="27"/>
    </row>
    <row r="10" spans="1:16" s="71" customFormat="1" ht="15" customHeight="1" x14ac:dyDescent="0.25">
      <c r="A10" s="293" t="s">
        <v>391</v>
      </c>
      <c r="B10" s="2216"/>
      <c r="C10" s="2216"/>
      <c r="D10" s="2216"/>
      <c r="E10" s="2216"/>
      <c r="F10" s="2216"/>
      <c r="G10" s="2216"/>
      <c r="H10" s="2216"/>
      <c r="I10" s="2216"/>
      <c r="J10" s="2216"/>
      <c r="K10" s="2215"/>
      <c r="L10" s="72"/>
      <c r="M10" s="421"/>
    </row>
    <row r="11" spans="1:16" s="71" customFormat="1" ht="15" customHeight="1" x14ac:dyDescent="0.25">
      <c r="A11" s="831" t="s">
        <v>392</v>
      </c>
      <c r="B11" s="2216"/>
      <c r="C11" s="2216"/>
      <c r="D11" s="2216"/>
      <c r="E11" s="2216"/>
      <c r="F11" s="2216"/>
      <c r="G11" s="2216"/>
      <c r="H11" s="2216"/>
      <c r="I11" s="2216"/>
      <c r="J11" s="2216"/>
      <c r="K11" s="2215"/>
      <c r="L11" s="72"/>
      <c r="M11"/>
    </row>
    <row r="12" spans="1:16" s="71" customFormat="1" ht="15" customHeight="1" x14ac:dyDescent="0.25">
      <c r="A12" s="831" t="s">
        <v>393</v>
      </c>
      <c r="B12" s="2216"/>
      <c r="C12" s="2216"/>
      <c r="D12" s="2216"/>
      <c r="E12" s="2216"/>
      <c r="F12" s="2216"/>
      <c r="G12" s="2216"/>
      <c r="H12" s="2216"/>
      <c r="I12" s="2216"/>
      <c r="J12" s="2216"/>
      <c r="K12" s="2215"/>
      <c r="L12" s="72"/>
      <c r="M12"/>
    </row>
    <row r="13" spans="1:16" x14ac:dyDescent="0.2">
      <c r="A13" s="191"/>
      <c r="B13" s="191"/>
      <c r="C13" s="191"/>
      <c r="D13" s="192"/>
      <c r="E13" s="191"/>
      <c r="F13" s="191"/>
      <c r="G13" s="191"/>
      <c r="H13" s="191"/>
      <c r="I13" s="191"/>
      <c r="J13" s="191"/>
      <c r="M13" s="421"/>
    </row>
    <row r="14" spans="1:16" x14ac:dyDescent="0.2">
      <c r="A14" s="210" t="s">
        <v>394</v>
      </c>
      <c r="B14" s="191"/>
      <c r="C14" s="191"/>
      <c r="D14" s="191"/>
      <c r="E14" s="191"/>
      <c r="F14" s="210" t="s">
        <v>395</v>
      </c>
      <c r="G14" s="191"/>
      <c r="H14" s="191"/>
      <c r="I14" s="191"/>
      <c r="J14" s="191"/>
      <c r="M14" s="421"/>
    </row>
    <row r="15" spans="1:16" x14ac:dyDescent="0.2">
      <c r="A15" s="191"/>
      <c r="B15" s="234" t="s">
        <v>396</v>
      </c>
      <c r="C15" s="191"/>
      <c r="D15" s="191"/>
      <c r="E15" s="191"/>
      <c r="F15" s="191"/>
      <c r="G15" s="234" t="s">
        <v>397</v>
      </c>
      <c r="H15" s="191"/>
      <c r="I15" s="191"/>
      <c r="J15" s="191"/>
      <c r="M15" s="421"/>
    </row>
    <row r="16" spans="1:16" x14ac:dyDescent="0.2">
      <c r="A16" s="191"/>
      <c r="B16" s="234"/>
      <c r="C16" s="191" t="s">
        <v>398</v>
      </c>
      <c r="D16" s="1703"/>
      <c r="E16" s="191"/>
      <c r="F16" s="191"/>
      <c r="G16" s="234"/>
      <c r="H16" s="191" t="s">
        <v>399</v>
      </c>
      <c r="I16" s="191"/>
      <c r="J16" s="1703"/>
      <c r="M16" s="421"/>
      <c r="O16" s="1465" t="s">
        <v>398</v>
      </c>
      <c r="P16" s="1465" t="s">
        <v>400</v>
      </c>
    </row>
    <row r="17" spans="1:16" x14ac:dyDescent="0.2">
      <c r="A17" s="191"/>
      <c r="B17" s="191"/>
      <c r="C17" s="191" t="s">
        <v>401</v>
      </c>
      <c r="D17" s="1703"/>
      <c r="E17" s="191"/>
      <c r="F17" s="191"/>
      <c r="G17" s="234"/>
      <c r="H17" s="191" t="s">
        <v>402</v>
      </c>
      <c r="I17" s="191"/>
      <c r="J17" s="1704"/>
      <c r="M17" s="421"/>
      <c r="O17" s="1465" t="s">
        <v>401</v>
      </c>
      <c r="P17" s="1465" t="s">
        <v>402</v>
      </c>
    </row>
    <row r="18" spans="1:16" x14ac:dyDescent="0.2">
      <c r="A18" s="191"/>
      <c r="B18" s="191"/>
      <c r="C18" s="191" t="s">
        <v>403</v>
      </c>
      <c r="D18" s="1703"/>
      <c r="E18" s="191"/>
      <c r="F18" s="191"/>
      <c r="G18" s="191"/>
      <c r="H18" s="191"/>
      <c r="I18" s="191"/>
      <c r="J18" s="191"/>
      <c r="M18" s="421"/>
      <c r="O18" s="1465" t="s">
        <v>403</v>
      </c>
      <c r="P18" s="1465"/>
    </row>
    <row r="19" spans="1:16" x14ac:dyDescent="0.2">
      <c r="A19" s="191"/>
      <c r="B19" s="191"/>
      <c r="C19" s="191" t="s">
        <v>404</v>
      </c>
      <c r="D19" s="1703"/>
      <c r="E19" s="191"/>
      <c r="F19" s="210" t="s">
        <v>405</v>
      </c>
      <c r="G19" s="191"/>
      <c r="H19" s="191"/>
      <c r="I19" s="191"/>
      <c r="J19" s="191"/>
      <c r="M19" s="421"/>
      <c r="O19" s="1465" t="s">
        <v>404</v>
      </c>
      <c r="P19" s="1465"/>
    </row>
    <row r="20" spans="1:16" x14ac:dyDescent="0.2">
      <c r="A20" s="191"/>
      <c r="B20" s="191"/>
      <c r="C20" s="191" t="s">
        <v>406</v>
      </c>
      <c r="D20" s="1703"/>
      <c r="E20" s="191"/>
      <c r="F20" s="210"/>
      <c r="G20" s="234" t="s">
        <v>407</v>
      </c>
      <c r="H20" s="191"/>
      <c r="I20" s="191"/>
      <c r="J20" s="191"/>
      <c r="M20" s="421"/>
      <c r="O20" s="1465" t="s">
        <v>406</v>
      </c>
      <c r="P20" s="1465"/>
    </row>
    <row r="21" spans="1:16" x14ac:dyDescent="0.2">
      <c r="A21" s="191"/>
      <c r="B21" s="191"/>
      <c r="C21" s="191" t="s">
        <v>408</v>
      </c>
      <c r="D21" s="1703"/>
      <c r="E21" s="1705"/>
      <c r="F21" s="191"/>
      <c r="G21" s="191"/>
      <c r="H21" s="191" t="s">
        <v>409</v>
      </c>
      <c r="I21" s="191"/>
      <c r="J21" s="1706"/>
      <c r="M21" s="421"/>
      <c r="O21" s="1465" t="s">
        <v>408</v>
      </c>
      <c r="P21" s="1465" t="s">
        <v>409</v>
      </c>
    </row>
    <row r="22" spans="1:16" x14ac:dyDescent="0.2">
      <c r="A22" s="191"/>
      <c r="B22" s="191"/>
      <c r="C22" s="191"/>
      <c r="D22" s="191"/>
      <c r="E22" s="191"/>
      <c r="M22" s="421"/>
      <c r="O22" s="1465"/>
      <c r="P22" s="1465"/>
    </row>
    <row r="23" spans="1:16" x14ac:dyDescent="0.2">
      <c r="A23" s="191"/>
      <c r="B23" s="234" t="s">
        <v>410</v>
      </c>
      <c r="C23" s="191"/>
      <c r="D23" s="191"/>
      <c r="E23" s="191"/>
      <c r="G23" s="234" t="s">
        <v>411</v>
      </c>
      <c r="M23" s="421"/>
      <c r="O23" s="1465"/>
      <c r="P23" s="1465"/>
    </row>
    <row r="24" spans="1:16" x14ac:dyDescent="0.2">
      <c r="A24" s="191"/>
      <c r="B24" s="191"/>
      <c r="C24" s="191" t="s">
        <v>412</v>
      </c>
      <c r="D24" s="344"/>
      <c r="E24" s="1705"/>
      <c r="H24" s="191" t="s">
        <v>413</v>
      </c>
      <c r="I24" s="191"/>
      <c r="J24" s="1703"/>
      <c r="M24" s="421"/>
      <c r="O24" s="1465" t="s">
        <v>412</v>
      </c>
      <c r="P24" s="1465" t="s">
        <v>413</v>
      </c>
    </row>
    <row r="25" spans="1:16" x14ac:dyDescent="0.2">
      <c r="A25" s="191"/>
      <c r="B25" s="191"/>
      <c r="C25" s="191" t="s">
        <v>414</v>
      </c>
      <c r="D25" s="1703"/>
      <c r="E25" s="191"/>
      <c r="F25" s="191"/>
      <c r="G25" s="191"/>
      <c r="H25" s="191" t="s">
        <v>415</v>
      </c>
      <c r="I25" s="191"/>
      <c r="J25" s="1703"/>
      <c r="M25" s="421"/>
      <c r="O25" s="1465" t="s">
        <v>416</v>
      </c>
      <c r="P25" s="1465" t="s">
        <v>415</v>
      </c>
    </row>
    <row r="26" spans="1:16" x14ac:dyDescent="0.2">
      <c r="A26" s="191"/>
      <c r="B26" s="191"/>
      <c r="C26" s="191"/>
      <c r="D26" s="191"/>
      <c r="E26" s="191"/>
      <c r="H26" s="191" t="s">
        <v>417</v>
      </c>
      <c r="I26" s="191"/>
      <c r="J26" s="1703"/>
      <c r="M26" s="421"/>
      <c r="O26" s="1465"/>
      <c r="P26" s="1465" t="s">
        <v>417</v>
      </c>
    </row>
    <row r="27" spans="1:16" x14ac:dyDescent="0.2">
      <c r="A27" s="191"/>
      <c r="B27" s="234" t="s">
        <v>418</v>
      </c>
      <c r="C27" s="191"/>
      <c r="D27" s="191"/>
      <c r="E27" s="191"/>
      <c r="F27" s="191"/>
      <c r="G27" s="191"/>
      <c r="H27" s="191" t="s">
        <v>419</v>
      </c>
      <c r="I27" s="191"/>
      <c r="J27" s="1703"/>
      <c r="M27" s="421"/>
      <c r="O27" s="1465"/>
      <c r="P27" s="1465" t="s">
        <v>419</v>
      </c>
    </row>
    <row r="28" spans="1:16" x14ac:dyDescent="0.2">
      <c r="A28" s="191"/>
      <c r="B28" s="191"/>
      <c r="C28" s="191" t="s">
        <v>420</v>
      </c>
      <c r="D28" s="1703"/>
      <c r="E28" s="191"/>
      <c r="F28" s="191"/>
      <c r="G28" s="191"/>
      <c r="H28" s="191"/>
      <c r="I28" s="191"/>
      <c r="J28" s="191"/>
      <c r="M28" s="421"/>
      <c r="O28" s="1465" t="s">
        <v>420</v>
      </c>
      <c r="P28" s="1465"/>
    </row>
    <row r="29" spans="1:16" x14ac:dyDescent="0.2">
      <c r="A29" s="191"/>
      <c r="B29" s="191"/>
      <c r="C29" s="191"/>
      <c r="D29" s="191"/>
      <c r="E29" s="191"/>
      <c r="F29" s="191"/>
      <c r="G29" s="234" t="s">
        <v>421</v>
      </c>
      <c r="H29" s="191"/>
      <c r="I29" s="191"/>
      <c r="J29" s="191"/>
      <c r="M29" s="421"/>
      <c r="O29" s="1465"/>
      <c r="P29" s="1465"/>
    </row>
    <row r="30" spans="1:16" x14ac:dyDescent="0.2">
      <c r="A30" s="210" t="s">
        <v>422</v>
      </c>
      <c r="B30" s="191"/>
      <c r="C30" s="191"/>
      <c r="D30" s="191"/>
      <c r="E30" s="191"/>
      <c r="F30" s="191"/>
      <c r="G30" s="234"/>
      <c r="H30" s="191" t="s">
        <v>423</v>
      </c>
      <c r="I30" s="191"/>
      <c r="J30" s="1703"/>
      <c r="M30" s="421"/>
      <c r="O30" s="1465"/>
      <c r="P30" s="1465" t="s">
        <v>423</v>
      </c>
    </row>
    <row r="31" spans="1:16" x14ac:dyDescent="0.2">
      <c r="A31" s="191"/>
      <c r="B31" s="234" t="s">
        <v>424</v>
      </c>
      <c r="C31" s="191"/>
      <c r="D31" s="191"/>
      <c r="E31" s="1705"/>
      <c r="F31" s="191"/>
      <c r="G31" s="234"/>
      <c r="H31" s="191" t="s">
        <v>425</v>
      </c>
      <c r="I31" s="191"/>
      <c r="J31" s="1703"/>
      <c r="M31" s="421"/>
      <c r="O31" s="1465"/>
      <c r="P31" s="1465" t="s">
        <v>425</v>
      </c>
    </row>
    <row r="32" spans="1:16" x14ac:dyDescent="0.2">
      <c r="A32" s="191"/>
      <c r="B32" s="191"/>
      <c r="C32" s="191" t="s">
        <v>426</v>
      </c>
      <c r="D32" s="1703"/>
      <c r="E32" s="191"/>
      <c r="F32" s="191"/>
      <c r="G32" s="234"/>
      <c r="H32" s="191" t="s">
        <v>427</v>
      </c>
      <c r="I32" s="191"/>
      <c r="J32" s="1703"/>
      <c r="M32" s="421"/>
      <c r="O32" s="1465" t="s">
        <v>428</v>
      </c>
      <c r="P32" s="1465" t="s">
        <v>429</v>
      </c>
    </row>
    <row r="33" spans="1:16" x14ac:dyDescent="0.2">
      <c r="A33" s="191"/>
      <c r="B33" s="191"/>
      <c r="C33" s="191" t="s">
        <v>430</v>
      </c>
      <c r="D33" s="1703"/>
      <c r="E33" s="191"/>
      <c r="F33" s="191"/>
      <c r="G33" s="234"/>
      <c r="H33" s="191" t="s">
        <v>431</v>
      </c>
      <c r="I33" s="191"/>
      <c r="J33" s="1703"/>
      <c r="M33" s="421"/>
      <c r="O33" s="1465" t="s">
        <v>430</v>
      </c>
      <c r="P33" s="1465" t="s">
        <v>431</v>
      </c>
    </row>
    <row r="34" spans="1:16" x14ac:dyDescent="0.2">
      <c r="A34" s="191"/>
      <c r="B34" s="191"/>
      <c r="C34" s="191" t="s">
        <v>432</v>
      </c>
      <c r="D34" s="1704"/>
      <c r="E34" s="191"/>
      <c r="F34" s="191"/>
      <c r="G34" s="191"/>
      <c r="H34" s="191"/>
      <c r="I34" s="191"/>
      <c r="J34" s="191"/>
      <c r="M34" s="423"/>
      <c r="O34" s="1465" t="s">
        <v>432</v>
      </c>
      <c r="P34" s="1465"/>
    </row>
    <row r="35" spans="1:16" x14ac:dyDescent="0.2">
      <c r="A35" s="191"/>
      <c r="B35" s="191"/>
      <c r="C35" s="191"/>
      <c r="D35" s="1707"/>
      <c r="E35" s="191"/>
      <c r="F35" s="210" t="s">
        <v>433</v>
      </c>
      <c r="G35" s="191"/>
      <c r="H35" s="191"/>
      <c r="I35" s="191"/>
      <c r="J35" s="191"/>
      <c r="M35" s="421"/>
      <c r="O35" s="1465"/>
      <c r="P35" s="1465"/>
    </row>
    <row r="36" spans="1:16" x14ac:dyDescent="0.2">
      <c r="A36" s="210" t="s">
        <v>434</v>
      </c>
      <c r="B36" s="191"/>
      <c r="C36" s="191"/>
      <c r="D36" s="191"/>
      <c r="E36" s="1705"/>
      <c r="F36" s="191"/>
      <c r="G36" s="234" t="s">
        <v>435</v>
      </c>
      <c r="H36" s="191"/>
      <c r="I36" s="191"/>
      <c r="J36" s="191"/>
      <c r="M36" s="421"/>
      <c r="O36" s="1465"/>
      <c r="P36" s="1465"/>
    </row>
    <row r="37" spans="1:16" x14ac:dyDescent="0.2">
      <c r="A37" s="191"/>
      <c r="B37" s="234" t="s">
        <v>436</v>
      </c>
      <c r="C37" s="191"/>
      <c r="D37" s="191"/>
      <c r="E37" s="1705"/>
      <c r="F37" s="191"/>
      <c r="G37" s="191"/>
      <c r="H37" s="191" t="s">
        <v>437</v>
      </c>
      <c r="I37" s="191"/>
      <c r="J37" s="2138"/>
      <c r="M37" s="421"/>
      <c r="O37" s="1465"/>
      <c r="P37" s="1465" t="s">
        <v>437</v>
      </c>
    </row>
    <row r="38" spans="1:16" x14ac:dyDescent="0.2">
      <c r="A38" s="191"/>
      <c r="B38" s="191"/>
      <c r="C38" s="191" t="s">
        <v>438</v>
      </c>
      <c r="D38" s="1703"/>
      <c r="E38" s="191"/>
      <c r="F38" s="191"/>
      <c r="G38" s="191"/>
      <c r="H38" s="191" t="s">
        <v>439</v>
      </c>
      <c r="I38" s="191"/>
      <c r="J38" s="2139"/>
      <c r="M38" s="421"/>
      <c r="O38" s="1465" t="s">
        <v>440</v>
      </c>
      <c r="P38" s="1465" t="s">
        <v>439</v>
      </c>
    </row>
    <row r="39" spans="1:16" x14ac:dyDescent="0.2">
      <c r="A39" s="191"/>
      <c r="B39" s="191"/>
      <c r="C39" s="191" t="s">
        <v>441</v>
      </c>
      <c r="D39" s="1703"/>
      <c r="E39" s="191"/>
      <c r="F39" s="191"/>
      <c r="G39" s="234" t="s">
        <v>442</v>
      </c>
      <c r="J39" s="191"/>
      <c r="O39" s="1465" t="s">
        <v>443</v>
      </c>
    </row>
    <row r="40" spans="1:16" x14ac:dyDescent="0.2">
      <c r="A40" s="191"/>
      <c r="B40" s="191"/>
      <c r="C40" s="191"/>
      <c r="D40" s="191"/>
      <c r="E40" s="1705"/>
      <c r="F40" s="191"/>
      <c r="H40" s="191" t="s">
        <v>444</v>
      </c>
      <c r="I40" s="191"/>
      <c r="J40" s="344"/>
      <c r="M40" s="421"/>
      <c r="P40" s="1465" t="s">
        <v>444</v>
      </c>
    </row>
    <row r="41" spans="1:16" x14ac:dyDescent="0.2">
      <c r="A41" s="191"/>
      <c r="B41" s="234" t="s">
        <v>445</v>
      </c>
      <c r="C41" s="191"/>
      <c r="D41" s="191"/>
      <c r="E41" s="1705"/>
      <c r="F41" s="191"/>
    </row>
    <row r="42" spans="1:16" x14ac:dyDescent="0.2">
      <c r="A42" s="191"/>
      <c r="B42" s="234"/>
      <c r="C42" s="191" t="s">
        <v>446</v>
      </c>
      <c r="D42" s="1703"/>
      <c r="E42" s="191"/>
      <c r="F42" s="191"/>
      <c r="G42" s="234" t="s">
        <v>447</v>
      </c>
      <c r="H42" s="191"/>
      <c r="I42" s="191"/>
      <c r="J42" s="191"/>
      <c r="M42" s="421"/>
      <c r="O42" s="1465"/>
      <c r="P42" s="1465"/>
    </row>
    <row r="43" spans="1:16" x14ac:dyDescent="0.2">
      <c r="A43" s="191"/>
      <c r="B43" s="191"/>
      <c r="C43" s="191" t="s">
        <v>441</v>
      </c>
      <c r="D43" s="1703"/>
      <c r="E43" s="191"/>
      <c r="F43" s="191"/>
      <c r="G43" s="191"/>
      <c r="H43" s="191" t="s">
        <v>448</v>
      </c>
      <c r="I43" s="191"/>
      <c r="J43" s="1708"/>
      <c r="M43" s="421"/>
      <c r="O43" s="1465" t="s">
        <v>449</v>
      </c>
      <c r="P43" s="1465" t="s">
        <v>450</v>
      </c>
    </row>
    <row r="44" spans="1:16" x14ac:dyDescent="0.2">
      <c r="A44" s="191"/>
      <c r="B44" s="191"/>
      <c r="C44" s="191"/>
      <c r="D44" s="1705"/>
      <c r="E44" s="191"/>
      <c r="G44" s="191"/>
      <c r="H44" s="191" t="s">
        <v>451</v>
      </c>
      <c r="I44" s="191"/>
      <c r="J44" s="1704"/>
      <c r="M44" s="421"/>
      <c r="O44" s="1465" t="s">
        <v>452</v>
      </c>
      <c r="P44" s="1465" t="s">
        <v>453</v>
      </c>
    </row>
    <row r="45" spans="1:16" x14ac:dyDescent="0.2">
      <c r="A45" s="210" t="s">
        <v>454</v>
      </c>
      <c r="B45" s="191"/>
      <c r="C45" s="191"/>
      <c r="D45" s="191"/>
      <c r="E45" s="1705"/>
      <c r="F45" s="210"/>
      <c r="G45" s="191"/>
      <c r="H45" s="191"/>
      <c r="I45" s="191"/>
      <c r="J45" s="191"/>
      <c r="M45" s="421"/>
      <c r="O45" s="1465"/>
      <c r="P45" s="1465"/>
    </row>
    <row r="46" spans="1:16" x14ac:dyDescent="0.2">
      <c r="A46" s="191"/>
      <c r="B46" s="234" t="s">
        <v>455</v>
      </c>
      <c r="C46" s="191"/>
      <c r="D46" s="191"/>
      <c r="E46" s="191"/>
      <c r="F46" s="210" t="s">
        <v>456</v>
      </c>
      <c r="G46" s="191"/>
      <c r="H46" s="191"/>
      <c r="I46" s="191"/>
      <c r="J46" s="191"/>
      <c r="M46" s="421"/>
      <c r="O46" s="1465"/>
      <c r="P46" s="1465"/>
    </row>
    <row r="47" spans="1:16" x14ac:dyDescent="0.2">
      <c r="A47" s="191"/>
      <c r="B47" s="234"/>
      <c r="C47" s="191" t="s">
        <v>457</v>
      </c>
      <c r="D47" s="1703"/>
      <c r="E47" s="1705"/>
      <c r="F47" s="191"/>
      <c r="G47" s="234" t="s">
        <v>458</v>
      </c>
      <c r="H47" s="191"/>
      <c r="I47" s="191"/>
      <c r="J47" s="191"/>
      <c r="M47" s="421"/>
      <c r="O47" s="1465"/>
      <c r="P47" s="1465"/>
    </row>
    <row r="48" spans="1:16" x14ac:dyDescent="0.2">
      <c r="A48" s="191"/>
      <c r="B48" s="234"/>
      <c r="C48" s="191" t="s">
        <v>459</v>
      </c>
      <c r="D48" s="1703"/>
      <c r="E48" s="191"/>
      <c r="F48" s="191"/>
      <c r="G48" s="234"/>
      <c r="H48" s="191" t="s">
        <v>460</v>
      </c>
      <c r="I48" s="191"/>
      <c r="J48" s="1703"/>
      <c r="M48" s="421"/>
      <c r="O48" s="1465" t="s">
        <v>457</v>
      </c>
      <c r="P48" s="1465" t="s">
        <v>460</v>
      </c>
    </row>
    <row r="49" spans="1:16" x14ac:dyDescent="0.2">
      <c r="A49" s="191"/>
      <c r="B49" s="191"/>
      <c r="C49" s="191" t="s">
        <v>461</v>
      </c>
      <c r="D49" s="1703"/>
      <c r="E49" s="1705"/>
      <c r="F49" s="191"/>
      <c r="G49" s="191"/>
      <c r="H49" s="191"/>
      <c r="I49" s="191" t="s">
        <v>462</v>
      </c>
      <c r="J49" s="1704"/>
      <c r="M49" s="421"/>
      <c r="O49" s="1465" t="s">
        <v>459</v>
      </c>
      <c r="P49" s="1465" t="s">
        <v>463</v>
      </c>
    </row>
    <row r="50" spans="1:16" x14ac:dyDescent="0.2">
      <c r="A50" s="191"/>
      <c r="B50" s="191"/>
      <c r="C50" s="191" t="s">
        <v>464</v>
      </c>
      <c r="D50" s="1703"/>
      <c r="E50" s="191"/>
      <c r="G50" s="191"/>
      <c r="H50" s="191" t="s">
        <v>465</v>
      </c>
      <c r="I50" s="191"/>
      <c r="J50" s="1703"/>
      <c r="M50" s="421"/>
      <c r="O50" s="1465" t="s">
        <v>461</v>
      </c>
      <c r="P50" s="1465" t="s">
        <v>465</v>
      </c>
    </row>
    <row r="51" spans="1:16" x14ac:dyDescent="0.2">
      <c r="A51" s="191"/>
      <c r="B51" s="191"/>
      <c r="C51" s="191" t="s">
        <v>466</v>
      </c>
      <c r="D51" s="1703"/>
      <c r="E51" s="191"/>
      <c r="G51" s="191"/>
      <c r="H51" s="191"/>
      <c r="I51" s="191" t="s">
        <v>462</v>
      </c>
      <c r="J51" s="1704"/>
      <c r="M51" s="421"/>
      <c r="O51" s="1465" t="s">
        <v>464</v>
      </c>
      <c r="P51" s="1628" t="s">
        <v>467</v>
      </c>
    </row>
    <row r="52" spans="1:16" x14ac:dyDescent="0.2">
      <c r="A52" s="191"/>
      <c r="B52" s="191"/>
      <c r="C52" s="191" t="s">
        <v>468</v>
      </c>
      <c r="D52" s="1703"/>
      <c r="E52" s="191"/>
      <c r="M52" s="421"/>
      <c r="O52" s="1465" t="s">
        <v>466</v>
      </c>
      <c r="P52" s="1465"/>
    </row>
    <row r="53" spans="1:16" x14ac:dyDescent="0.2">
      <c r="A53" s="191"/>
      <c r="B53" s="191"/>
      <c r="C53" s="191" t="s">
        <v>469</v>
      </c>
      <c r="D53" s="1703"/>
      <c r="E53" s="191"/>
      <c r="M53" s="421"/>
      <c r="O53" s="1465" t="s">
        <v>468</v>
      </c>
      <c r="P53" s="1465"/>
    </row>
    <row r="54" spans="1:16" x14ac:dyDescent="0.2">
      <c r="A54" s="191"/>
      <c r="B54" s="191"/>
      <c r="C54" s="191" t="s">
        <v>470</v>
      </c>
      <c r="D54" s="1703"/>
      <c r="E54" s="1705"/>
      <c r="M54" s="421"/>
      <c r="O54" s="1465" t="s">
        <v>469</v>
      </c>
      <c r="P54" s="1465"/>
    </row>
    <row r="55" spans="1:16" x14ac:dyDescent="0.2">
      <c r="A55" s="191"/>
      <c r="B55" s="191"/>
      <c r="C55" s="191" t="s">
        <v>471</v>
      </c>
      <c r="D55" s="1703"/>
      <c r="E55" s="1705"/>
      <c r="M55" s="421"/>
      <c r="O55" s="1465" t="s">
        <v>470</v>
      </c>
      <c r="P55" s="1465"/>
    </row>
    <row r="56" spans="1:16" x14ac:dyDescent="0.2">
      <c r="A56" s="191"/>
      <c r="B56" s="191"/>
      <c r="C56" s="191" t="s">
        <v>472</v>
      </c>
      <c r="D56" s="1703"/>
      <c r="E56" s="1705"/>
      <c r="M56" s="421"/>
      <c r="O56" s="1465" t="s">
        <v>473</v>
      </c>
      <c r="P56" s="1465"/>
    </row>
    <row r="57" spans="1:16" x14ac:dyDescent="0.2">
      <c r="E57" s="191"/>
      <c r="M57" s="421"/>
      <c r="O57" s="1465" t="s">
        <v>472</v>
      </c>
      <c r="P57" s="1465"/>
    </row>
    <row r="58" spans="1:16" x14ac:dyDescent="0.2">
      <c r="E58" s="191"/>
    </row>
    <row r="59" spans="1:16" x14ac:dyDescent="0.2">
      <c r="B59" s="159" t="s">
        <v>474</v>
      </c>
      <c r="C59" s="191"/>
      <c r="D59" s="191"/>
    </row>
    <row r="60" spans="1:16" x14ac:dyDescent="0.2">
      <c r="A60" s="191"/>
      <c r="M60" s="421"/>
    </row>
    <row r="61" spans="1:16" x14ac:dyDescent="0.2">
      <c r="A61" s="191"/>
      <c r="B61" s="2251"/>
      <c r="C61" s="2251"/>
      <c r="D61" s="2251"/>
      <c r="E61" s="2251"/>
      <c r="F61" s="2251"/>
      <c r="G61" s="2251"/>
      <c r="H61" s="2251"/>
      <c r="I61" s="2251"/>
      <c r="J61" s="2251"/>
      <c r="M61" s="421"/>
    </row>
    <row r="62" spans="1:16" x14ac:dyDescent="0.2">
      <c r="A62" s="191"/>
      <c r="B62" s="2247"/>
      <c r="C62" s="2247"/>
      <c r="D62" s="2247"/>
      <c r="E62" s="2247"/>
      <c r="F62" s="2247"/>
      <c r="G62" s="2247"/>
      <c r="H62" s="2247"/>
      <c r="I62" s="2247"/>
      <c r="J62" s="2247"/>
      <c r="M62" s="421"/>
    </row>
    <row r="63" spans="1:16" x14ac:dyDescent="0.2">
      <c r="A63" s="191"/>
      <c r="B63" s="2247"/>
      <c r="C63" s="2247"/>
      <c r="D63" s="2247"/>
      <c r="E63" s="2247"/>
      <c r="F63" s="2247"/>
      <c r="G63" s="2247"/>
      <c r="H63" s="2247"/>
      <c r="I63" s="2247"/>
      <c r="J63" s="2247"/>
      <c r="M63" s="421"/>
    </row>
    <row r="64" spans="1:16" x14ac:dyDescent="0.2">
      <c r="A64" s="191"/>
      <c r="B64" s="2251"/>
      <c r="C64" s="2251"/>
      <c r="D64" s="2251"/>
      <c r="E64" s="2251"/>
      <c r="F64" s="2247"/>
      <c r="G64" s="2247"/>
      <c r="H64" s="2247"/>
      <c r="I64" s="2247"/>
      <c r="J64" s="2247"/>
      <c r="M64" s="421"/>
    </row>
    <row r="65" spans="2:13" x14ac:dyDescent="0.2">
      <c r="B65" s="2247"/>
      <c r="C65" s="2247"/>
      <c r="D65" s="2247"/>
      <c r="E65" s="2247"/>
      <c r="F65" s="2247"/>
      <c r="G65" s="2247"/>
      <c r="H65" s="2247"/>
      <c r="I65" s="2247"/>
      <c r="J65" s="2247"/>
      <c r="M65" s="423"/>
    </row>
    <row r="66" spans="2:13" x14ac:dyDescent="0.2">
      <c r="B66" s="2247"/>
      <c r="C66" s="2247"/>
      <c r="D66" s="2247"/>
      <c r="E66" s="2247"/>
      <c r="F66" s="2247"/>
      <c r="G66" s="2247"/>
      <c r="H66" s="2247"/>
      <c r="I66" s="2247"/>
      <c r="J66" s="2247"/>
      <c r="M66" s="421"/>
    </row>
    <row r="67" spans="2:13" x14ac:dyDescent="0.2">
      <c r="B67" s="2247"/>
      <c r="C67" s="2247"/>
      <c r="D67" s="2247"/>
      <c r="E67" s="2247"/>
      <c r="F67" s="2247"/>
      <c r="G67" s="2247"/>
      <c r="H67" s="2247"/>
      <c r="I67" s="2247"/>
      <c r="J67" s="2247"/>
      <c r="M67" s="421"/>
    </row>
    <row r="68" spans="2:13" x14ac:dyDescent="0.2">
      <c r="B68" s="2247"/>
      <c r="C68" s="2247"/>
      <c r="D68" s="2247"/>
      <c r="E68" s="2247"/>
      <c r="F68" s="2247"/>
      <c r="G68" s="2247"/>
      <c r="H68" s="2247"/>
      <c r="I68" s="2247"/>
      <c r="J68" s="2247"/>
      <c r="M68" s="421"/>
    </row>
    <row r="69" spans="2:13" x14ac:dyDescent="0.2">
      <c r="B69" s="1380"/>
      <c r="C69" s="1380"/>
      <c r="D69" s="1380"/>
      <c r="E69" s="1380"/>
      <c r="M69" s="421"/>
    </row>
    <row r="70" spans="2:13" x14ac:dyDescent="0.2">
      <c r="B70" s="2332"/>
      <c r="C70" s="2332"/>
      <c r="D70" s="2332"/>
      <c r="E70" s="2332"/>
      <c r="M70" s="421"/>
    </row>
    <row r="71" spans="2:13" x14ac:dyDescent="0.2">
      <c r="B71" s="2332"/>
      <c r="C71" s="2332"/>
      <c r="D71" s="2332"/>
      <c r="E71" s="2332"/>
      <c r="M71" s="421"/>
    </row>
    <row r="72" spans="2:13" x14ac:dyDescent="0.2">
      <c r="M72" s="421"/>
    </row>
    <row r="73" spans="2:13" x14ac:dyDescent="0.2">
      <c r="M73" s="421"/>
    </row>
    <row r="74" spans="2:13" x14ac:dyDescent="0.2">
      <c r="M74" s="421"/>
    </row>
    <row r="75" spans="2:13" x14ac:dyDescent="0.2">
      <c r="M75" s="421"/>
    </row>
    <row r="76" spans="2:13" x14ac:dyDescent="0.2">
      <c r="M76" s="421"/>
    </row>
    <row r="77" spans="2:13" x14ac:dyDescent="0.2">
      <c r="M77" s="421"/>
    </row>
    <row r="78" spans="2:13" x14ac:dyDescent="0.2">
      <c r="M78" s="421"/>
    </row>
    <row r="79" spans="2:13" x14ac:dyDescent="0.2">
      <c r="M79" s="421"/>
    </row>
    <row r="80" spans="2:13" x14ac:dyDescent="0.2">
      <c r="M80" s="421"/>
    </row>
    <row r="81" spans="13:13" x14ac:dyDescent="0.2">
      <c r="M81" s="421"/>
    </row>
    <row r="82" spans="13:13" x14ac:dyDescent="0.2">
      <c r="M82" s="421"/>
    </row>
    <row r="83" spans="13:13" x14ac:dyDescent="0.2">
      <c r="M83" s="421"/>
    </row>
    <row r="84" spans="13:13" x14ac:dyDescent="0.2">
      <c r="M84" s="423"/>
    </row>
    <row r="85" spans="13:13" x14ac:dyDescent="0.2">
      <c r="M85" s="423"/>
    </row>
    <row r="86" spans="13:13" x14ac:dyDescent="0.2">
      <c r="M86" s="421"/>
    </row>
    <row r="87" spans="13:13" x14ac:dyDescent="0.2">
      <c r="M87" s="421"/>
    </row>
    <row r="88" spans="13:13" x14ac:dyDescent="0.2">
      <c r="M88" s="421"/>
    </row>
    <row r="89" spans="13:13" x14ac:dyDescent="0.2">
      <c r="M89" s="421"/>
    </row>
    <row r="90" spans="13:13" x14ac:dyDescent="0.2">
      <c r="M90" s="422"/>
    </row>
    <row r="91" spans="13:13" x14ac:dyDescent="0.2">
      <c r="M91" s="421"/>
    </row>
    <row r="92" spans="13:13" x14ac:dyDescent="0.2">
      <c r="M92" s="422"/>
    </row>
    <row r="93" spans="13:13" x14ac:dyDescent="0.2">
      <c r="M93" s="421"/>
    </row>
    <row r="94" spans="13:13" x14ac:dyDescent="0.2">
      <c r="M94" s="421"/>
    </row>
    <row r="95" spans="13:13" x14ac:dyDescent="0.2">
      <c r="M95" s="421"/>
    </row>
    <row r="96" spans="13:13" x14ac:dyDescent="0.2">
      <c r="M96" s="421"/>
    </row>
    <row r="97" spans="13:13" x14ac:dyDescent="0.2">
      <c r="M97" s="421"/>
    </row>
    <row r="98" spans="13:13" x14ac:dyDescent="0.2">
      <c r="M98" s="421"/>
    </row>
  </sheetData>
  <sheetProtection algorithmName="SHA-512" hashValue="UbHc0H0Y2HEDobX3P8EihYBovRhcy2EHiZWub2aUrpWGi/a/fVHi/9mDxRYUprBcxpu9zSN2ACbLRL9feI05lQ==" saltValue="v8GJeKSm7WZt4mmN2H9bAA==" spinCount="100000" sheet="1" objects="1" scenarios="1" autoFilter="0"/>
  <customSheetViews>
    <customSheetView guid="{9FCFC836-1CA5-48BF-958D-24D2EA94B219}" showGridLines="0" fitToPage="1" topLeftCell="A19">
      <pageMargins left="0" right="0" top="0" bottom="0" header="0" footer="0"/>
      <pageSetup scale="83" orientation="portrait" r:id="rId1"/>
      <headerFooter alignWithMargins="0">
        <oddFooter>&amp;R&amp;A</oddFooter>
      </headerFooter>
    </customSheetView>
    <customSheetView guid="{B08879A4-635B-4C39-9937-AC7883D562FC}" showGridLines="0" fitToPage="1" topLeftCell="A19">
      <pageMargins left="0" right="0" top="0" bottom="0" header="0" footer="0"/>
      <pageSetup scale="83" orientation="portrait" r:id="rId2"/>
      <headerFooter alignWithMargins="0">
        <oddFooter>&amp;R&amp;A</oddFooter>
      </headerFooter>
    </customSheetView>
  </customSheetViews>
  <mergeCells count="4">
    <mergeCell ref="B1:J1"/>
    <mergeCell ref="K1:K3"/>
    <mergeCell ref="B2:J2"/>
    <mergeCell ref="B3:J3"/>
  </mergeCells>
  <phoneticPr fontId="16" type="noConversion"/>
  <conditionalFormatting sqref="K1:K4 K10:K12">
    <cfRule type="cellIs" dxfId="164" priority="1" stopIfTrue="1" operator="equal">
      <formula>"na"</formula>
    </cfRule>
  </conditionalFormatting>
  <dataValidations count="3">
    <dataValidation type="whole" operator="greaterThanOrEqual" allowBlank="1" showInputMessage="1" showErrorMessage="1" errorTitle="Invalid data!" error="Amount must be a positive whole number." sqref="J24:J27 J16 J30:J33 D47:D56 D25 D32:D33 D38:D39 D42:D43 D16:D21 J42 J48 J50 D28 J37:J39" xr:uid="{00000000-0002-0000-0400-000000000000}">
      <formula1>0</formula1>
    </dataValidation>
    <dataValidation type="decimal" allowBlank="1" showInputMessage="1" showErrorMessage="1" errorTitle="Invalid data!" error="Percentage must be between 0% and 100%." sqref="J17 D34 J49 J43:J44 J51" xr:uid="{00000000-0002-0000-0400-000001000000}">
      <formula1>0</formula1>
      <formula2>1</formula2>
    </dataValidation>
    <dataValidation type="decimal" operator="greaterThanOrEqual" allowBlank="1" showInputMessage="1" showErrorMessage="1" errorTitle="Invalid data!" error="Amount must be a positive whole number." sqref="J21" xr:uid="{00000000-0002-0000-0400-000002000000}">
      <formula1>0</formula1>
    </dataValidation>
  </dataValidations>
  <hyperlinks>
    <hyperlink ref="B1:J1" location="Index!A1" display="Index!A1" xr:uid="{00000000-0004-0000-0400-000000000000}"/>
    <hyperlink ref="P51" r:id="rId3" display="https://epm5-a607730.epm.us9.oraclecloud.com/HyperionPlanning/faces/StructureHomeTF/EfsNonFuseNavigator?_adf.ctrl-state=69bzy5h8r_8&amp;_afrLoop=13844347197868236" xr:uid="{3E3FDF5C-6A5D-4166-999F-F2902A9C1FDF}"/>
  </hyperlinks>
  <pageMargins left="0.6" right="0.6" top="0.5" bottom="0.5" header="0.3" footer="0.3"/>
  <pageSetup scale="83"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L57"/>
  <sheetViews>
    <sheetView showGridLines="0" topLeftCell="B1" zoomScaleNormal="100" workbookViewId="0">
      <selection activeCell="D15" sqref="D15:J15"/>
    </sheetView>
  </sheetViews>
  <sheetFormatPr defaultColWidth="9.42578125" defaultRowHeight="12.75" x14ac:dyDescent="0.2"/>
  <cols>
    <col min="1" max="1" width="9.42578125" style="48" hidden="1" customWidth="1"/>
    <col min="2" max="3" width="3.42578125" style="48" customWidth="1"/>
    <col min="4" max="4" width="7.5703125" style="48" customWidth="1"/>
    <col min="5" max="5" width="8.5703125" style="48" customWidth="1"/>
    <col min="6" max="6" width="22.5703125" style="48" customWidth="1"/>
    <col min="7" max="7" width="7.5703125" style="48" customWidth="1"/>
    <col min="8" max="8" width="8.5703125" style="48" customWidth="1"/>
    <col min="9" max="9" width="7.42578125" style="48" customWidth="1"/>
    <col min="10" max="10" width="21.5703125" style="48" customWidth="1"/>
    <col min="11" max="11" width="4.5703125" style="48" customWidth="1"/>
    <col min="12" max="16384" width="9.42578125" style="48"/>
  </cols>
  <sheetData>
    <row r="1" spans="1:12" ht="15.75" x14ac:dyDescent="0.25">
      <c r="A1" s="48" t="str">
        <f t="shared" ref="A1:A10" si="0">AgyIdx</f>
        <v>01</v>
      </c>
      <c r="B1" s="2384" t="str">
        <f>+Index!$A$1</f>
        <v xml:space="preserve">                                                               Office of the State Controller                                                                </v>
      </c>
      <c r="C1" s="2384"/>
      <c r="D1" s="2384"/>
      <c r="E1" s="2384"/>
      <c r="F1" s="2384"/>
      <c r="G1" s="2384"/>
      <c r="H1" s="2384"/>
      <c r="I1" s="2384"/>
      <c r="J1" s="2384"/>
      <c r="K1" s="2450"/>
    </row>
    <row r="2" spans="1:12" ht="15.75" x14ac:dyDescent="0.25">
      <c r="A2" s="48" t="str">
        <f t="shared" si="0"/>
        <v>01</v>
      </c>
      <c r="B2" s="2452" t="str">
        <f>+Index!$A$2</f>
        <v>2023 ACFR Worksheets</v>
      </c>
      <c r="C2" s="2452"/>
      <c r="D2" s="2452"/>
      <c r="E2" s="2452"/>
      <c r="F2" s="2452"/>
      <c r="G2" s="2452"/>
      <c r="H2" s="2452"/>
      <c r="I2" s="2452"/>
      <c r="J2" s="2452"/>
      <c r="K2" s="2450"/>
    </row>
    <row r="3" spans="1:12" ht="15.75" x14ac:dyDescent="0.25">
      <c r="A3" s="48" t="str">
        <f t="shared" si="0"/>
        <v>01</v>
      </c>
      <c r="B3" s="2453" t="s">
        <v>475</v>
      </c>
      <c r="C3" s="2453"/>
      <c r="D3" s="2453"/>
      <c r="E3" s="2453"/>
      <c r="F3" s="2453"/>
      <c r="G3" s="2453"/>
      <c r="H3" s="2453"/>
      <c r="I3" s="2453"/>
      <c r="J3" s="2453"/>
      <c r="K3" s="2450"/>
    </row>
    <row r="4" spans="1:12" ht="12.75" customHeight="1" x14ac:dyDescent="0.2">
      <c r="A4" s="48" t="str">
        <f t="shared" si="0"/>
        <v>01</v>
      </c>
      <c r="B4" s="268"/>
      <c r="C4" s="268"/>
      <c r="D4" s="268"/>
      <c r="E4" s="268"/>
      <c r="F4" s="268"/>
      <c r="G4" s="268"/>
      <c r="H4" s="268"/>
      <c r="I4" s="268"/>
      <c r="J4" s="263"/>
      <c r="K4" s="264"/>
    </row>
    <row r="5" spans="1:12" x14ac:dyDescent="0.2">
      <c r="A5" s="48" t="str">
        <f t="shared" si="0"/>
        <v>01</v>
      </c>
      <c r="B5" s="638"/>
      <c r="C5" s="638"/>
      <c r="D5" s="638"/>
      <c r="E5" s="266"/>
      <c r="F5" s="828"/>
      <c r="G5" s="820" t="s">
        <v>317</v>
      </c>
      <c r="H5" s="821" t="str">
        <f>+Index!$E$10</f>
        <v>01</v>
      </c>
      <c r="I5" s="822"/>
      <c r="J5" s="822"/>
    </row>
    <row r="6" spans="1:12" x14ac:dyDescent="0.2">
      <c r="A6" s="48" t="str">
        <f t="shared" si="0"/>
        <v>01</v>
      </c>
      <c r="B6" s="638"/>
      <c r="C6" s="638"/>
      <c r="D6" s="638"/>
      <c r="E6" s="638"/>
      <c r="F6" s="2217"/>
      <c r="G6" s="820" t="s">
        <v>318</v>
      </c>
      <c r="H6" s="823" t="str">
        <f>AgyName</f>
        <v>North Carolina General Assembly</v>
      </c>
      <c r="I6" s="824"/>
      <c r="J6" s="824"/>
    </row>
    <row r="7" spans="1:12" x14ac:dyDescent="0.2">
      <c r="A7" s="48" t="str">
        <f t="shared" si="0"/>
        <v>01</v>
      </c>
      <c r="B7" s="2458" t="s">
        <v>476</v>
      </c>
      <c r="C7" s="2396"/>
      <c r="D7" s="2396"/>
      <c r="E7" s="819" t="s">
        <v>477</v>
      </c>
      <c r="F7" s="268"/>
      <c r="G7" s="820" t="s">
        <v>319</v>
      </c>
      <c r="H7" s="825"/>
      <c r="I7" s="2339"/>
      <c r="J7" s="2339"/>
    </row>
    <row r="8" spans="1:12" x14ac:dyDescent="0.2">
      <c r="A8" s="48" t="str">
        <f t="shared" si="0"/>
        <v>01</v>
      </c>
      <c r="B8" s="2217"/>
      <c r="C8" s="2217"/>
      <c r="D8" s="828"/>
      <c r="E8" s="268"/>
      <c r="F8" s="268"/>
      <c r="G8" s="820" t="s">
        <v>71</v>
      </c>
      <c r="H8" s="825"/>
      <c r="I8" s="2339"/>
      <c r="J8" s="2339"/>
    </row>
    <row r="9" spans="1:12" ht="10.35" customHeight="1" thickBot="1" x14ac:dyDescent="0.25">
      <c r="A9" s="48" t="str">
        <f t="shared" si="0"/>
        <v>01</v>
      </c>
      <c r="B9" s="829"/>
      <c r="C9" s="829"/>
      <c r="D9" s="829"/>
      <c r="E9" s="829"/>
      <c r="F9" s="829"/>
      <c r="G9" s="829"/>
      <c r="H9" s="829"/>
      <c r="I9" s="829"/>
      <c r="J9" s="829"/>
    </row>
    <row r="10" spans="1:12" ht="9" customHeight="1" x14ac:dyDescent="0.2">
      <c r="A10" s="48" t="str">
        <f t="shared" si="0"/>
        <v>01</v>
      </c>
      <c r="B10" s="2460" t="s">
        <v>478</v>
      </c>
      <c r="C10" s="2460"/>
      <c r="D10" s="2460"/>
      <c r="E10" s="2460"/>
      <c r="F10" s="2460"/>
      <c r="G10" s="2460"/>
      <c r="H10" s="2460"/>
      <c r="I10" s="2460"/>
      <c r="J10" s="2460"/>
    </row>
    <row r="11" spans="1:12" ht="43.5" customHeight="1" x14ac:dyDescent="0.2">
      <c r="B11" s="2461"/>
      <c r="C11" s="2461"/>
      <c r="D11" s="2461"/>
      <c r="E11" s="2461"/>
      <c r="F11" s="2461"/>
      <c r="G11" s="2461"/>
      <c r="H11" s="2461"/>
      <c r="I11" s="2461"/>
      <c r="J11" s="2461"/>
      <c r="K11" s="826"/>
      <c r="L11" s="805"/>
    </row>
    <row r="12" spans="1:12" ht="12.75" customHeight="1" x14ac:dyDescent="0.2">
      <c r="B12" s="723"/>
      <c r="C12" s="723"/>
      <c r="D12" s="723"/>
      <c r="E12" s="723"/>
      <c r="F12" s="723"/>
      <c r="G12" s="723"/>
      <c r="H12" s="723"/>
      <c r="I12" s="723"/>
      <c r="J12" s="723"/>
      <c r="K12" s="826"/>
      <c r="L12" s="805"/>
    </row>
    <row r="13" spans="1:12" ht="12.75" customHeight="1" x14ac:dyDescent="0.2">
      <c r="B13" s="2005" t="s">
        <v>479</v>
      </c>
      <c r="C13" s="2005"/>
      <c r="D13" s="2005"/>
      <c r="E13" s="2005"/>
      <c r="F13" s="2005"/>
      <c r="G13" s="2005"/>
      <c r="H13" s="2005"/>
      <c r="I13" s="2005"/>
      <c r="J13" s="2005"/>
      <c r="K13" s="826"/>
      <c r="L13" s="805"/>
    </row>
    <row r="14" spans="1:12" ht="13.5" customHeight="1" x14ac:dyDescent="0.2">
      <c r="B14" s="2005"/>
      <c r="C14" s="2005"/>
      <c r="D14" s="2005"/>
      <c r="E14" s="2005"/>
      <c r="F14" s="2005"/>
      <c r="G14" s="2005"/>
      <c r="H14" s="2005"/>
      <c r="I14" s="2005"/>
      <c r="J14" s="2005"/>
      <c r="K14" s="826"/>
      <c r="L14" s="805"/>
    </row>
    <row r="15" spans="1:12" ht="25.5" customHeight="1" x14ac:dyDescent="0.2">
      <c r="B15" s="2005"/>
      <c r="C15" s="2006">
        <v>1</v>
      </c>
      <c r="D15" s="2461" t="s">
        <v>480</v>
      </c>
      <c r="E15" s="2461"/>
      <c r="F15" s="2461"/>
      <c r="G15" s="2461"/>
      <c r="H15" s="2461"/>
      <c r="I15" s="2461"/>
      <c r="J15" s="2461"/>
      <c r="K15" s="826"/>
      <c r="L15" s="805"/>
    </row>
    <row r="16" spans="1:12" ht="25.5" customHeight="1" x14ac:dyDescent="0.2">
      <c r="B16" s="2005"/>
      <c r="C16" s="2006">
        <v>2</v>
      </c>
      <c r="D16" s="2461" t="s">
        <v>481</v>
      </c>
      <c r="E16" s="2461"/>
      <c r="F16" s="2461"/>
      <c r="G16" s="2461"/>
      <c r="H16" s="2461"/>
      <c r="I16" s="2461"/>
      <c r="J16" s="2461"/>
      <c r="K16" s="826"/>
      <c r="L16" s="805"/>
    </row>
    <row r="17" spans="2:12" ht="15.75" customHeight="1" x14ac:dyDescent="0.2">
      <c r="B17" s="2005"/>
      <c r="C17" s="2006">
        <v>3</v>
      </c>
      <c r="D17" s="2461" t="s">
        <v>482</v>
      </c>
      <c r="E17" s="2461"/>
      <c r="F17" s="2461"/>
      <c r="G17" s="2461"/>
      <c r="H17" s="2461"/>
      <c r="I17" s="2461"/>
      <c r="J17" s="2461"/>
      <c r="K17" s="826"/>
      <c r="L17" s="805"/>
    </row>
    <row r="18" spans="2:12" ht="12.75" customHeight="1" x14ac:dyDescent="0.2">
      <c r="B18" s="2005"/>
      <c r="C18" s="2006">
        <v>4</v>
      </c>
      <c r="D18" s="2461" t="s">
        <v>483</v>
      </c>
      <c r="E18" s="2461"/>
      <c r="F18" s="2461"/>
      <c r="G18" s="2461"/>
      <c r="H18" s="2461"/>
      <c r="I18" s="2461"/>
      <c r="J18" s="2461"/>
      <c r="K18" s="826"/>
      <c r="L18" s="805"/>
    </row>
    <row r="19" spans="2:12" ht="12.75" customHeight="1" x14ac:dyDescent="0.2">
      <c r="B19" s="723"/>
      <c r="C19" s="723"/>
      <c r="D19" s="723"/>
      <c r="E19" s="723"/>
      <c r="F19" s="723"/>
      <c r="G19" s="723"/>
      <c r="H19" s="723"/>
      <c r="I19" s="723"/>
      <c r="J19" s="723"/>
      <c r="K19" s="826"/>
      <c r="L19" s="805"/>
    </row>
    <row r="20" spans="2:12" s="50" customFormat="1" ht="12.75" customHeight="1" x14ac:dyDescent="0.25">
      <c r="B20" s="723" t="s">
        <v>484</v>
      </c>
      <c r="C20" s="637"/>
      <c r="D20" s="638"/>
      <c r="E20" s="638"/>
      <c r="F20" s="638"/>
      <c r="G20" s="638"/>
      <c r="H20" s="638"/>
      <c r="I20" s="638"/>
      <c r="J20" s="638"/>
      <c r="K20" s="48"/>
    </row>
    <row r="21" spans="2:12" s="50" customFormat="1" ht="12.75" customHeight="1" x14ac:dyDescent="0.25">
      <c r="B21" s="723" t="s">
        <v>485</v>
      </c>
      <c r="C21" s="637"/>
      <c r="D21" s="638"/>
      <c r="E21" s="638"/>
      <c r="F21" s="638"/>
      <c r="G21" s="638"/>
      <c r="H21" s="638"/>
      <c r="I21" s="638"/>
      <c r="J21" s="638"/>
      <c r="K21" s="48"/>
    </row>
    <row r="22" spans="2:12" s="50" customFormat="1" ht="12.75" customHeight="1" x14ac:dyDescent="0.25">
      <c r="B22" s="637"/>
      <c r="C22" s="637"/>
      <c r="D22" s="638"/>
      <c r="E22" s="638"/>
      <c r="F22" s="638"/>
      <c r="G22" s="638"/>
      <c r="H22" s="638"/>
      <c r="I22" s="638"/>
      <c r="J22" s="638"/>
      <c r="K22" s="48"/>
    </row>
    <row r="23" spans="2:12" s="50" customFormat="1" ht="12.75" customHeight="1" x14ac:dyDescent="0.25">
      <c r="B23" s="637"/>
      <c r="C23" s="637"/>
      <c r="D23" s="639" t="s">
        <v>339</v>
      </c>
      <c r="E23" s="845"/>
      <c r="F23" s="2209" t="str">
        <f>IF(AND(ISBLANK(E23),ISBLANK(E24))=TRUE,"Answer Missing"," ")</f>
        <v>Answer Missing</v>
      </c>
      <c r="G23" s="638"/>
      <c r="H23" s="638"/>
      <c r="I23" s="638"/>
      <c r="J23" s="638"/>
      <c r="K23" s="48"/>
    </row>
    <row r="24" spans="2:12" s="50" customFormat="1" ht="12.75" customHeight="1" x14ac:dyDescent="0.25">
      <c r="B24" s="637"/>
      <c r="C24" s="637"/>
      <c r="D24" s="639" t="s">
        <v>340</v>
      </c>
      <c r="E24" s="845"/>
      <c r="F24" s="638"/>
      <c r="G24" s="638"/>
      <c r="H24" s="638"/>
      <c r="I24" s="638"/>
      <c r="J24" s="638"/>
      <c r="K24" s="48"/>
    </row>
    <row r="25" spans="2:12" s="50" customFormat="1" ht="12.75" customHeight="1" x14ac:dyDescent="0.25">
      <c r="B25" s="637"/>
      <c r="C25" s="637"/>
      <c r="D25" s="638"/>
      <c r="E25" s="638"/>
      <c r="F25" s="638"/>
      <c r="G25" s="638"/>
      <c r="H25" s="638"/>
      <c r="I25" s="638"/>
      <c r="J25" s="638"/>
      <c r="K25" s="48"/>
    </row>
    <row r="26" spans="2:12" s="50" customFormat="1" ht="12.75" customHeight="1" x14ac:dyDescent="0.25">
      <c r="B26" s="827" t="s">
        <v>486</v>
      </c>
      <c r="C26" s="637"/>
      <c r="D26" s="638"/>
      <c r="E26" s="638"/>
      <c r="F26" s="638"/>
      <c r="G26" s="638"/>
      <c r="H26" s="638"/>
      <c r="I26" s="638"/>
      <c r="J26" s="638"/>
      <c r="K26" s="48"/>
    </row>
    <row r="27" spans="2:12" ht="12.75" customHeight="1" x14ac:dyDescent="0.2">
      <c r="B27" s="723" t="s">
        <v>487</v>
      </c>
      <c r="C27" s="160"/>
      <c r="D27" s="160"/>
      <c r="E27" s="160"/>
      <c r="F27" s="160"/>
      <c r="G27" s="160"/>
      <c r="H27" s="160"/>
      <c r="I27" s="160"/>
      <c r="J27" s="638"/>
    </row>
    <row r="28" spans="2:12" ht="12.75" customHeight="1" x14ac:dyDescent="0.2">
      <c r="B28" s="723" t="s">
        <v>488</v>
      </c>
      <c r="C28" s="160"/>
      <c r="D28" s="160"/>
      <c r="E28" s="160"/>
      <c r="F28" s="160"/>
      <c r="G28" s="160"/>
      <c r="H28" s="160"/>
      <c r="I28" s="160"/>
      <c r="J28" s="638"/>
    </row>
    <row r="29" spans="2:12" ht="12.75" customHeight="1" x14ac:dyDescent="0.2">
      <c r="B29" s="723"/>
      <c r="C29" s="723"/>
      <c r="D29" s="723"/>
      <c r="E29" s="723"/>
      <c r="F29" s="723"/>
      <c r="G29" s="723"/>
      <c r="H29" s="723"/>
      <c r="I29" s="723"/>
      <c r="J29" s="723"/>
      <c r="K29" s="826"/>
      <c r="L29" s="805"/>
    </row>
    <row r="30" spans="2:12" s="50" customFormat="1" ht="66" customHeight="1" x14ac:dyDescent="0.25">
      <c r="B30" s="2459" t="s">
        <v>489</v>
      </c>
      <c r="C30" s="2459"/>
      <c r="D30" s="2459"/>
      <c r="E30" s="2459"/>
      <c r="F30" s="2459"/>
      <c r="G30" s="2459"/>
      <c r="H30" s="2459"/>
      <c r="I30" s="2459"/>
      <c r="J30" s="2459"/>
      <c r="K30" s="48"/>
    </row>
    <row r="31" spans="2:12" s="50" customFormat="1" ht="11.45" customHeight="1" x14ac:dyDescent="0.25">
      <c r="B31" s="723"/>
      <c r="C31" s="637"/>
      <c r="D31" s="638"/>
      <c r="E31" s="638"/>
      <c r="F31" s="638"/>
      <c r="G31" s="638"/>
      <c r="H31" s="638"/>
      <c r="I31" s="638"/>
      <c r="J31" s="638"/>
      <c r="K31" s="48"/>
    </row>
    <row r="32" spans="2:12" s="50" customFormat="1" ht="15.75" customHeight="1" x14ac:dyDescent="0.25">
      <c r="B32" s="637" t="s">
        <v>490</v>
      </c>
      <c r="C32" s="637"/>
      <c r="D32" s="638"/>
      <c r="E32" s="638"/>
      <c r="F32" s="638"/>
      <c r="G32" s="638"/>
      <c r="H32" s="638"/>
      <c r="I32" s="638"/>
      <c r="J32" s="638"/>
      <c r="K32" s="48"/>
    </row>
    <row r="33" spans="1:12" x14ac:dyDescent="0.2">
      <c r="B33" s="2009" t="s">
        <v>491</v>
      </c>
      <c r="C33" s="2009"/>
      <c r="D33" s="2009"/>
      <c r="E33" s="2009"/>
      <c r="F33" s="2009"/>
    </row>
    <row r="34" spans="1:12" ht="14.1" customHeight="1" x14ac:dyDescent="0.2">
      <c r="B34" s="716"/>
      <c r="C34" s="160"/>
      <c r="D34" s="160"/>
      <c r="E34" s="160"/>
      <c r="F34" s="160"/>
      <c r="G34" s="160"/>
      <c r="H34" s="160"/>
      <c r="I34" s="160"/>
      <c r="J34" s="160"/>
      <c r="K34" s="160"/>
      <c r="L34" s="160"/>
    </row>
    <row r="35" spans="1:12" ht="14.25" customHeight="1" x14ac:dyDescent="0.2">
      <c r="B35" s="716"/>
      <c r="C35" s="716"/>
      <c r="D35" s="537"/>
      <c r="E35" s="537"/>
      <c r="F35" s="537"/>
      <c r="G35" s="537"/>
      <c r="H35" s="537"/>
      <c r="I35" s="537"/>
      <c r="J35" s="537"/>
    </row>
    <row r="36" spans="1:12" ht="12" customHeight="1" x14ac:dyDescent="0.2">
      <c r="B36" s="716"/>
      <c r="C36" s="716"/>
      <c r="D36" s="537"/>
      <c r="E36" s="537"/>
      <c r="F36" s="537"/>
      <c r="G36" s="537"/>
      <c r="H36" s="537"/>
      <c r="I36" s="537"/>
      <c r="J36" s="537"/>
    </row>
    <row r="37" spans="1:12" x14ac:dyDescent="0.2">
      <c r="B37" s="716"/>
      <c r="C37" s="716"/>
      <c r="D37" s="537"/>
      <c r="E37" s="537"/>
      <c r="F37" s="537"/>
      <c r="G37" s="537"/>
      <c r="H37" s="537"/>
      <c r="I37" s="537"/>
      <c r="J37" s="537"/>
    </row>
    <row r="38" spans="1:12" x14ac:dyDescent="0.2">
      <c r="B38" s="716"/>
      <c r="C38" s="716"/>
      <c r="D38" s="537"/>
      <c r="E38" s="537"/>
      <c r="F38" s="537"/>
      <c r="G38" s="537"/>
      <c r="H38" s="537"/>
      <c r="I38" s="537"/>
      <c r="J38" s="537"/>
    </row>
    <row r="39" spans="1:12" ht="16.5" customHeight="1" x14ac:dyDescent="0.2">
      <c r="B39" s="716"/>
      <c r="C39" s="716"/>
      <c r="D39" s="537"/>
      <c r="E39" s="537"/>
      <c r="F39" s="537"/>
      <c r="G39" s="537"/>
      <c r="H39" s="537"/>
      <c r="I39" s="537"/>
      <c r="J39" s="537"/>
    </row>
    <row r="40" spans="1:12" ht="5.0999999999999996" customHeight="1" x14ac:dyDescent="0.2">
      <c r="B40" s="716"/>
      <c r="C40" s="716"/>
      <c r="D40" s="537"/>
      <c r="E40" s="537"/>
      <c r="F40" s="537"/>
      <c r="G40" s="537"/>
      <c r="H40" s="537"/>
      <c r="I40" s="537"/>
      <c r="J40" s="537"/>
    </row>
    <row r="41" spans="1:12" x14ac:dyDescent="0.2">
      <c r="B41" s="716"/>
      <c r="C41" s="716"/>
      <c r="D41" s="537"/>
      <c r="E41" s="537"/>
      <c r="F41" s="537"/>
      <c r="G41" s="537"/>
      <c r="H41" s="537"/>
      <c r="I41" s="537"/>
      <c r="J41" s="537"/>
    </row>
    <row r="42" spans="1:12" x14ac:dyDescent="0.2">
      <c r="B42" s="716"/>
      <c r="C42" s="716"/>
      <c r="D42" s="537"/>
      <c r="E42" s="537"/>
      <c r="F42" s="537"/>
      <c r="G42" s="537"/>
      <c r="H42" s="537"/>
      <c r="I42" s="537"/>
      <c r="J42" s="537"/>
    </row>
    <row r="43" spans="1:12" x14ac:dyDescent="0.2">
      <c r="B43" s="716"/>
      <c r="C43" s="716"/>
      <c r="D43" s="537"/>
      <c r="E43" s="537"/>
      <c r="F43" s="537"/>
      <c r="G43" s="537"/>
      <c r="H43" s="537"/>
      <c r="I43" s="537"/>
      <c r="J43" s="537"/>
    </row>
    <row r="44" spans="1:12" ht="16.5" customHeight="1" x14ac:dyDescent="0.2">
      <c r="B44" s="716"/>
      <c r="C44" s="716"/>
      <c r="D44" s="537"/>
      <c r="E44" s="537"/>
      <c r="F44" s="537"/>
      <c r="G44" s="537"/>
      <c r="H44" s="537"/>
      <c r="I44" s="537"/>
      <c r="J44" s="537"/>
    </row>
    <row r="45" spans="1:12" ht="11.1" customHeight="1" x14ac:dyDescent="0.2">
      <c r="B45" s="716"/>
      <c r="C45" s="716"/>
      <c r="D45" s="537"/>
      <c r="E45" s="537"/>
      <c r="F45" s="537"/>
      <c r="G45" s="537"/>
      <c r="H45" s="537"/>
      <c r="I45" s="537"/>
      <c r="J45" s="537"/>
    </row>
    <row r="46" spans="1:12" x14ac:dyDescent="0.2">
      <c r="A46" s="48" t="str">
        <f>AgyIdx</f>
        <v>01</v>
      </c>
      <c r="B46" s="716"/>
      <c r="C46" s="716"/>
      <c r="D46" s="537"/>
      <c r="E46" s="537"/>
      <c r="F46" s="537"/>
      <c r="G46" s="537"/>
      <c r="H46" s="537"/>
      <c r="I46" s="537"/>
      <c r="J46" s="537"/>
    </row>
    <row r="47" spans="1:12" ht="15" x14ac:dyDescent="0.2">
      <c r="A47" s="445" t="str">
        <f ca="1">MID(CELL("filename",A1),FIND("]",CELL("filename",A1))+1,256)</f>
        <v>110</v>
      </c>
      <c r="B47" s="716" t="str">
        <f t="shared" ref="B47:B56" ca="1" si="1">IF(ISNA(INDEX(ErrorTable,MATCH($A$47&amp;$A48&amp;FALSE,ErrorKey,0),6)),"",INDEX(ErrorTable,MATCH($A$47&amp;$A48&amp;FALSE,ErrorKey,0),6))</f>
        <v/>
      </c>
      <c r="C47" s="716"/>
      <c r="D47" s="537"/>
      <c r="E47" s="537"/>
      <c r="F47" s="537"/>
      <c r="G47" s="537"/>
      <c r="H47" s="537"/>
      <c r="I47" s="537"/>
      <c r="J47" s="537"/>
    </row>
    <row r="48" spans="1:12" ht="15" x14ac:dyDescent="0.2">
      <c r="A48" s="445" t="s">
        <v>380</v>
      </c>
      <c r="B48" s="716" t="str">
        <f t="shared" ca="1" si="1"/>
        <v/>
      </c>
      <c r="C48" s="716"/>
      <c r="D48" s="537"/>
      <c r="E48" s="537"/>
      <c r="F48" s="537"/>
      <c r="G48" s="537"/>
      <c r="H48" s="537"/>
      <c r="I48" s="537"/>
      <c r="J48" s="537"/>
    </row>
    <row r="49" spans="1:10" ht="15" x14ac:dyDescent="0.2">
      <c r="A49" s="445" t="s">
        <v>381</v>
      </c>
      <c r="B49" s="716" t="str">
        <f t="shared" ca="1" si="1"/>
        <v/>
      </c>
      <c r="C49" s="716"/>
      <c r="D49" s="537"/>
      <c r="E49" s="537"/>
      <c r="F49" s="537"/>
      <c r="G49" s="537"/>
      <c r="H49" s="537"/>
      <c r="I49" s="537"/>
      <c r="J49" s="537"/>
    </row>
    <row r="50" spans="1:10" ht="15" x14ac:dyDescent="0.2">
      <c r="A50" s="445" t="s">
        <v>382</v>
      </c>
      <c r="B50" s="445" t="str">
        <f t="shared" ca="1" si="1"/>
        <v/>
      </c>
      <c r="C50" s="716"/>
      <c r="D50" s="537"/>
      <c r="E50" s="537"/>
      <c r="F50" s="537"/>
      <c r="G50" s="537"/>
      <c r="H50" s="537"/>
      <c r="I50" s="537"/>
      <c r="J50" s="537"/>
    </row>
    <row r="51" spans="1:10" ht="15" x14ac:dyDescent="0.2">
      <c r="A51" s="445" t="s">
        <v>383</v>
      </c>
      <c r="B51" s="445" t="str">
        <f t="shared" ca="1" si="1"/>
        <v/>
      </c>
      <c r="C51" s="445"/>
    </row>
    <row r="52" spans="1:10" ht="15" x14ac:dyDescent="0.2">
      <c r="A52" s="445" t="s">
        <v>384</v>
      </c>
      <c r="B52" s="445" t="str">
        <f t="shared" ca="1" si="1"/>
        <v/>
      </c>
      <c r="C52" s="445"/>
    </row>
    <row r="53" spans="1:10" ht="15" x14ac:dyDescent="0.2">
      <c r="A53" s="445" t="s">
        <v>385</v>
      </c>
      <c r="B53" s="445" t="str">
        <f t="shared" ca="1" si="1"/>
        <v/>
      </c>
      <c r="C53" s="445"/>
    </row>
    <row r="54" spans="1:10" ht="15" x14ac:dyDescent="0.2">
      <c r="A54" s="445" t="s">
        <v>386</v>
      </c>
      <c r="B54" s="445" t="str">
        <f t="shared" ca="1" si="1"/>
        <v/>
      </c>
      <c r="C54" s="445"/>
    </row>
    <row r="55" spans="1:10" ht="15" x14ac:dyDescent="0.2">
      <c r="A55" s="445" t="s">
        <v>387</v>
      </c>
      <c r="B55" s="445" t="str">
        <f t="shared" ca="1" si="1"/>
        <v/>
      </c>
      <c r="C55" s="445"/>
    </row>
    <row r="56" spans="1:10" ht="15" x14ac:dyDescent="0.2">
      <c r="A56" s="445" t="s">
        <v>388</v>
      </c>
      <c r="B56" s="445" t="str">
        <f t="shared" ca="1" si="1"/>
        <v/>
      </c>
      <c r="C56" s="445"/>
    </row>
    <row r="57" spans="1:10" ht="15" x14ac:dyDescent="0.2">
      <c r="A57" s="445" t="s">
        <v>389</v>
      </c>
      <c r="C57" s="445"/>
    </row>
  </sheetData>
  <sheetProtection algorithmName="SHA-512" hashValue="N7V71KXQzCtClnOHqAW/3eewa4xRSbvuXjyqW5j/7sFTQMx2ndSKUecbueIVd1kGEIMy+XivRm0iETPOsakWKw==" saltValue="7UyMKjjpVcV/Jdok+Jw+9Q==" spinCount="100000" sheet="1" objects="1" scenarios="1" autoFilter="0"/>
  <mergeCells count="11">
    <mergeCell ref="B30:J30"/>
    <mergeCell ref="B10:J11"/>
    <mergeCell ref="D15:J15"/>
    <mergeCell ref="D16:J16"/>
    <mergeCell ref="D17:J17"/>
    <mergeCell ref="D18:J18"/>
    <mergeCell ref="B7:D7"/>
    <mergeCell ref="B1:J1"/>
    <mergeCell ref="K1:K3"/>
    <mergeCell ref="B2:J2"/>
    <mergeCell ref="B3:J3"/>
  </mergeCells>
  <conditionalFormatting sqref="F23">
    <cfRule type="containsText" dxfId="163" priority="1" stopIfTrue="1" operator="containsText" text="Answer Missing">
      <formula>NOT(ISERROR(SEARCH("Answer Missing",F23)))</formula>
    </cfRule>
  </conditionalFormatting>
  <conditionalFormatting sqref="K1:K3">
    <cfRule type="cellIs" dxfId="162" priority="2" stopIfTrue="1" operator="equal">
      <formula>"na"</formula>
    </cfRule>
  </conditionalFormatting>
  <hyperlinks>
    <hyperlink ref="B1:J1" location="Index!A1" display="Index!A1" xr:uid="{00000000-0004-0000-0500-000000000000}"/>
    <hyperlink ref="B33:F33" r:id="rId1" display="Financial Reporting Update for GASB 94" xr:uid="{CC07DA2D-5AC9-4834-BBBF-42894704F993}"/>
  </hyperlinks>
  <pageMargins left="0.6" right="0.6" top="0.5" bottom="0.5" header="0.3" footer="0.3"/>
  <pageSetup scale="8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4387-FB9A-4E3A-BA72-D902B4AA95AF}">
  <sheetPr codeName="Sheet20">
    <pageSetUpPr fitToPage="1"/>
  </sheetPr>
  <dimension ref="A1:U104"/>
  <sheetViews>
    <sheetView showGridLines="0" topLeftCell="B1" zoomScaleNormal="100" zoomScaleSheetLayoutView="100" workbookViewId="0">
      <selection activeCell="C32" sqref="C32"/>
    </sheetView>
  </sheetViews>
  <sheetFormatPr defaultColWidth="9.42578125" defaultRowHeight="12.75" x14ac:dyDescent="0.2"/>
  <cols>
    <col min="1" max="1" width="9.42578125" style="48" hidden="1" customWidth="1"/>
    <col min="2" max="2" width="3.42578125" style="48" customWidth="1"/>
    <col min="3" max="3" width="12.42578125" style="48" customWidth="1"/>
    <col min="4" max="4" width="3.42578125" style="48" customWidth="1"/>
    <col min="5" max="5" width="13.5703125" style="48" bestFit="1" customWidth="1"/>
    <col min="6" max="6" width="2.42578125" style="48" customWidth="1"/>
    <col min="7" max="7" width="11.5703125" style="48" customWidth="1"/>
    <col min="8" max="8" width="2.42578125" style="48" customWidth="1"/>
    <col min="9" max="9" width="13" style="48" customWidth="1"/>
    <col min="10" max="10" width="2.42578125" style="48" customWidth="1"/>
    <col min="11" max="11" width="9.42578125" style="48"/>
    <col min="12" max="12" width="2.42578125" style="48" customWidth="1"/>
    <col min="13" max="13" width="13" style="48" customWidth="1"/>
    <col min="14" max="14" width="2.42578125" style="48" customWidth="1"/>
    <col min="15" max="15" width="13.42578125" style="48" customWidth="1"/>
    <col min="16" max="16" width="2.42578125" style="48" customWidth="1"/>
    <col min="17" max="17" width="13" style="48" customWidth="1"/>
    <col min="18" max="18" width="2.5703125" style="48" customWidth="1"/>
    <col min="19" max="19" width="5.42578125" style="48" customWidth="1"/>
    <col min="20" max="20" width="16.5703125" style="48" bestFit="1" customWidth="1"/>
    <col min="21" max="16384" width="9.42578125" style="48"/>
  </cols>
  <sheetData>
    <row r="1" spans="2:21" ht="25.15" customHeight="1" x14ac:dyDescent="0.2">
      <c r="B1" s="1305" t="str">
        <f>+Index!$A$1</f>
        <v xml:space="preserve">                                                               Office of the State Controller                                                                </v>
      </c>
      <c r="C1" s="1305"/>
      <c r="D1" s="1305"/>
      <c r="E1" s="1305"/>
      <c r="F1" s="1305"/>
      <c r="G1" s="1305"/>
      <c r="H1" s="1305"/>
      <c r="I1" s="1305"/>
      <c r="J1" s="1305"/>
      <c r="K1" s="1305"/>
      <c r="L1" s="1305"/>
      <c r="M1" s="1306"/>
      <c r="N1" s="1306"/>
      <c r="O1" s="1306"/>
      <c r="P1" s="1306"/>
      <c r="Q1" s="1306"/>
      <c r="S1" s="2464"/>
      <c r="T1" s="2215" t="str">
        <f>IF(Index!$B$22="na","NA","")</f>
        <v/>
      </c>
    </row>
    <row r="2" spans="2:21" ht="13.15" customHeight="1" x14ac:dyDescent="0.2">
      <c r="B2" s="1307" t="str">
        <f>+Index!$A$2</f>
        <v>2023 ACFR Worksheets</v>
      </c>
      <c r="C2" s="1307"/>
      <c r="D2" s="1307"/>
      <c r="E2" s="1307"/>
      <c r="F2" s="1307"/>
      <c r="G2" s="1307"/>
      <c r="H2" s="1307"/>
      <c r="I2" s="1307"/>
      <c r="J2" s="1307"/>
      <c r="K2" s="1307"/>
      <c r="L2" s="1307"/>
      <c r="M2" s="1306"/>
      <c r="N2" s="1306"/>
      <c r="O2" s="1306"/>
      <c r="P2" s="1306"/>
      <c r="Q2" s="1306"/>
      <c r="S2" s="2464"/>
      <c r="T2" s="881"/>
    </row>
    <row r="3" spans="2:21" ht="13.15" customHeight="1" x14ac:dyDescent="0.2">
      <c r="B3" s="268" t="s">
        <v>492</v>
      </c>
      <c r="C3" s="268"/>
      <c r="D3" s="268"/>
      <c r="E3" s="268"/>
      <c r="F3" s="268"/>
      <c r="G3" s="268"/>
      <c r="H3" s="268"/>
      <c r="I3" s="268"/>
      <c r="J3" s="268"/>
      <c r="K3" s="268"/>
      <c r="L3" s="268"/>
      <c r="M3" s="1306"/>
      <c r="N3" s="1306"/>
      <c r="O3" s="1306"/>
      <c r="P3" s="1306"/>
      <c r="Q3" s="1306"/>
      <c r="S3" s="2464"/>
      <c r="T3" s="881"/>
    </row>
    <row r="4" spans="2:21" x14ac:dyDescent="0.2">
      <c r="B4" s="268" t="s">
        <v>493</v>
      </c>
      <c r="C4" s="268"/>
      <c r="D4" s="268"/>
      <c r="E4" s="268"/>
      <c r="F4" s="268"/>
      <c r="G4" s="268"/>
      <c r="H4" s="268"/>
      <c r="I4" s="1306"/>
      <c r="J4" s="1306"/>
      <c r="K4" s="268"/>
      <c r="L4" s="268"/>
      <c r="M4" s="1306"/>
      <c r="N4" s="1306"/>
      <c r="O4" s="1306"/>
      <c r="P4" s="1306"/>
      <c r="Q4" s="1306"/>
    </row>
    <row r="5" spans="2:21" x14ac:dyDescent="0.2">
      <c r="B5" s="268" t="s">
        <v>494</v>
      </c>
      <c r="C5" s="268"/>
      <c r="D5" s="268"/>
      <c r="E5" s="268"/>
      <c r="F5" s="268"/>
      <c r="G5" s="268"/>
      <c r="H5" s="268"/>
      <c r="I5" s="1306"/>
      <c r="J5" s="1306"/>
      <c r="K5" s="268"/>
      <c r="L5" s="268"/>
      <c r="M5" s="1306"/>
      <c r="N5" s="1306"/>
      <c r="O5" s="1306"/>
      <c r="P5" s="1306"/>
      <c r="Q5" s="1306"/>
    </row>
    <row r="6" spans="2:21" ht="12.75" customHeight="1" x14ac:dyDescent="0.2">
      <c r="B6" s="268"/>
      <c r="C6" s="268"/>
      <c r="D6" s="268"/>
      <c r="E6" s="268"/>
      <c r="F6" s="268"/>
      <c r="G6" s="268"/>
      <c r="H6" s="268"/>
      <c r="I6" s="268"/>
      <c r="J6" s="268"/>
      <c r="K6" s="1308"/>
      <c r="L6" s="1308"/>
      <c r="M6" s="1306"/>
      <c r="N6" s="1306"/>
      <c r="O6" s="1306"/>
      <c r="P6" s="1306"/>
      <c r="Q6" s="1306"/>
    </row>
    <row r="7" spans="2:21" x14ac:dyDescent="0.2">
      <c r="B7" s="1271" t="s">
        <v>495</v>
      </c>
      <c r="C7" s="1271"/>
      <c r="D7" s="268"/>
      <c r="E7" s="268"/>
      <c r="F7" s="268"/>
      <c r="M7" s="2264" t="s">
        <v>317</v>
      </c>
      <c r="N7" s="2264"/>
      <c r="O7" s="2454" t="str">
        <f>AgyIdx</f>
        <v>01</v>
      </c>
      <c r="P7" s="2454"/>
      <c r="Q7" s="2454"/>
    </row>
    <row r="8" spans="2:21" x14ac:dyDescent="0.2">
      <c r="B8" s="1306"/>
      <c r="C8" s="1306"/>
      <c r="D8" s="1306"/>
      <c r="E8" s="1271"/>
      <c r="F8" s="268"/>
      <c r="M8" s="2264" t="s">
        <v>318</v>
      </c>
      <c r="N8" s="2264"/>
      <c r="O8" s="2451" t="str">
        <f>AgyName</f>
        <v>North Carolina General Assembly</v>
      </c>
      <c r="P8" s="2451"/>
      <c r="Q8" s="2451"/>
    </row>
    <row r="9" spans="2:21" x14ac:dyDescent="0.2">
      <c r="B9" s="1271"/>
      <c r="C9" s="268"/>
      <c r="D9" s="268"/>
      <c r="E9" s="268"/>
      <c r="F9" s="268"/>
      <c r="M9" s="2264" t="s">
        <v>319</v>
      </c>
      <c r="N9" s="2264"/>
      <c r="O9" s="2465" t="str">
        <f>CONCATENATE(Index!$E$12," ",Index!$E$14)</f>
        <v xml:space="preserve"> </v>
      </c>
      <c r="P9" s="2465"/>
      <c r="Q9" s="2465"/>
      <c r="R9" s="1272"/>
      <c r="S9" s="1272"/>
      <c r="T9" s="1272"/>
      <c r="U9" s="1272"/>
    </row>
    <row r="10" spans="2:21" x14ac:dyDescent="0.2">
      <c r="B10" s="1271"/>
      <c r="C10" s="268"/>
      <c r="D10" s="268"/>
      <c r="E10" s="268"/>
      <c r="F10" s="268"/>
      <c r="M10" s="2264" t="s">
        <v>71</v>
      </c>
      <c r="N10" s="2264"/>
      <c r="O10" s="2465">
        <f>+Index!$E$13</f>
        <v>0</v>
      </c>
      <c r="P10" s="2465"/>
      <c r="Q10" s="2465"/>
    </row>
    <row r="11" spans="2:21" ht="6" customHeight="1" thickBot="1" x14ac:dyDescent="0.25">
      <c r="B11" s="1309"/>
      <c r="C11" s="1309"/>
      <c r="D11" s="1309"/>
      <c r="E11" s="1309"/>
      <c r="F11" s="1309"/>
      <c r="G11" s="1309"/>
      <c r="H11" s="1309"/>
      <c r="I11" s="1309"/>
      <c r="J11" s="1309"/>
      <c r="K11" s="1309"/>
      <c r="L11" s="1309"/>
      <c r="M11" s="1306"/>
      <c r="N11" s="1306"/>
      <c r="O11" s="1306"/>
      <c r="P11" s="1306"/>
      <c r="Q11" s="1306"/>
    </row>
    <row r="12" spans="2:21" ht="12" customHeight="1" x14ac:dyDescent="0.2">
      <c r="B12" s="268"/>
      <c r="C12" s="268"/>
      <c r="D12" s="268"/>
      <c r="E12" s="268"/>
      <c r="F12" s="268"/>
      <c r="G12" s="268"/>
      <c r="H12" s="268"/>
      <c r="I12" s="268"/>
      <c r="J12" s="268"/>
      <c r="K12" s="268"/>
      <c r="L12" s="268"/>
      <c r="M12" s="1273"/>
      <c r="N12" s="1273"/>
      <c r="O12" s="1273"/>
      <c r="P12" s="1273"/>
      <c r="Q12" s="1273"/>
      <c r="R12" s="638"/>
      <c r="S12" s="1274"/>
    </row>
    <row r="13" spans="2:21" ht="12" customHeight="1" x14ac:dyDescent="0.2">
      <c r="B13" s="637" t="s">
        <v>320</v>
      </c>
      <c r="C13" s="638" t="s">
        <v>496</v>
      </c>
      <c r="D13" s="638"/>
      <c r="E13" s="638"/>
      <c r="F13" s="638"/>
      <c r="G13" s="638"/>
      <c r="H13" s="638"/>
      <c r="I13" s="638"/>
      <c r="J13" s="638"/>
      <c r="K13" s="638"/>
      <c r="L13" s="638"/>
      <c r="M13" s="638"/>
      <c r="N13" s="638"/>
      <c r="O13" s="638"/>
      <c r="P13" s="638"/>
      <c r="Q13" s="638"/>
      <c r="R13" s="638"/>
      <c r="S13" s="1274"/>
    </row>
    <row r="14" spans="2:21" ht="12" customHeight="1" x14ac:dyDescent="0.2">
      <c r="B14" s="637"/>
      <c r="C14" s="1275" t="s">
        <v>497</v>
      </c>
      <c r="D14" s="638"/>
      <c r="E14" s="1276"/>
      <c r="F14" s="638"/>
      <c r="G14" s="1275" t="s">
        <v>498</v>
      </c>
      <c r="H14" s="638"/>
      <c r="I14" s="1276"/>
      <c r="J14" s="638"/>
      <c r="K14" s="638"/>
      <c r="L14" s="638"/>
      <c r="M14" s="638"/>
      <c r="N14" s="638"/>
      <c r="O14" s="638"/>
      <c r="P14" s="638"/>
      <c r="Q14" s="638"/>
      <c r="R14" s="638"/>
      <c r="S14" s="1274"/>
      <c r="T14" s="894" t="str">
        <f>IF(AND(ISBLANK($E$14),ISBLANK($I$14))=TRUE,"Answer Missing"," ")</f>
        <v>Answer Missing</v>
      </c>
    </row>
    <row r="15" spans="2:21" ht="6" customHeight="1" x14ac:dyDescent="0.2">
      <c r="B15" s="637"/>
      <c r="C15" s="1275"/>
      <c r="D15" s="638"/>
      <c r="E15" s="1277"/>
      <c r="F15" s="638"/>
      <c r="G15" s="1275"/>
      <c r="H15" s="638"/>
      <c r="I15" s="1277"/>
      <c r="J15" s="638"/>
      <c r="K15" s="638"/>
      <c r="L15" s="638"/>
      <c r="M15" s="638"/>
      <c r="N15" s="638"/>
      <c r="O15" s="638"/>
      <c r="P15" s="638"/>
      <c r="Q15" s="638"/>
      <c r="R15" s="638"/>
      <c r="S15" s="1274"/>
    </row>
    <row r="16" spans="2:21" ht="12" customHeight="1" x14ac:dyDescent="0.2">
      <c r="B16" s="637"/>
      <c r="C16" s="1278" t="s">
        <v>499</v>
      </c>
      <c r="D16" s="638"/>
      <c r="E16" s="638"/>
      <c r="F16" s="638"/>
      <c r="G16" s="1275"/>
      <c r="H16" s="638"/>
      <c r="I16" s="638"/>
      <c r="J16" s="638"/>
      <c r="K16" s="638"/>
      <c r="L16" s="638"/>
      <c r="M16" s="638"/>
      <c r="N16" s="638"/>
      <c r="O16" s="638"/>
      <c r="P16" s="638"/>
      <c r="Q16" s="638"/>
      <c r="R16" s="638"/>
      <c r="S16" s="1274"/>
    </row>
    <row r="17" spans="2:21" ht="6" customHeight="1" x14ac:dyDescent="0.2">
      <c r="B17" s="637"/>
      <c r="C17" s="1278"/>
      <c r="D17" s="638"/>
      <c r="E17" s="638"/>
      <c r="F17" s="638"/>
      <c r="G17" s="1275"/>
      <c r="H17" s="638"/>
      <c r="I17" s="638"/>
      <c r="J17" s="638"/>
      <c r="K17" s="638"/>
      <c r="L17" s="638"/>
      <c r="M17" s="638"/>
      <c r="N17" s="638"/>
      <c r="O17" s="638"/>
      <c r="P17" s="638"/>
      <c r="Q17" s="638"/>
      <c r="R17" s="638"/>
      <c r="S17" s="1274"/>
    </row>
    <row r="18" spans="2:21" ht="12" customHeight="1" x14ac:dyDescent="0.2">
      <c r="B18" s="638"/>
      <c r="C18" s="638" t="s">
        <v>500</v>
      </c>
      <c r="D18" s="638"/>
      <c r="E18" s="2463"/>
      <c r="F18" s="2463"/>
      <c r="G18" s="2463"/>
      <c r="H18" s="2463"/>
      <c r="I18" s="2463"/>
      <c r="J18" s="2463"/>
      <c r="K18" s="2463"/>
      <c r="L18" s="2463"/>
      <c r="M18" s="2463"/>
      <c r="N18" s="638"/>
      <c r="O18" s="638" t="s">
        <v>501</v>
      </c>
      <c r="P18" s="638"/>
      <c r="Q18" s="638"/>
      <c r="R18" s="638"/>
      <c r="S18" s="1274"/>
      <c r="T18" s="895" t="str">
        <f>IF(ISTEXT(E14),"Response for Yes needed"," ")</f>
        <v xml:space="preserve"> </v>
      </c>
      <c r="U18" s="895"/>
    </row>
    <row r="19" spans="2:21" ht="6" customHeight="1" x14ac:dyDescent="0.2">
      <c r="B19" s="638"/>
      <c r="C19" s="638"/>
      <c r="D19" s="638"/>
      <c r="E19" s="1275"/>
      <c r="F19" s="638"/>
      <c r="G19" s="638"/>
      <c r="H19" s="1279"/>
      <c r="I19" s="263"/>
      <c r="J19" s="1279"/>
      <c r="K19" s="263"/>
      <c r="L19" s="263"/>
      <c r="M19" s="638"/>
      <c r="N19" s="638"/>
      <c r="O19" s="638"/>
      <c r="P19" s="638"/>
      <c r="Q19" s="638"/>
      <c r="R19" s="638"/>
      <c r="S19" s="1274"/>
    </row>
    <row r="20" spans="2:21" ht="12" customHeight="1" x14ac:dyDescent="0.2">
      <c r="B20" s="638"/>
      <c r="C20" s="638" t="s">
        <v>502</v>
      </c>
      <c r="D20" s="638"/>
      <c r="E20" s="1275"/>
      <c r="F20" s="638"/>
      <c r="G20" s="2462"/>
      <c r="H20" s="2462"/>
      <c r="I20" s="2462"/>
      <c r="J20" s="1279"/>
      <c r="K20" s="263"/>
      <c r="L20" s="263"/>
      <c r="M20" s="638"/>
      <c r="N20" s="638"/>
      <c r="O20" s="638"/>
      <c r="P20" s="638"/>
      <c r="Q20" s="638"/>
      <c r="R20" s="638"/>
      <c r="S20" s="1274"/>
    </row>
    <row r="21" spans="2:21" ht="6" customHeight="1" x14ac:dyDescent="0.2">
      <c r="B21" s="638"/>
      <c r="C21" s="638"/>
      <c r="D21" s="638"/>
      <c r="E21" s="1275"/>
      <c r="F21" s="638"/>
      <c r="G21" s="638"/>
      <c r="H21" s="1279"/>
      <c r="I21" s="263"/>
      <c r="J21" s="1279"/>
      <c r="K21" s="263"/>
      <c r="L21" s="263"/>
      <c r="M21" s="638"/>
      <c r="N21" s="638"/>
      <c r="O21" s="638"/>
      <c r="P21" s="638"/>
      <c r="Q21" s="638"/>
      <c r="R21" s="638"/>
      <c r="S21" s="1274"/>
    </row>
    <row r="22" spans="2:21" ht="12" customHeight="1" x14ac:dyDescent="0.2">
      <c r="B22" s="638"/>
      <c r="C22" s="638" t="s">
        <v>503</v>
      </c>
      <c r="D22" s="638"/>
      <c r="E22" s="638"/>
      <c r="F22" s="638"/>
      <c r="G22" s="638"/>
      <c r="H22" s="1279"/>
      <c r="I22" s="263"/>
      <c r="J22" s="1279"/>
      <c r="K22" s="1280"/>
      <c r="L22" s="263"/>
      <c r="M22" s="1275"/>
      <c r="N22" s="638"/>
      <c r="O22" s="638"/>
      <c r="P22" s="638"/>
      <c r="Q22" s="638"/>
      <c r="R22" s="638"/>
      <c r="S22" s="1274"/>
    </row>
    <row r="23" spans="2:21" ht="12" customHeight="1" x14ac:dyDescent="0.2">
      <c r="B23" s="638"/>
      <c r="C23" s="1275" t="s">
        <v>497</v>
      </c>
      <c r="D23" s="638"/>
      <c r="E23" s="1276"/>
      <c r="F23" s="638"/>
      <c r="G23" s="1275" t="s">
        <v>498</v>
      </c>
      <c r="H23" s="638"/>
      <c r="I23" s="1276"/>
      <c r="J23" s="638"/>
      <c r="K23" s="1280" t="s">
        <v>78</v>
      </c>
      <c r="L23" s="263"/>
      <c r="M23" s="1300"/>
      <c r="N23" s="638"/>
      <c r="O23" s="638"/>
      <c r="P23" s="638"/>
      <c r="Q23" s="638"/>
      <c r="R23" s="638"/>
      <c r="S23" s="1274"/>
      <c r="T23" s="894" t="str">
        <f>IF(AND(ISBLANK($E$23),ISBLANK($I$23),ISBLANK($M$23))=TRUE,"Answer Missing"," ")</f>
        <v>Answer Missing</v>
      </c>
    </row>
    <row r="24" spans="2:21" ht="6" customHeight="1" x14ac:dyDescent="0.2">
      <c r="B24" s="638"/>
      <c r="C24" s="1275"/>
      <c r="D24" s="638"/>
      <c r="E24" s="638"/>
      <c r="F24" s="638"/>
      <c r="G24" s="1275"/>
      <c r="H24" s="638"/>
      <c r="I24" s="638"/>
      <c r="J24" s="638"/>
      <c r="K24" s="638"/>
      <c r="L24" s="1281"/>
      <c r="M24" s="638"/>
      <c r="N24" s="638"/>
      <c r="O24" s="638"/>
      <c r="P24" s="638"/>
      <c r="Q24" s="638"/>
      <c r="R24" s="638"/>
      <c r="S24" s="1274"/>
    </row>
    <row r="25" spans="2:21" ht="12" customHeight="1" x14ac:dyDescent="0.2">
      <c r="B25" s="638"/>
      <c r="C25" s="1278" t="s">
        <v>504</v>
      </c>
      <c r="D25" s="638"/>
      <c r="E25" s="638"/>
      <c r="F25" s="638"/>
      <c r="G25" s="1280"/>
      <c r="H25" s="1282"/>
      <c r="I25" s="263"/>
      <c r="J25" s="1282"/>
      <c r="K25" s="263"/>
      <c r="L25" s="263"/>
      <c r="M25" s="638"/>
      <c r="N25" s="638"/>
      <c r="O25" s="638"/>
      <c r="P25" s="638"/>
      <c r="Q25" s="638"/>
      <c r="R25" s="638"/>
      <c r="S25" s="1274"/>
    </row>
    <row r="26" spans="2:21" ht="12" customHeight="1" x14ac:dyDescent="0.2">
      <c r="B26" s="638"/>
      <c r="C26" s="2218"/>
      <c r="D26" s="1276"/>
      <c r="E26" s="1276"/>
      <c r="F26" s="1276"/>
      <c r="G26" s="1283"/>
      <c r="H26" s="1284"/>
      <c r="I26" s="1285"/>
      <c r="J26" s="1284"/>
      <c r="K26" s="1285"/>
      <c r="L26" s="1285"/>
      <c r="M26" s="1276"/>
      <c r="N26" s="1276"/>
      <c r="O26" s="1276"/>
      <c r="P26" s="1276"/>
      <c r="Q26" s="1276"/>
      <c r="R26" s="1276"/>
      <c r="S26" s="1274"/>
      <c r="T26" s="895" t="str">
        <f>IF(ISTEXT(I23),"Response for No needed"," ")</f>
        <v xml:space="preserve"> </v>
      </c>
    </row>
    <row r="27" spans="2:21" ht="12" customHeight="1" x14ac:dyDescent="0.2">
      <c r="B27" s="638"/>
      <c r="C27" s="1275"/>
      <c r="D27" s="638"/>
      <c r="E27" s="638"/>
      <c r="F27" s="638"/>
      <c r="G27" s="1275"/>
      <c r="H27" s="638"/>
      <c r="I27" s="638"/>
      <c r="J27" s="638"/>
      <c r="K27" s="638"/>
      <c r="L27" s="1281"/>
      <c r="M27" s="638"/>
      <c r="N27" s="638"/>
      <c r="O27" s="638"/>
      <c r="P27" s="638"/>
      <c r="Q27" s="638"/>
      <c r="R27" s="638"/>
      <c r="S27" s="1274"/>
    </row>
    <row r="28" spans="2:21" ht="12" customHeight="1" x14ac:dyDescent="0.2">
      <c r="B28" s="637" t="s">
        <v>331</v>
      </c>
      <c r="C28" s="638" t="s">
        <v>505</v>
      </c>
      <c r="D28" s="638"/>
      <c r="E28" s="638"/>
      <c r="F28" s="638"/>
      <c r="G28" s="638"/>
      <c r="H28" s="638"/>
      <c r="I28" s="638"/>
      <c r="J28" s="638"/>
      <c r="K28" s="1275" t="s">
        <v>506</v>
      </c>
      <c r="L28" s="638"/>
      <c r="M28" s="1276"/>
      <c r="N28" s="638"/>
      <c r="O28" s="1275" t="s">
        <v>498</v>
      </c>
      <c r="P28" s="638"/>
      <c r="Q28" s="1276"/>
      <c r="R28" s="638"/>
      <c r="S28" s="1274"/>
      <c r="T28" s="894" t="str">
        <f>IF(AND(ISBLANK($M$28),ISBLANK($Q$28))=TRUE,"Answer Missing"," ")</f>
        <v>Answer Missing</v>
      </c>
    </row>
    <row r="29" spans="2:21" ht="13.9" customHeight="1" x14ac:dyDescent="0.2">
      <c r="B29" s="638"/>
      <c r="C29" s="638" t="s">
        <v>507</v>
      </c>
      <c r="D29" s="638"/>
      <c r="E29" s="638"/>
      <c r="F29" s="638"/>
      <c r="G29" s="1279"/>
      <c r="H29" s="263"/>
      <c r="I29" s="1279"/>
      <c r="J29" s="263"/>
      <c r="K29" s="638"/>
      <c r="L29" s="638"/>
      <c r="M29" s="638"/>
      <c r="N29" s="638"/>
      <c r="O29" s="638"/>
      <c r="P29" s="638"/>
      <c r="Q29" s="638"/>
      <c r="R29" s="638"/>
      <c r="S29" s="1274"/>
    </row>
    <row r="30" spans="2:21" ht="6" customHeight="1" x14ac:dyDescent="0.2">
      <c r="B30" s="638"/>
      <c r="C30" s="638"/>
      <c r="D30" s="638"/>
      <c r="E30" s="638"/>
      <c r="F30" s="638"/>
      <c r="G30" s="1279"/>
      <c r="H30" s="263"/>
      <c r="I30" s="1279"/>
      <c r="J30" s="263"/>
      <c r="K30" s="638"/>
      <c r="L30" s="638"/>
      <c r="M30" s="638"/>
      <c r="N30" s="638"/>
      <c r="O30" s="638"/>
      <c r="P30" s="638"/>
      <c r="Q30" s="638"/>
      <c r="R30" s="638"/>
      <c r="S30" s="1274"/>
    </row>
    <row r="31" spans="2:21" x14ac:dyDescent="0.2">
      <c r="B31" s="638"/>
      <c r="E31" s="639" t="s">
        <v>508</v>
      </c>
      <c r="F31" s="639"/>
      <c r="G31" s="639"/>
      <c r="H31" s="639"/>
      <c r="I31" s="1279"/>
      <c r="J31" s="1279"/>
      <c r="K31" s="1279"/>
      <c r="L31" s="1279"/>
      <c r="M31" s="639" t="s">
        <v>509</v>
      </c>
      <c r="N31" s="639"/>
      <c r="O31" s="639" t="s">
        <v>508</v>
      </c>
      <c r="P31" s="639"/>
      <c r="Q31" s="1286"/>
      <c r="R31" s="638"/>
      <c r="S31" s="1274"/>
    </row>
    <row r="32" spans="2:21" ht="12" customHeight="1" x14ac:dyDescent="0.2">
      <c r="B32" s="638"/>
      <c r="E32" s="1287">
        <v>44743</v>
      </c>
      <c r="F32" s="1281"/>
      <c r="G32" s="1281" t="s">
        <v>510</v>
      </c>
      <c r="H32" s="1281"/>
      <c r="I32" s="1288" t="s">
        <v>511</v>
      </c>
      <c r="J32" s="1288"/>
      <c r="K32" s="1288" t="s">
        <v>512</v>
      </c>
      <c r="L32" s="1288"/>
      <c r="M32" s="1281" t="s">
        <v>513</v>
      </c>
      <c r="N32" s="1281"/>
      <c r="O32" s="1287">
        <v>45107</v>
      </c>
      <c r="P32" s="1289"/>
      <c r="Q32" s="1289"/>
      <c r="R32" s="638"/>
      <c r="S32" s="1274"/>
      <c r="T32" s="895" t="str">
        <f>IF(ISNUMBER(G34),"Worksheet 430G must be completed"," ")</f>
        <v xml:space="preserve"> </v>
      </c>
    </row>
    <row r="33" spans="2:20" ht="12" customHeight="1" x14ac:dyDescent="0.2">
      <c r="B33" s="638"/>
      <c r="E33" s="1286"/>
      <c r="F33" s="639"/>
      <c r="G33" s="639"/>
      <c r="H33" s="639"/>
      <c r="I33" s="1279"/>
      <c r="J33" s="1279"/>
      <c r="K33" s="1279"/>
      <c r="L33" s="1279"/>
      <c r="M33" s="639"/>
      <c r="N33" s="639"/>
      <c r="O33" s="639"/>
      <c r="P33" s="1289"/>
      <c r="Q33" s="1289"/>
      <c r="R33" s="638"/>
      <c r="S33" s="1274"/>
      <c r="T33" s="895"/>
    </row>
    <row r="34" spans="2:20" ht="12" customHeight="1" x14ac:dyDescent="0.2">
      <c r="B34" s="638"/>
      <c r="C34" s="1281" t="s">
        <v>514</v>
      </c>
      <c r="E34" s="1290"/>
      <c r="F34" s="1289"/>
      <c r="G34" s="1290"/>
      <c r="H34" s="1289"/>
      <c r="I34" s="1291"/>
      <c r="J34" s="1292"/>
      <c r="K34" s="1291"/>
      <c r="L34" s="1292"/>
      <c r="M34" s="1290">
        <v>0</v>
      </c>
      <c r="N34" s="1289"/>
      <c r="O34" s="1290">
        <f>SUM(E34+G34+I34+K34+M34)</f>
        <v>0</v>
      </c>
      <c r="P34" s="1289"/>
      <c r="Q34" s="1289"/>
      <c r="R34" s="638"/>
      <c r="S34" s="1274"/>
      <c r="T34" s="895"/>
    </row>
    <row r="35" spans="2:20" ht="6" customHeight="1" x14ac:dyDescent="0.2">
      <c r="B35" s="638"/>
      <c r="E35" s="1293"/>
      <c r="F35" s="1289"/>
      <c r="G35" s="1293"/>
      <c r="H35" s="1289"/>
      <c r="I35" s="1294"/>
      <c r="J35" s="1292"/>
      <c r="K35" s="1294"/>
      <c r="L35" s="1292"/>
      <c r="M35" s="1293"/>
      <c r="N35" s="1289"/>
      <c r="O35" s="1293"/>
      <c r="P35" s="1289"/>
      <c r="Q35" s="1289"/>
      <c r="R35" s="638"/>
      <c r="S35" s="1274"/>
      <c r="T35" s="895"/>
    </row>
    <row r="36" spans="2:20" ht="12" customHeight="1" x14ac:dyDescent="0.2">
      <c r="B36" s="638"/>
      <c r="C36" s="638" t="s">
        <v>515</v>
      </c>
      <c r="D36" s="638"/>
      <c r="E36" s="638"/>
      <c r="F36" s="1295"/>
      <c r="G36" s="1295"/>
      <c r="H36" s="1295"/>
      <c r="I36" s="1295"/>
      <c r="J36" s="1295"/>
      <c r="K36" s="1295"/>
      <c r="L36" s="1295"/>
      <c r="M36" s="638"/>
      <c r="N36" s="638"/>
      <c r="O36" s="638"/>
      <c r="P36" s="638"/>
      <c r="Q36" s="638"/>
      <c r="R36" s="638"/>
      <c r="S36" s="1274"/>
      <c r="T36" s="895"/>
    </row>
    <row r="37" spans="2:20" ht="12" customHeight="1" x14ac:dyDescent="0.2">
      <c r="B37" s="638"/>
      <c r="C37" s="638" t="s">
        <v>516</v>
      </c>
      <c r="D37" s="638"/>
      <c r="E37" s="638"/>
      <c r="F37" s="1295"/>
      <c r="G37" s="1295"/>
      <c r="H37" s="1295"/>
      <c r="I37" s="1295"/>
      <c r="J37" s="1295"/>
      <c r="K37" s="1295"/>
      <c r="L37" s="1295"/>
      <c r="M37" s="638"/>
      <c r="N37" s="638"/>
      <c r="O37" s="638"/>
      <c r="P37" s="638"/>
      <c r="Q37" s="638"/>
      <c r="R37" s="638"/>
      <c r="S37" s="1274"/>
      <c r="T37" s="895"/>
    </row>
    <row r="38" spans="2:20" ht="6" customHeight="1" x14ac:dyDescent="0.2">
      <c r="B38" s="638"/>
      <c r="C38" s="638"/>
      <c r="D38" s="638"/>
      <c r="E38" s="638"/>
      <c r="F38" s="1295"/>
      <c r="G38" s="1295"/>
      <c r="H38" s="1295"/>
      <c r="I38" s="1295"/>
      <c r="J38" s="1295"/>
      <c r="K38" s="1295"/>
      <c r="L38" s="1295"/>
      <c r="M38" s="638"/>
      <c r="N38" s="638"/>
      <c r="O38" s="638"/>
      <c r="P38" s="638"/>
      <c r="Q38" s="638"/>
      <c r="R38" s="638"/>
      <c r="S38" s="1274"/>
      <c r="T38" s="895"/>
    </row>
    <row r="39" spans="2:20" ht="12" customHeight="1" x14ac:dyDescent="0.2">
      <c r="B39" s="638"/>
      <c r="C39" s="637" t="s">
        <v>517</v>
      </c>
      <c r="D39" s="1289"/>
      <c r="E39" s="1293"/>
      <c r="F39" s="1289"/>
      <c r="G39" s="1294"/>
      <c r="H39" s="1292"/>
      <c r="I39" s="1294"/>
      <c r="J39" s="1292"/>
      <c r="L39" s="1289"/>
      <c r="M39" s="1296"/>
      <c r="N39" s="1289"/>
      <c r="O39" s="1293"/>
      <c r="P39" s="1289"/>
      <c r="Q39" s="1289"/>
      <c r="R39" s="638"/>
      <c r="S39" s="1274"/>
      <c r="T39" s="895"/>
    </row>
    <row r="40" spans="2:20" ht="12" customHeight="1" x14ac:dyDescent="0.2">
      <c r="B40" s="638"/>
      <c r="C40" s="1296" t="s">
        <v>518</v>
      </c>
      <c r="D40" s="1289"/>
      <c r="E40" s="1290"/>
      <c r="F40" s="1297"/>
      <c r="G40" s="1291"/>
      <c r="H40" s="1298"/>
      <c r="I40" s="1291"/>
      <c r="J40" s="1298"/>
      <c r="K40" s="1310"/>
      <c r="L40" s="1289"/>
      <c r="M40" s="1290"/>
      <c r="N40" s="638"/>
      <c r="O40" s="638"/>
      <c r="P40" s="638"/>
      <c r="Q40" s="638"/>
      <c r="R40" s="638"/>
      <c r="S40" s="1274"/>
    </row>
    <row r="41" spans="2:20" ht="12" customHeight="1" x14ac:dyDescent="0.2">
      <c r="B41" s="638"/>
      <c r="C41" s="1293"/>
      <c r="D41" s="1289"/>
      <c r="E41" s="1293"/>
      <c r="F41" s="1289"/>
      <c r="G41" s="1294"/>
      <c r="H41" s="1292"/>
      <c r="I41" s="1294"/>
      <c r="J41" s="1292"/>
      <c r="L41" s="1289"/>
      <c r="M41" s="1293">
        <f>SUM(M34+M40)</f>
        <v>0</v>
      </c>
      <c r="N41" s="638"/>
      <c r="O41" s="638"/>
      <c r="P41" s="638"/>
      <c r="Q41" s="638"/>
      <c r="R41" s="638"/>
      <c r="S41" s="1274"/>
      <c r="T41" s="1299">
        <f>IF(M34+M40=0,0,"Out of Bal.")</f>
        <v>0</v>
      </c>
    </row>
    <row r="42" spans="2:20" ht="6" customHeight="1" x14ac:dyDescent="0.2">
      <c r="B42" s="637"/>
      <c r="R42" s="638"/>
      <c r="S42" s="1274"/>
    </row>
    <row r="43" spans="2:20" ht="12" customHeight="1" x14ac:dyDescent="0.2">
      <c r="B43" s="637"/>
      <c r="C43" s="638" t="s">
        <v>519</v>
      </c>
      <c r="R43" s="638"/>
      <c r="S43" s="1274"/>
    </row>
    <row r="44" spans="2:20" ht="16.350000000000001" customHeight="1" x14ac:dyDescent="0.2">
      <c r="B44" s="638"/>
      <c r="C44" s="1275" t="s">
        <v>506</v>
      </c>
      <c r="D44" s="638"/>
      <c r="E44" s="1276"/>
      <c r="F44" s="638"/>
      <c r="G44" s="1280" t="s">
        <v>498</v>
      </c>
      <c r="H44" s="1282"/>
      <c r="I44" s="1285"/>
      <c r="J44" s="1282"/>
      <c r="K44" s="1280" t="s">
        <v>78</v>
      </c>
      <c r="L44" s="263"/>
      <c r="M44" s="1300"/>
      <c r="N44" s="638"/>
      <c r="O44" s="638"/>
      <c r="P44" s="638"/>
      <c r="Q44" s="638"/>
      <c r="R44" s="638"/>
      <c r="S44" s="1274"/>
      <c r="T44" s="894" t="str">
        <f>IF(AND(ISBLANK($E$44),ISBLANK($I$44),ISBLANK($M$44))=TRUE,"Answer Missing"," ")</f>
        <v>Answer Missing</v>
      </c>
    </row>
    <row r="45" spans="2:20" ht="6" customHeight="1" x14ac:dyDescent="0.2">
      <c r="B45" s="638"/>
      <c r="C45" s="1275"/>
      <c r="D45" s="638"/>
      <c r="E45" s="638"/>
      <c r="F45" s="638"/>
      <c r="G45" s="1280"/>
      <c r="H45" s="1282"/>
      <c r="I45" s="263"/>
      <c r="J45" s="1282"/>
      <c r="K45" s="263"/>
      <c r="L45" s="263"/>
      <c r="M45" s="638"/>
      <c r="N45" s="638"/>
      <c r="O45" s="638"/>
      <c r="P45" s="638"/>
      <c r="Q45" s="638"/>
      <c r="R45" s="638"/>
      <c r="S45" s="1274"/>
    </row>
    <row r="46" spans="2:20" ht="12" customHeight="1" x14ac:dyDescent="0.2">
      <c r="B46" s="638"/>
      <c r="C46" s="1278" t="s">
        <v>520</v>
      </c>
      <c r="D46" s="638"/>
      <c r="E46" s="638"/>
      <c r="F46" s="638"/>
      <c r="G46" s="1280"/>
      <c r="H46" s="1282"/>
      <c r="I46" s="263"/>
      <c r="J46" s="1282"/>
      <c r="K46" s="263"/>
      <c r="L46" s="263"/>
      <c r="M46" s="638"/>
      <c r="N46" s="638"/>
      <c r="O46" s="638"/>
      <c r="P46" s="638"/>
      <c r="Q46" s="638"/>
      <c r="R46" s="638"/>
      <c r="S46" s="1274"/>
    </row>
    <row r="47" spans="2:20" ht="12" customHeight="1" x14ac:dyDescent="0.2">
      <c r="B47" s="638"/>
      <c r="C47" s="2463"/>
      <c r="D47" s="2463"/>
      <c r="E47" s="2463"/>
      <c r="F47" s="2463"/>
      <c r="G47" s="2463"/>
      <c r="H47" s="2463"/>
      <c r="I47" s="2463"/>
      <c r="J47" s="2463"/>
      <c r="K47" s="2463"/>
      <c r="L47" s="2463"/>
      <c r="M47" s="2463"/>
      <c r="N47" s="2463"/>
      <c r="O47" s="2463"/>
      <c r="P47" s="2463"/>
      <c r="Q47" s="2463"/>
      <c r="R47" s="2463"/>
      <c r="S47" s="1274"/>
      <c r="T47" s="895" t="str">
        <f>IF(ISTEXT(I44),"Response for No needed"," ")</f>
        <v xml:space="preserve"> </v>
      </c>
    </row>
    <row r="48" spans="2:20" ht="12" customHeight="1" x14ac:dyDescent="0.2">
      <c r="B48" s="638"/>
      <c r="C48" s="638"/>
      <c r="D48" s="638"/>
      <c r="E48" s="638"/>
      <c r="F48" s="1301"/>
      <c r="G48" s="1302"/>
      <c r="H48" s="1282"/>
      <c r="I48" s="1302"/>
      <c r="J48" s="1282"/>
      <c r="K48" s="1302"/>
      <c r="L48" s="1302"/>
      <c r="M48" s="638"/>
      <c r="N48" s="638"/>
      <c r="O48" s="638"/>
      <c r="P48" s="638"/>
      <c r="Q48" s="638"/>
      <c r="R48" s="638"/>
      <c r="S48" s="1274"/>
    </row>
    <row r="49" spans="2:20" ht="12" customHeight="1" x14ac:dyDescent="0.2">
      <c r="B49" s="637" t="s">
        <v>353</v>
      </c>
      <c r="C49" s="638" t="s">
        <v>521</v>
      </c>
      <c r="D49" s="638"/>
      <c r="E49" s="638"/>
      <c r="F49" s="638"/>
      <c r="G49" s="638"/>
      <c r="H49" s="638"/>
      <c r="I49" s="638"/>
      <c r="J49" s="638"/>
      <c r="K49" s="1275" t="s">
        <v>506</v>
      </c>
      <c r="L49" s="638"/>
      <c r="M49" s="1276"/>
      <c r="N49" s="638"/>
      <c r="O49" s="1275" t="s">
        <v>498</v>
      </c>
      <c r="P49" s="638"/>
      <c r="Q49" s="1276"/>
      <c r="R49" s="638"/>
      <c r="S49" s="1274"/>
      <c r="T49" s="894" t="str">
        <f>IF(AND(ISBLANK($M$49),ISBLANK($Q$49))=TRUE,"Answer Missing"," ")</f>
        <v>Answer Missing</v>
      </c>
    </row>
    <row r="50" spans="2:20" ht="12" customHeight="1" x14ac:dyDescent="0.2">
      <c r="B50" s="637"/>
      <c r="C50" s="638" t="s">
        <v>522</v>
      </c>
      <c r="D50" s="638"/>
      <c r="E50" s="638"/>
      <c r="F50" s="638"/>
      <c r="G50" s="1279"/>
      <c r="H50" s="263"/>
      <c r="I50" s="1279"/>
      <c r="J50" s="263"/>
      <c r="K50" s="638"/>
      <c r="L50" s="638"/>
      <c r="M50" s="638"/>
      <c r="N50" s="638"/>
      <c r="O50" s="638"/>
      <c r="P50" s="638"/>
      <c r="Q50" s="638"/>
      <c r="R50" s="638"/>
      <c r="S50" s="1274"/>
    </row>
    <row r="51" spans="2:20" ht="6" customHeight="1" x14ac:dyDescent="0.2">
      <c r="B51" s="637"/>
      <c r="C51" s="638"/>
      <c r="D51" s="638"/>
      <c r="E51" s="638"/>
      <c r="F51" s="638"/>
      <c r="G51" s="1279"/>
      <c r="H51" s="263"/>
      <c r="I51" s="1279"/>
      <c r="J51" s="263"/>
      <c r="K51" s="638"/>
      <c r="L51" s="638"/>
      <c r="M51" s="638"/>
      <c r="N51" s="638"/>
      <c r="O51" s="638"/>
      <c r="P51" s="638"/>
      <c r="Q51" s="638"/>
      <c r="R51" s="638"/>
      <c r="S51" s="1274"/>
    </row>
    <row r="52" spans="2:20" ht="12" customHeight="1" x14ac:dyDescent="0.2">
      <c r="B52" s="637"/>
      <c r="D52" s="639"/>
      <c r="E52" s="639" t="s">
        <v>508</v>
      </c>
      <c r="F52" s="639"/>
      <c r="G52" s="1279"/>
      <c r="H52" s="1279"/>
      <c r="I52" s="1279"/>
      <c r="J52" s="1279"/>
      <c r="K52" s="639"/>
      <c r="L52" s="639"/>
      <c r="M52" s="639" t="s">
        <v>523</v>
      </c>
      <c r="N52" s="639"/>
      <c r="O52" s="639" t="s">
        <v>524</v>
      </c>
      <c r="P52" s="639"/>
      <c r="R52" s="638"/>
      <c r="S52" s="1274"/>
    </row>
    <row r="53" spans="2:20" ht="12" customHeight="1" x14ac:dyDescent="0.2">
      <c r="B53" s="637"/>
      <c r="D53" s="1281"/>
      <c r="E53" s="1287">
        <v>44743</v>
      </c>
      <c r="F53" s="1281"/>
      <c r="G53" s="1288" t="s">
        <v>510</v>
      </c>
      <c r="H53" s="1288"/>
      <c r="I53" s="1288" t="s">
        <v>511</v>
      </c>
      <c r="J53" s="1288"/>
      <c r="K53" s="1281" t="s">
        <v>512</v>
      </c>
      <c r="L53" s="1281"/>
      <c r="M53" s="1281" t="s">
        <v>525</v>
      </c>
      <c r="N53" s="1281"/>
      <c r="O53" s="1287">
        <v>45107</v>
      </c>
      <c r="P53" s="1281"/>
      <c r="R53" s="638"/>
      <c r="S53" s="1274"/>
    </row>
    <row r="54" spans="2:20" ht="6" customHeight="1" x14ac:dyDescent="0.2">
      <c r="B54" s="637"/>
      <c r="C54" s="1286"/>
      <c r="D54" s="639"/>
      <c r="E54" s="639"/>
      <c r="F54" s="639"/>
      <c r="G54" s="1279"/>
      <c r="H54" s="1279"/>
      <c r="I54" s="1279"/>
      <c r="J54" s="1279"/>
      <c r="K54" s="639"/>
      <c r="L54" s="639"/>
      <c r="M54" s="639"/>
      <c r="N54" s="639"/>
      <c r="O54" s="1286"/>
      <c r="P54" s="639"/>
      <c r="R54" s="638"/>
      <c r="S54" s="1274"/>
    </row>
    <row r="55" spans="2:20" ht="12" customHeight="1" x14ac:dyDescent="0.2">
      <c r="B55" s="638"/>
      <c r="C55" s="1296" t="s">
        <v>526</v>
      </c>
      <c r="D55" s="1289"/>
      <c r="E55" s="1290"/>
      <c r="F55" s="1289"/>
      <c r="G55" s="1291"/>
      <c r="H55" s="1292"/>
      <c r="I55" s="1291"/>
      <c r="J55" s="1292"/>
      <c r="K55" s="1290"/>
      <c r="L55" s="1289"/>
      <c r="M55" s="1290"/>
      <c r="N55" s="1289"/>
      <c r="O55" s="1297">
        <f>SUM(E55+G55+I55+K55+M55)</f>
        <v>0</v>
      </c>
      <c r="P55" s="1289"/>
      <c r="R55" s="638"/>
      <c r="S55" s="1274"/>
      <c r="T55" s="895" t="str">
        <f>IF(ISNUMBER(G55),"Worksheet 430G must be completed"," ")</f>
        <v xml:space="preserve"> </v>
      </c>
    </row>
    <row r="56" spans="2:20" ht="6" customHeight="1" x14ac:dyDescent="0.2">
      <c r="B56" s="638"/>
      <c r="C56" s="1289"/>
      <c r="D56" s="1289"/>
      <c r="E56" s="1289"/>
      <c r="F56" s="1289"/>
      <c r="G56" s="1303"/>
      <c r="H56" s="1292"/>
      <c r="I56" s="1303"/>
      <c r="J56" s="1292"/>
      <c r="K56" s="1289"/>
      <c r="L56" s="1289"/>
      <c r="M56" s="1289"/>
      <c r="N56" s="1289"/>
      <c r="O56" s="1289"/>
      <c r="P56" s="1289"/>
      <c r="Q56" s="1289"/>
      <c r="R56" s="638"/>
      <c r="S56" s="1274"/>
    </row>
    <row r="57" spans="2:20" ht="12" customHeight="1" x14ac:dyDescent="0.2">
      <c r="B57" s="637" t="s">
        <v>361</v>
      </c>
      <c r="C57" s="1289" t="s">
        <v>527</v>
      </c>
      <c r="D57" s="1289"/>
      <c r="E57" s="1289"/>
      <c r="F57" s="1289"/>
      <c r="G57" s="1303"/>
      <c r="H57" s="1292"/>
      <c r="I57" s="1303"/>
      <c r="J57" s="1292"/>
      <c r="K57" s="1275" t="s">
        <v>506</v>
      </c>
      <c r="L57" s="638"/>
      <c r="M57" s="1276"/>
      <c r="N57" s="638"/>
      <c r="O57" s="1275" t="s">
        <v>498</v>
      </c>
      <c r="P57" s="638"/>
      <c r="Q57" s="1276"/>
      <c r="R57" s="638"/>
      <c r="S57" s="1274"/>
      <c r="T57" s="894" t="str">
        <f>IF(AND(ISBLANK($M$57),ISBLANK($Q$57))=TRUE,"Answer Missing"," ")</f>
        <v>Answer Missing</v>
      </c>
    </row>
    <row r="58" spans="2:20" ht="12" customHeight="1" x14ac:dyDescent="0.2">
      <c r="B58" s="638"/>
      <c r="C58" s="1289" t="s">
        <v>528</v>
      </c>
      <c r="D58" s="1289"/>
      <c r="E58" s="1289"/>
      <c r="F58" s="1289"/>
      <c r="G58" s="1303"/>
      <c r="H58" s="1292"/>
      <c r="I58" s="1303"/>
      <c r="J58" s="1292"/>
      <c r="K58" s="1289"/>
      <c r="L58" s="1289"/>
      <c r="M58" s="1289"/>
      <c r="N58" s="1289"/>
      <c r="O58" s="1289"/>
      <c r="P58" s="1289"/>
      <c r="Q58" s="1289"/>
      <c r="R58" s="638"/>
      <c r="S58" s="1274"/>
    </row>
    <row r="59" spans="2:20" ht="12" customHeight="1" x14ac:dyDescent="0.2">
      <c r="B59" s="638"/>
      <c r="C59" s="1289"/>
      <c r="D59" s="1289"/>
      <c r="E59" s="1289"/>
      <c r="F59" s="1289"/>
      <c r="G59" s="1303"/>
      <c r="H59" s="1292"/>
      <c r="I59" s="1303"/>
      <c r="J59" s="1292"/>
      <c r="K59" s="1289"/>
      <c r="L59" s="1289"/>
      <c r="M59" s="1289"/>
      <c r="N59" s="1289"/>
      <c r="O59" s="1289"/>
      <c r="P59" s="1289"/>
      <c r="Q59" s="1289"/>
      <c r="R59" s="638"/>
      <c r="S59" s="1274"/>
    </row>
    <row r="60" spans="2:20" ht="12" customHeight="1" x14ac:dyDescent="0.2">
      <c r="B60" s="637"/>
      <c r="D60" s="639"/>
      <c r="E60" s="639" t="s">
        <v>508</v>
      </c>
      <c r="F60" s="639"/>
      <c r="G60" s="1279"/>
      <c r="H60" s="1279"/>
      <c r="I60" s="1279"/>
      <c r="J60" s="1279"/>
      <c r="K60" s="639"/>
      <c r="L60" s="639"/>
      <c r="M60" s="639" t="s">
        <v>523</v>
      </c>
      <c r="N60" s="639"/>
      <c r="O60" s="639" t="s">
        <v>524</v>
      </c>
      <c r="P60" s="639"/>
      <c r="R60" s="638"/>
      <c r="S60" s="1274"/>
    </row>
    <row r="61" spans="2:20" ht="12" customHeight="1" x14ac:dyDescent="0.2">
      <c r="B61" s="637"/>
      <c r="D61" s="1281"/>
      <c r="E61" s="1287">
        <v>44743</v>
      </c>
      <c r="F61" s="1281"/>
      <c r="G61" s="1281" t="s">
        <v>510</v>
      </c>
      <c r="H61" s="1288"/>
      <c r="I61" s="1288" t="s">
        <v>511</v>
      </c>
      <c r="J61" s="1288"/>
      <c r="K61" s="1281" t="s">
        <v>512</v>
      </c>
      <c r="L61" s="1281"/>
      <c r="M61" s="1281" t="s">
        <v>529</v>
      </c>
      <c r="N61" s="1281"/>
      <c r="O61" s="1287">
        <v>45107</v>
      </c>
      <c r="P61" s="1281"/>
      <c r="R61" s="638"/>
      <c r="S61" s="1274"/>
    </row>
    <row r="62" spans="2:20" ht="6" customHeight="1" x14ac:dyDescent="0.2">
      <c r="B62" s="637"/>
      <c r="C62" s="1286"/>
      <c r="D62" s="639"/>
      <c r="E62" s="639"/>
      <c r="F62" s="639"/>
      <c r="G62" s="1279"/>
      <c r="H62" s="1279"/>
      <c r="I62" s="1279"/>
      <c r="J62" s="1279"/>
      <c r="K62" s="639"/>
      <c r="L62" s="639"/>
      <c r="M62" s="639"/>
      <c r="N62" s="639"/>
      <c r="O62" s="1286"/>
      <c r="P62" s="639"/>
      <c r="R62" s="638"/>
      <c r="S62" s="1274"/>
    </row>
    <row r="63" spans="2:20" ht="12" customHeight="1" x14ac:dyDescent="0.2">
      <c r="B63" s="638"/>
      <c r="C63" s="1296" t="s">
        <v>529</v>
      </c>
      <c r="D63" s="1289"/>
      <c r="E63" s="1290"/>
      <c r="F63" s="1289"/>
      <c r="G63" s="1291"/>
      <c r="H63" s="1292"/>
      <c r="I63" s="1291"/>
      <c r="J63" s="1292"/>
      <c r="K63" s="1290"/>
      <c r="L63" s="1289"/>
      <c r="M63" s="1290"/>
      <c r="N63" s="1289"/>
      <c r="O63" s="1297">
        <f>SUM(E63+G63+I63+K63+M63)</f>
        <v>0</v>
      </c>
      <c r="P63" s="1289"/>
      <c r="R63" s="638"/>
      <c r="S63" s="1274"/>
      <c r="T63" s="895" t="str">
        <f>IF(ISNUMBER(G63),"Worksheet 430G must be completed"," ")</f>
        <v xml:space="preserve"> </v>
      </c>
    </row>
    <row r="64" spans="2:20" ht="12" customHeight="1" x14ac:dyDescent="0.2">
      <c r="B64" s="638"/>
      <c r="C64" s="1293"/>
      <c r="D64" s="1289"/>
      <c r="E64" s="1293"/>
      <c r="F64" s="1289"/>
      <c r="G64" s="1294"/>
      <c r="H64" s="1292"/>
      <c r="I64" s="1294"/>
      <c r="J64" s="1292"/>
      <c r="K64" s="1293"/>
      <c r="L64" s="1289"/>
      <c r="M64" s="1293"/>
      <c r="N64" s="1289"/>
      <c r="O64" s="1293"/>
      <c r="P64" s="1289"/>
      <c r="Q64" s="1289"/>
      <c r="R64" s="638"/>
      <c r="S64" s="1274"/>
    </row>
    <row r="65" spans="2:20" ht="12" customHeight="1" x14ac:dyDescent="0.2">
      <c r="B65" s="637" t="s">
        <v>366</v>
      </c>
      <c r="C65" s="638" t="s">
        <v>530</v>
      </c>
      <c r="D65" s="638"/>
      <c r="E65" s="638"/>
      <c r="F65" s="1295"/>
      <c r="G65" s="1295"/>
      <c r="H65" s="1295"/>
      <c r="I65" s="1295"/>
      <c r="J65" s="1295"/>
      <c r="K65" s="1295"/>
      <c r="L65" s="1295"/>
      <c r="M65" s="638"/>
      <c r="N65" s="638"/>
      <c r="O65" s="638"/>
      <c r="P65" s="638"/>
      <c r="Q65" s="638"/>
      <c r="R65" s="638"/>
      <c r="S65" s="1274"/>
    </row>
    <row r="66" spans="2:20" ht="12" customHeight="1" x14ac:dyDescent="0.2">
      <c r="B66" s="637"/>
      <c r="C66" s="638" t="s">
        <v>531</v>
      </c>
      <c r="D66" s="638"/>
      <c r="E66" s="638"/>
      <c r="F66" s="1295"/>
      <c r="G66" s="1295"/>
      <c r="H66" s="1295"/>
      <c r="I66" s="1295"/>
      <c r="J66" s="1295"/>
      <c r="K66" s="1295"/>
      <c r="L66" s="1295"/>
      <c r="M66" s="638"/>
      <c r="N66" s="638"/>
      <c r="O66" s="638"/>
      <c r="P66" s="638"/>
      <c r="Q66" s="638"/>
      <c r="R66" s="638"/>
      <c r="S66" s="1274"/>
    </row>
    <row r="67" spans="2:20" ht="6" customHeight="1" x14ac:dyDescent="0.2">
      <c r="B67" s="637"/>
      <c r="D67" s="638"/>
      <c r="E67" s="638"/>
      <c r="F67" s="1295"/>
      <c r="G67" s="1295"/>
      <c r="H67" s="1295"/>
      <c r="I67" s="1295"/>
      <c r="J67" s="1295"/>
      <c r="K67" s="1295"/>
      <c r="L67" s="1295"/>
      <c r="M67" s="638"/>
      <c r="N67" s="638"/>
      <c r="O67" s="638"/>
      <c r="P67" s="638"/>
      <c r="Q67" s="638"/>
      <c r="R67" s="638"/>
      <c r="S67" s="1274"/>
    </row>
    <row r="68" spans="2:20" ht="12" customHeight="1" x14ac:dyDescent="0.2">
      <c r="B68" s="637"/>
      <c r="C68" s="638" t="s">
        <v>532</v>
      </c>
      <c r="D68" s="638"/>
      <c r="E68" s="638"/>
      <c r="F68" s="1295"/>
      <c r="G68" s="1295"/>
      <c r="H68" s="1295"/>
      <c r="I68" s="1295"/>
      <c r="J68" s="1295"/>
      <c r="K68" s="1295"/>
      <c r="L68" s="1295"/>
      <c r="M68" s="638"/>
      <c r="N68" s="638"/>
      <c r="O68" s="638"/>
      <c r="P68" s="638"/>
      <c r="Q68" s="638"/>
      <c r="R68" s="638"/>
      <c r="S68" s="1274"/>
    </row>
    <row r="69" spans="2:20" ht="15.75" customHeight="1" x14ac:dyDescent="0.2">
      <c r="B69" s="638"/>
      <c r="C69" s="1275" t="s">
        <v>497</v>
      </c>
      <c r="D69" s="638"/>
      <c r="E69" s="1276"/>
      <c r="F69" s="638"/>
      <c r="G69" s="1280" t="s">
        <v>498</v>
      </c>
      <c r="H69" s="1282"/>
      <c r="I69" s="1285"/>
      <c r="J69" s="1282"/>
      <c r="K69" s="1280" t="s">
        <v>78</v>
      </c>
      <c r="L69" s="263"/>
      <c r="M69" s="1300"/>
      <c r="N69" s="638"/>
      <c r="O69" s="638"/>
      <c r="P69" s="638"/>
      <c r="Q69" s="638"/>
      <c r="R69" s="638"/>
      <c r="S69" s="1274"/>
      <c r="T69" s="894" t="str">
        <f>IF(AND(ISBLANK($E$69),ISBLANK($I$69),ISBLANK($M$69))=TRUE,"Answer Missing"," ")</f>
        <v>Answer Missing</v>
      </c>
    </row>
    <row r="70" spans="2:20" ht="6" customHeight="1" x14ac:dyDescent="0.2">
      <c r="B70" s="638"/>
      <c r="C70" s="1275"/>
      <c r="D70" s="638"/>
      <c r="E70" s="638"/>
      <c r="F70" s="638"/>
      <c r="G70" s="1280"/>
      <c r="H70" s="1282"/>
      <c r="I70" s="263"/>
      <c r="J70" s="1282"/>
      <c r="K70" s="263"/>
      <c r="L70" s="263"/>
      <c r="M70" s="638"/>
      <c r="N70" s="638"/>
      <c r="O70" s="638"/>
      <c r="P70" s="638"/>
      <c r="Q70" s="638"/>
      <c r="R70" s="638"/>
      <c r="S70" s="1274"/>
    </row>
    <row r="71" spans="2:20" ht="12" customHeight="1" x14ac:dyDescent="0.2">
      <c r="B71" s="638"/>
      <c r="C71" s="1278" t="s">
        <v>533</v>
      </c>
      <c r="D71" s="638"/>
      <c r="E71" s="638"/>
      <c r="F71" s="638"/>
      <c r="G71" s="1280"/>
      <c r="H71" s="1282"/>
      <c r="I71" s="263"/>
      <c r="J71" s="1282"/>
      <c r="K71" s="263"/>
      <c r="L71" s="263"/>
      <c r="M71" s="638"/>
      <c r="N71" s="638"/>
      <c r="O71" s="638"/>
      <c r="P71" s="638"/>
      <c r="Q71" s="638"/>
      <c r="R71" s="638"/>
      <c r="S71" s="1274"/>
    </row>
    <row r="72" spans="2:20" ht="12" customHeight="1" x14ac:dyDescent="0.2">
      <c r="B72" s="638"/>
      <c r="C72" s="2463"/>
      <c r="D72" s="2463"/>
      <c r="E72" s="2463"/>
      <c r="F72" s="2463"/>
      <c r="G72" s="2463"/>
      <c r="H72" s="2463"/>
      <c r="I72" s="2463"/>
      <c r="J72" s="2463"/>
      <c r="K72" s="2463"/>
      <c r="L72" s="2463"/>
      <c r="M72" s="2463"/>
      <c r="N72" s="2463"/>
      <c r="O72" s="2463"/>
      <c r="P72" s="2463"/>
      <c r="Q72" s="2463"/>
      <c r="R72" s="638"/>
      <c r="S72" s="1274"/>
      <c r="T72" s="895" t="str">
        <f>IF(ISTEXT(I69),"Response for No needed"," ")</f>
        <v xml:space="preserve"> </v>
      </c>
    </row>
    <row r="73" spans="2:20" ht="12" customHeight="1" x14ac:dyDescent="0.2">
      <c r="B73" s="638"/>
      <c r="C73" s="1289"/>
      <c r="D73" s="1289"/>
      <c r="E73" s="1289"/>
      <c r="F73" s="1289"/>
      <c r="G73" s="1303"/>
      <c r="H73" s="1292"/>
      <c r="I73" s="1303"/>
      <c r="J73" s="1292"/>
      <c r="K73" s="1289"/>
      <c r="L73" s="1289"/>
      <c r="M73" s="1289"/>
      <c r="N73" s="1289"/>
      <c r="O73" s="1289"/>
      <c r="P73" s="1289"/>
      <c r="Q73" s="1289"/>
      <c r="R73" s="638"/>
      <c r="S73" s="1274"/>
    </row>
    <row r="74" spans="2:20" ht="12" customHeight="1" x14ac:dyDescent="0.2">
      <c r="B74" s="638"/>
      <c r="C74" s="1278"/>
      <c r="D74" s="1278"/>
      <c r="E74" s="1278"/>
      <c r="F74" s="638"/>
      <c r="G74" s="1275"/>
      <c r="H74" s="638"/>
      <c r="I74" s="638"/>
      <c r="J74" s="638"/>
      <c r="K74" s="638"/>
      <c r="L74" s="638"/>
      <c r="M74" s="638"/>
      <c r="N74" s="638"/>
      <c r="O74" s="638"/>
      <c r="P74" s="638"/>
      <c r="Q74" s="638"/>
      <c r="R74" s="638"/>
      <c r="S74" s="1274"/>
    </row>
    <row r="75" spans="2:20" ht="6" customHeight="1" x14ac:dyDescent="0.2">
      <c r="B75" s="638"/>
      <c r="C75" s="638"/>
      <c r="D75" s="638"/>
      <c r="E75" s="638"/>
      <c r="F75" s="638"/>
      <c r="G75" s="638"/>
      <c r="H75" s="638"/>
      <c r="I75" s="638"/>
      <c r="J75" s="638"/>
      <c r="K75" s="638"/>
      <c r="L75" s="638"/>
      <c r="M75" s="638"/>
      <c r="N75" s="638"/>
      <c r="O75" s="638"/>
      <c r="P75" s="638"/>
      <c r="Q75" s="638"/>
      <c r="R75" s="638"/>
    </row>
    <row r="76" spans="2:20" ht="12" customHeight="1" x14ac:dyDescent="0.2">
      <c r="B76" s="638"/>
      <c r="C76" s="638"/>
      <c r="D76" s="638"/>
      <c r="E76" s="638"/>
      <c r="F76" s="638"/>
      <c r="G76" s="638"/>
      <c r="H76" s="1282"/>
      <c r="I76" s="1302"/>
      <c r="J76" s="1282"/>
      <c r="K76" s="1302"/>
      <c r="L76" s="1302"/>
      <c r="M76" s="638"/>
      <c r="N76" s="638"/>
      <c r="O76" s="638"/>
      <c r="P76" s="638"/>
      <c r="Q76" s="638"/>
      <c r="R76" s="638"/>
    </row>
    <row r="77" spans="2:20" ht="12" customHeight="1" x14ac:dyDescent="0.2">
      <c r="B77" s="638"/>
      <c r="C77" s="638"/>
      <c r="D77" s="638"/>
      <c r="E77" s="638"/>
      <c r="F77" s="638"/>
      <c r="G77" s="638"/>
      <c r="H77" s="638"/>
      <c r="I77" s="638"/>
      <c r="J77" s="638"/>
      <c r="K77" s="638"/>
      <c r="L77" s="638"/>
      <c r="M77" s="638"/>
      <c r="N77" s="638"/>
      <c r="O77" s="638"/>
      <c r="P77" s="638"/>
      <c r="Q77" s="638"/>
      <c r="R77" s="638"/>
    </row>
    <row r="78" spans="2:20" ht="12" customHeight="1" x14ac:dyDescent="0.2">
      <c r="B78" s="638"/>
      <c r="C78" s="1295"/>
      <c r="D78" s="1295"/>
      <c r="E78" s="1295"/>
      <c r="F78" s="1295"/>
      <c r="G78" s="1295"/>
      <c r="H78" s="1295"/>
      <c r="I78" s="1295"/>
      <c r="J78" s="1295"/>
      <c r="K78" s="1295"/>
      <c r="L78" s="1295"/>
      <c r="M78" s="638"/>
      <c r="N78" s="638"/>
      <c r="O78" s="638"/>
      <c r="P78" s="638"/>
      <c r="Q78" s="638"/>
      <c r="R78" s="638"/>
    </row>
    <row r="79" spans="2:20" ht="12" customHeight="1" x14ac:dyDescent="0.2">
      <c r="B79" s="638"/>
      <c r="C79" s="1295"/>
      <c r="D79" s="1295"/>
      <c r="E79" s="1295"/>
      <c r="F79" s="1295"/>
      <c r="G79" s="1295"/>
      <c r="H79" s="1295"/>
      <c r="I79" s="1295"/>
      <c r="J79" s="1295"/>
      <c r="K79" s="1295"/>
      <c r="L79" s="1295"/>
      <c r="M79" s="638"/>
      <c r="N79" s="638"/>
      <c r="O79" s="638"/>
      <c r="P79" s="638"/>
      <c r="Q79" s="638"/>
      <c r="R79" s="638"/>
    </row>
    <row r="80" spans="2:20" ht="8.1" customHeight="1" x14ac:dyDescent="0.2">
      <c r="B80" s="638"/>
      <c r="C80" s="638"/>
      <c r="D80" s="638"/>
      <c r="E80" s="638"/>
      <c r="F80" s="638"/>
      <c r="G80" s="638"/>
      <c r="H80" s="638"/>
      <c r="I80" s="638"/>
      <c r="J80" s="638"/>
      <c r="K80" s="638"/>
      <c r="L80" s="638"/>
      <c r="M80" s="638"/>
      <c r="N80" s="638"/>
      <c r="O80" s="638"/>
      <c r="P80" s="638"/>
      <c r="Q80" s="638"/>
      <c r="R80" s="638"/>
    </row>
    <row r="81" spans="1:18" ht="12" customHeight="1" x14ac:dyDescent="0.2">
      <c r="C81" s="638"/>
      <c r="D81" s="638"/>
      <c r="E81" s="638"/>
      <c r="F81" s="638"/>
      <c r="G81" s="638"/>
      <c r="H81" s="638"/>
      <c r="I81" s="638"/>
      <c r="J81" s="638"/>
      <c r="K81" s="638"/>
      <c r="L81" s="638"/>
      <c r="M81" s="638"/>
      <c r="N81" s="638"/>
      <c r="O81" s="638"/>
      <c r="P81" s="638"/>
      <c r="Q81" s="638"/>
      <c r="R81" s="638"/>
    </row>
    <row r="82" spans="1:18" ht="12" customHeight="1" x14ac:dyDescent="0.2">
      <c r="B82" s="638"/>
      <c r="C82" s="638"/>
      <c r="D82" s="638"/>
      <c r="E82" s="638"/>
      <c r="F82" s="638"/>
      <c r="G82" s="638"/>
      <c r="H82" s="638"/>
      <c r="I82" s="638"/>
      <c r="J82" s="638"/>
      <c r="K82" s="638"/>
      <c r="L82" s="638"/>
      <c r="M82" s="638"/>
      <c r="N82" s="638"/>
      <c r="O82" s="638"/>
      <c r="P82" s="638"/>
      <c r="Q82" s="638"/>
      <c r="R82" s="638"/>
    </row>
    <row r="83" spans="1:18" ht="12" customHeight="1" x14ac:dyDescent="0.2">
      <c r="B83" s="638"/>
      <c r="C83" s="638"/>
      <c r="D83" s="638"/>
      <c r="E83" s="638"/>
      <c r="F83" s="638"/>
      <c r="G83" s="638"/>
      <c r="H83" s="638"/>
      <c r="I83" s="638"/>
      <c r="J83" s="638"/>
      <c r="K83" s="638"/>
      <c r="L83" s="638"/>
      <c r="M83" s="638"/>
      <c r="N83" s="638"/>
      <c r="O83" s="638"/>
      <c r="P83" s="638"/>
      <c r="Q83" s="638"/>
      <c r="R83" s="638"/>
    </row>
    <row r="84" spans="1:18" ht="12" customHeight="1" x14ac:dyDescent="0.2">
      <c r="B84" s="638"/>
      <c r="C84" s="638"/>
      <c r="D84" s="638"/>
      <c r="E84" s="638"/>
      <c r="F84" s="638"/>
      <c r="G84" s="638"/>
      <c r="H84" s="1282"/>
      <c r="I84" s="1302"/>
      <c r="J84" s="1282"/>
      <c r="K84" s="928"/>
      <c r="L84" s="928"/>
      <c r="M84" s="638"/>
      <c r="N84" s="638"/>
      <c r="O84" s="638"/>
      <c r="P84" s="638"/>
      <c r="Q84" s="638"/>
      <c r="R84" s="638"/>
    </row>
    <row r="85" spans="1:18" ht="12" customHeight="1" x14ac:dyDescent="0.2">
      <c r="B85" s="638"/>
      <c r="C85" s="638"/>
      <c r="D85" s="638"/>
      <c r="E85" s="638"/>
      <c r="F85" s="1301"/>
      <c r="G85" s="928"/>
      <c r="H85" s="1282"/>
      <c r="I85" s="1302"/>
      <c r="J85" s="1282"/>
      <c r="K85" s="928"/>
      <c r="L85" s="928"/>
      <c r="M85" s="638"/>
      <c r="N85" s="638"/>
      <c r="O85" s="638"/>
      <c r="P85" s="638"/>
      <c r="Q85" s="638"/>
      <c r="R85" s="638"/>
    </row>
    <row r="86" spans="1:18" ht="8.1" customHeight="1" x14ac:dyDescent="0.2">
      <c r="C86" s="638"/>
      <c r="D86" s="638"/>
      <c r="E86" s="638"/>
      <c r="F86" s="638"/>
      <c r="G86" s="638"/>
      <c r="H86" s="638"/>
      <c r="I86" s="638"/>
      <c r="J86" s="638"/>
      <c r="K86" s="638"/>
      <c r="L86" s="638"/>
      <c r="M86" s="638"/>
      <c r="N86" s="638"/>
      <c r="O86" s="638"/>
      <c r="P86" s="638"/>
      <c r="Q86" s="638"/>
      <c r="R86" s="638"/>
    </row>
    <row r="87" spans="1:18" ht="12" customHeight="1" x14ac:dyDescent="0.2">
      <c r="B87" s="637"/>
      <c r="C87" s="638"/>
      <c r="D87" s="638"/>
      <c r="E87" s="638"/>
      <c r="F87" s="638"/>
      <c r="G87" s="638"/>
      <c r="H87" s="638"/>
      <c r="I87" s="638"/>
      <c r="J87" s="638"/>
      <c r="K87" s="638"/>
      <c r="L87" s="638"/>
      <c r="M87" s="638"/>
      <c r="N87" s="638"/>
      <c r="O87" s="638"/>
      <c r="P87" s="638"/>
      <c r="Q87" s="638"/>
      <c r="R87" s="638"/>
    </row>
    <row r="88" spans="1:18" x14ac:dyDescent="0.2">
      <c r="C88" s="638"/>
      <c r="D88" s="638"/>
      <c r="E88" s="638"/>
      <c r="F88" s="638"/>
      <c r="G88" s="638"/>
      <c r="H88" s="1282"/>
      <c r="I88" s="1302"/>
      <c r="J88" s="1282"/>
      <c r="K88" s="928"/>
      <c r="L88" s="928"/>
      <c r="M88" s="638"/>
      <c r="N88" s="638"/>
      <c r="O88" s="638"/>
      <c r="P88" s="638"/>
      <c r="Q88" s="638"/>
      <c r="R88" s="638"/>
    </row>
    <row r="89" spans="1:18" x14ac:dyDescent="0.2">
      <c r="C89" s="638"/>
      <c r="D89" s="638"/>
      <c r="E89" s="638"/>
      <c r="F89" s="638"/>
      <c r="G89" s="638"/>
      <c r="H89" s="1282"/>
      <c r="I89" s="1302"/>
      <c r="J89" s="1282"/>
      <c r="K89" s="928"/>
      <c r="L89" s="928"/>
      <c r="M89" s="638"/>
      <c r="N89" s="638"/>
      <c r="O89" s="638"/>
      <c r="P89" s="638"/>
      <c r="Q89" s="638"/>
      <c r="R89" s="638"/>
    </row>
    <row r="90" spans="1:18" ht="16.5" customHeight="1" x14ac:dyDescent="0.2">
      <c r="C90" s="638"/>
      <c r="D90" s="638"/>
      <c r="E90" s="638"/>
      <c r="F90" s="1295"/>
      <c r="G90" s="1295"/>
      <c r="H90" s="1295"/>
      <c r="I90" s="1295"/>
      <c r="J90" s="1295"/>
      <c r="K90" s="1295"/>
      <c r="L90" s="1295"/>
      <c r="M90" s="638"/>
      <c r="N90" s="638"/>
      <c r="O90" s="638"/>
      <c r="P90" s="638"/>
      <c r="Q90" s="638"/>
      <c r="R90" s="638"/>
    </row>
    <row r="91" spans="1:18" x14ac:dyDescent="0.2">
      <c r="C91" s="638"/>
      <c r="D91" s="638"/>
      <c r="E91" s="638"/>
      <c r="F91" s="638"/>
      <c r="G91" s="638"/>
      <c r="H91" s="638"/>
      <c r="I91" s="638"/>
      <c r="J91" s="638"/>
      <c r="K91" s="638"/>
      <c r="L91" s="638"/>
      <c r="M91" s="638"/>
      <c r="N91" s="638"/>
      <c r="O91" s="638"/>
      <c r="P91" s="638"/>
      <c r="Q91" s="638"/>
      <c r="R91" s="638"/>
    </row>
    <row r="92" spans="1:18" x14ac:dyDescent="0.2">
      <c r="C92" s="638"/>
      <c r="D92" s="638"/>
      <c r="E92" s="638"/>
      <c r="F92" s="638"/>
      <c r="G92" s="638"/>
      <c r="H92" s="638"/>
      <c r="I92" s="638"/>
      <c r="J92" s="638"/>
      <c r="K92" s="638"/>
      <c r="L92" s="638"/>
      <c r="M92" s="638"/>
      <c r="N92" s="638"/>
      <c r="O92" s="638"/>
      <c r="P92" s="638"/>
      <c r="Q92" s="638"/>
      <c r="R92" s="638"/>
    </row>
    <row r="93" spans="1:18" x14ac:dyDescent="0.2">
      <c r="C93" s="638"/>
      <c r="D93" s="638"/>
      <c r="E93" s="638"/>
      <c r="F93" s="638"/>
      <c r="G93" s="638"/>
      <c r="H93" s="638"/>
      <c r="I93" s="638"/>
      <c r="J93" s="638"/>
      <c r="K93" s="638"/>
      <c r="L93" s="638"/>
      <c r="M93" s="638"/>
      <c r="N93" s="638"/>
      <c r="O93" s="638"/>
      <c r="P93" s="638"/>
      <c r="Q93" s="638"/>
      <c r="R93" s="638"/>
    </row>
    <row r="94" spans="1:18" x14ac:dyDescent="0.2">
      <c r="A94" s="2308" t="s">
        <v>534</v>
      </c>
      <c r="B94" s="2308"/>
      <c r="O94" s="638"/>
      <c r="P94" s="638"/>
      <c r="Q94" s="638"/>
      <c r="R94" s="638"/>
    </row>
    <row r="95" spans="1:18" x14ac:dyDescent="0.2">
      <c r="A95" s="2308" t="s">
        <v>380</v>
      </c>
      <c r="B95" s="2308" t="s">
        <v>535</v>
      </c>
    </row>
    <row r="96" spans="1:18" x14ac:dyDescent="0.2">
      <c r="A96" s="2308" t="s">
        <v>381</v>
      </c>
      <c r="B96" s="2308" t="s">
        <v>535</v>
      </c>
    </row>
    <row r="97" spans="1:2" x14ac:dyDescent="0.2">
      <c r="A97" s="2308" t="s">
        <v>382</v>
      </c>
      <c r="B97" s="2308" t="s">
        <v>535</v>
      </c>
    </row>
    <row r="98" spans="1:2" x14ac:dyDescent="0.2">
      <c r="A98" s="2308" t="s">
        <v>383</v>
      </c>
      <c r="B98" s="2308" t="s">
        <v>535</v>
      </c>
    </row>
    <row r="99" spans="1:2" x14ac:dyDescent="0.2">
      <c r="A99" s="2308" t="s">
        <v>384</v>
      </c>
      <c r="B99" s="2308" t="s">
        <v>535</v>
      </c>
    </row>
    <row r="100" spans="1:2" x14ac:dyDescent="0.2">
      <c r="A100" s="2308" t="s">
        <v>385</v>
      </c>
      <c r="B100" s="2308" t="s">
        <v>535</v>
      </c>
    </row>
    <row r="101" spans="1:2" x14ac:dyDescent="0.2">
      <c r="A101" s="2308" t="s">
        <v>386</v>
      </c>
      <c r="B101" s="2308" t="s">
        <v>535</v>
      </c>
    </row>
    <row r="102" spans="1:2" x14ac:dyDescent="0.2">
      <c r="A102" s="2308" t="s">
        <v>387</v>
      </c>
      <c r="B102" s="2308" t="s">
        <v>535</v>
      </c>
    </row>
    <row r="103" spans="1:2" x14ac:dyDescent="0.2">
      <c r="A103" s="2308" t="s">
        <v>388</v>
      </c>
      <c r="B103" s="2308" t="s">
        <v>535</v>
      </c>
    </row>
    <row r="104" spans="1:2" x14ac:dyDescent="0.2">
      <c r="A104" s="2308" t="s">
        <v>389</v>
      </c>
      <c r="B104" s="2308" t="s">
        <v>535</v>
      </c>
    </row>
  </sheetData>
  <sheetProtection algorithmName="SHA-512" hashValue="tV7bhKPAjlfpJoFte5IyxtWGuDsdH6YIsRFvx6AUcEJaswS/7z2cXrNAmmdxbFo1QsPrnZh1vsFm9w5wk+cbDg==" saltValue="qzU+ud9RUtfqsRWWs7vi0Q==" spinCount="100000" sheet="1" objects="1" scenarios="1" autoFilter="0"/>
  <mergeCells count="9">
    <mergeCell ref="G20:I20"/>
    <mergeCell ref="C47:R47"/>
    <mergeCell ref="C72:Q72"/>
    <mergeCell ref="E18:M18"/>
    <mergeCell ref="S1:S3"/>
    <mergeCell ref="O7:Q7"/>
    <mergeCell ref="O8:Q8"/>
    <mergeCell ref="O9:Q9"/>
    <mergeCell ref="O10:Q10"/>
  </mergeCells>
  <conditionalFormatting sqref="S1:T3">
    <cfRule type="cellIs" dxfId="161" priority="13" stopIfTrue="1" operator="equal">
      <formula>"na"</formula>
    </cfRule>
  </conditionalFormatting>
  <conditionalFormatting sqref="T14">
    <cfRule type="containsText" dxfId="160" priority="11" stopIfTrue="1" operator="containsText" text="Answer Missing">
      <formula>NOT(ISERROR(SEARCH("Answer Missing",T14)))</formula>
    </cfRule>
  </conditionalFormatting>
  <conditionalFormatting sqref="T23">
    <cfRule type="containsText" dxfId="159" priority="1" stopIfTrue="1" operator="containsText" text="Answer Missing">
      <formula>NOT(ISERROR(SEARCH("Answer Missing",T23)))</formula>
    </cfRule>
  </conditionalFormatting>
  <conditionalFormatting sqref="T28">
    <cfRule type="containsText" dxfId="158" priority="12" stopIfTrue="1" operator="containsText" text="Answer Missing">
      <formula>NOT(ISERROR(SEARCH("Answer Missing",T28)))</formula>
    </cfRule>
  </conditionalFormatting>
  <conditionalFormatting sqref="T44">
    <cfRule type="containsText" dxfId="157" priority="9" stopIfTrue="1" operator="containsText" text="Answer Missing">
      <formula>NOT(ISERROR(SEARCH("Answer Missing",T44)))</formula>
    </cfRule>
  </conditionalFormatting>
  <conditionalFormatting sqref="T49">
    <cfRule type="containsText" dxfId="156" priority="7" stopIfTrue="1" operator="containsText" text="Answer Missing">
      <formula>NOT(ISERROR(SEARCH("Answer Missing",T49)))</formula>
    </cfRule>
  </conditionalFormatting>
  <conditionalFormatting sqref="T57">
    <cfRule type="containsText" dxfId="155" priority="8" stopIfTrue="1" operator="containsText" text="Answer Missing">
      <formula>NOT(ISERROR(SEARCH("Answer Missing",T57)))</formula>
    </cfRule>
  </conditionalFormatting>
  <conditionalFormatting sqref="T69">
    <cfRule type="containsText" dxfId="154" priority="4" stopIfTrue="1" operator="containsText" text="Answer Missing">
      <formula>NOT(ISERROR(SEARCH("Answer Missing",T69)))</formula>
    </cfRule>
  </conditionalFormatting>
  <hyperlinks>
    <hyperlink ref="B1:K1" location="Index!A1" display="Index!A1" xr:uid="{32D944AE-01DD-4ED4-B58F-552F3BBB9C6A}"/>
  </hyperlinks>
  <pageMargins left="0.6" right="0.6" top="0.5" bottom="0.5" header="0.3" footer="0.3"/>
  <pageSetup scale="78" fitToHeight="0" orientation="portrait" r:id="rId1"/>
  <ignoredErrors>
    <ignoredError sqref="M41 O3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L89"/>
  <sheetViews>
    <sheetView showGridLines="0" topLeftCell="B1" zoomScaleNormal="100" workbookViewId="0">
      <selection activeCell="D18" sqref="D18:J18"/>
    </sheetView>
  </sheetViews>
  <sheetFormatPr defaultColWidth="9.42578125" defaultRowHeight="12.75" x14ac:dyDescent="0.2"/>
  <cols>
    <col min="1" max="1" width="9.42578125" style="48" hidden="1" customWidth="1"/>
    <col min="2" max="3" width="3.42578125" style="48" customWidth="1"/>
    <col min="4" max="4" width="7.5703125" style="48" customWidth="1"/>
    <col min="5" max="5" width="8.5703125" style="48" customWidth="1"/>
    <col min="6" max="6" width="22.5703125" style="48" customWidth="1"/>
    <col min="7" max="7" width="7.5703125" style="48" customWidth="1"/>
    <col min="8" max="8" width="8.5703125" style="48" customWidth="1"/>
    <col min="9" max="9" width="7.42578125" style="48" customWidth="1"/>
    <col min="10" max="10" width="21.5703125" style="48" customWidth="1"/>
    <col min="11" max="11" width="4.5703125" style="48" customWidth="1"/>
    <col min="12" max="16384" width="9.42578125" style="48"/>
  </cols>
  <sheetData>
    <row r="1" spans="1:12" ht="15.75" x14ac:dyDescent="0.25">
      <c r="A1" s="48" t="str">
        <f t="shared" ref="A1:A10" si="0">AgyIdx</f>
        <v>01</v>
      </c>
      <c r="B1" s="2384" t="str">
        <f>+Index!$A$1</f>
        <v xml:space="preserve">                                                               Office of the State Controller                                                                </v>
      </c>
      <c r="C1" s="2384"/>
      <c r="D1" s="2384"/>
      <c r="E1" s="2384"/>
      <c r="F1" s="2384"/>
      <c r="G1" s="2384"/>
      <c r="H1" s="2384"/>
      <c r="I1" s="2384"/>
      <c r="J1" s="2384"/>
      <c r="K1" s="2450"/>
    </row>
    <row r="2" spans="1:12" ht="15.75" x14ac:dyDescent="0.25">
      <c r="A2" s="48" t="str">
        <f t="shared" si="0"/>
        <v>01</v>
      </c>
      <c r="B2" s="2452" t="str">
        <f>+Index!$A$2</f>
        <v>2023 ACFR Worksheets</v>
      </c>
      <c r="C2" s="2452"/>
      <c r="D2" s="2452"/>
      <c r="E2" s="2452"/>
      <c r="F2" s="2452"/>
      <c r="G2" s="2452"/>
      <c r="H2" s="2452"/>
      <c r="I2" s="2452"/>
      <c r="J2" s="2452"/>
      <c r="K2" s="2450"/>
    </row>
    <row r="3" spans="1:12" ht="15" x14ac:dyDescent="0.25">
      <c r="A3" s="48" t="str">
        <f t="shared" si="0"/>
        <v>01</v>
      </c>
      <c r="B3" s="2466" t="s">
        <v>536</v>
      </c>
      <c r="C3" s="2466"/>
      <c r="D3" s="2466"/>
      <c r="E3" s="2466"/>
      <c r="F3" s="2466"/>
      <c r="G3" s="2466"/>
      <c r="H3" s="2466"/>
      <c r="I3" s="2466"/>
      <c r="J3" s="2466"/>
      <c r="K3" s="2450"/>
    </row>
    <row r="4" spans="1:12" ht="12.75" customHeight="1" x14ac:dyDescent="0.2">
      <c r="A4" s="48" t="str">
        <f t="shared" si="0"/>
        <v>01</v>
      </c>
      <c r="B4" s="268"/>
      <c r="C4" s="268"/>
      <c r="D4" s="268"/>
      <c r="E4" s="268"/>
      <c r="F4" s="268"/>
      <c r="G4" s="268"/>
      <c r="H4" s="268"/>
      <c r="I4" s="268"/>
      <c r="J4" s="263"/>
      <c r="K4" s="264"/>
    </row>
    <row r="5" spans="1:12" x14ac:dyDescent="0.2">
      <c r="A5" s="48" t="str">
        <f t="shared" si="0"/>
        <v>01</v>
      </c>
      <c r="B5" s="638"/>
      <c r="C5" s="638"/>
      <c r="D5" s="638"/>
      <c r="E5" s="266"/>
      <c r="F5" s="828"/>
      <c r="G5" s="820" t="s">
        <v>317</v>
      </c>
      <c r="H5" s="821" t="str">
        <f>+Index!$E$10</f>
        <v>01</v>
      </c>
      <c r="I5" s="822"/>
      <c r="J5" s="822"/>
    </row>
    <row r="6" spans="1:12" x14ac:dyDescent="0.2">
      <c r="A6" s="48" t="str">
        <f t="shared" si="0"/>
        <v>01</v>
      </c>
      <c r="B6" s="638"/>
      <c r="C6" s="638"/>
      <c r="D6" s="638"/>
      <c r="E6" s="638"/>
      <c r="F6" s="2217"/>
      <c r="G6" s="820" t="s">
        <v>318</v>
      </c>
      <c r="H6" s="823" t="str">
        <f>AgyName</f>
        <v>North Carolina General Assembly</v>
      </c>
      <c r="I6" s="824"/>
      <c r="J6" s="824"/>
    </row>
    <row r="7" spans="1:12" x14ac:dyDescent="0.2">
      <c r="A7" s="48" t="str">
        <f t="shared" si="0"/>
        <v>01</v>
      </c>
      <c r="B7" s="2458" t="s">
        <v>476</v>
      </c>
      <c r="C7" s="2396"/>
      <c r="D7" s="2396"/>
      <c r="E7" s="819" t="s">
        <v>477</v>
      </c>
      <c r="F7" s="268"/>
      <c r="G7" s="820" t="s">
        <v>319</v>
      </c>
      <c r="H7" s="825" t="str">
        <f>CONCATENATE(Index!$E$12," ",Index!$E$14)</f>
        <v xml:space="preserve"> </v>
      </c>
      <c r="I7" s="2339"/>
      <c r="J7" s="2339"/>
    </row>
    <row r="8" spans="1:12" x14ac:dyDescent="0.2">
      <c r="A8" s="48" t="str">
        <f t="shared" si="0"/>
        <v>01</v>
      </c>
      <c r="B8" s="2217"/>
      <c r="C8" s="2217"/>
      <c r="D8" s="828"/>
      <c r="E8" s="268"/>
      <c r="F8" s="268"/>
      <c r="G8" s="820" t="s">
        <v>71</v>
      </c>
      <c r="H8" s="825">
        <f>+Index!$E$13</f>
        <v>0</v>
      </c>
      <c r="I8" s="2339"/>
      <c r="J8" s="2339"/>
    </row>
    <row r="9" spans="1:12" ht="10.35" customHeight="1" thickBot="1" x14ac:dyDescent="0.25">
      <c r="A9" s="48" t="str">
        <f t="shared" si="0"/>
        <v>01</v>
      </c>
      <c r="B9" s="829"/>
      <c r="C9" s="829"/>
      <c r="D9" s="829"/>
      <c r="E9" s="829"/>
      <c r="F9" s="829"/>
      <c r="G9" s="829"/>
      <c r="H9" s="829"/>
      <c r="I9" s="829"/>
      <c r="J9" s="829"/>
    </row>
    <row r="10" spans="1:12" ht="9" customHeight="1" x14ac:dyDescent="0.25">
      <c r="A10" s="48" t="str">
        <f t="shared" si="0"/>
        <v>01</v>
      </c>
      <c r="B10" s="2220"/>
      <c r="C10" s="2220"/>
      <c r="D10" s="2220"/>
      <c r="E10" s="2220"/>
      <c r="F10" s="2220"/>
      <c r="G10" s="2220"/>
      <c r="H10" s="2220"/>
      <c r="I10" s="2220"/>
      <c r="J10" s="2220"/>
    </row>
    <row r="11" spans="1:12" ht="15.75" customHeight="1" x14ac:dyDescent="0.2">
      <c r="B11" s="723" t="s">
        <v>537</v>
      </c>
      <c r="C11" s="723"/>
      <c r="D11" s="723"/>
      <c r="E11" s="723"/>
      <c r="F11" s="723"/>
      <c r="G11" s="723"/>
      <c r="H11" s="723"/>
      <c r="I11" s="723"/>
      <c r="J11" s="723"/>
      <c r="K11" s="826"/>
      <c r="L11" s="805"/>
    </row>
    <row r="12" spans="1:12" ht="12.75" customHeight="1" x14ac:dyDescent="0.2">
      <c r="B12" s="723" t="s">
        <v>538</v>
      </c>
      <c r="C12" s="723"/>
      <c r="D12" s="723"/>
      <c r="E12" s="723"/>
      <c r="F12" s="723"/>
      <c r="G12" s="723"/>
      <c r="H12" s="723"/>
      <c r="I12" s="723"/>
      <c r="J12" s="723"/>
      <c r="K12" s="826"/>
      <c r="L12" s="805"/>
    </row>
    <row r="13" spans="1:12" ht="12.75" customHeight="1" x14ac:dyDescent="0.2">
      <c r="B13" s="2468" t="s">
        <v>539</v>
      </c>
      <c r="C13" s="2469"/>
      <c r="D13" s="2469"/>
      <c r="E13" s="2469"/>
      <c r="F13" s="2469"/>
      <c r="G13" s="723"/>
      <c r="H13" s="723"/>
      <c r="I13" s="723"/>
      <c r="J13" s="723"/>
      <c r="K13" s="826"/>
      <c r="L13" s="805"/>
    </row>
    <row r="14" spans="1:12" ht="12.75" customHeight="1" x14ac:dyDescent="0.2">
      <c r="B14" s="883"/>
      <c r="C14" s="723"/>
      <c r="D14" s="723"/>
      <c r="E14" s="723"/>
      <c r="F14" s="723"/>
      <c r="G14" s="723"/>
      <c r="H14" s="723"/>
      <c r="I14" s="723"/>
      <c r="J14" s="723"/>
      <c r="K14" s="826"/>
      <c r="L14" s="805"/>
    </row>
    <row r="15" spans="1:12" s="50" customFormat="1" ht="12.75" customHeight="1" x14ac:dyDescent="0.25">
      <c r="B15" s="723" t="s">
        <v>540</v>
      </c>
      <c r="C15" s="637"/>
      <c r="D15" s="638"/>
      <c r="E15" s="638"/>
      <c r="F15" s="638"/>
      <c r="G15" s="638"/>
      <c r="H15" s="638"/>
      <c r="I15" s="638"/>
      <c r="J15" s="638"/>
      <c r="K15" s="48"/>
    </row>
    <row r="16" spans="1:12" s="50" customFormat="1" ht="12.75" customHeight="1" x14ac:dyDescent="0.25">
      <c r="B16" s="723" t="s">
        <v>541</v>
      </c>
      <c r="C16" s="637"/>
      <c r="D16" s="638"/>
      <c r="E16" s="638"/>
      <c r="F16" s="638"/>
      <c r="G16" s="638"/>
      <c r="H16" s="638"/>
      <c r="I16" s="638"/>
      <c r="J16" s="638"/>
      <c r="K16" s="48"/>
    </row>
    <row r="17" spans="2:11" s="50" customFormat="1" ht="4.3499999999999996" customHeight="1" x14ac:dyDescent="0.25">
      <c r="B17" s="723"/>
      <c r="C17" s="637"/>
      <c r="D17" s="638"/>
      <c r="E17" s="638"/>
      <c r="F17" s="638"/>
      <c r="G17" s="638"/>
      <c r="H17" s="638"/>
      <c r="I17" s="638"/>
      <c r="J17" s="638"/>
      <c r="K17" s="48"/>
    </row>
    <row r="18" spans="2:11" s="50" customFormat="1" ht="12.75" customHeight="1" x14ac:dyDescent="0.25">
      <c r="B18" s="638"/>
      <c r="C18" s="723" t="s">
        <v>542</v>
      </c>
      <c r="D18" s="2467" t="s">
        <v>543</v>
      </c>
      <c r="E18" s="2396"/>
      <c r="F18" s="2396"/>
      <c r="G18" s="2396"/>
      <c r="H18" s="2396"/>
      <c r="I18" s="2396"/>
      <c r="J18" s="2396"/>
      <c r="K18" s="48"/>
    </row>
    <row r="19" spans="2:11" s="50" customFormat="1" ht="12.75" customHeight="1" x14ac:dyDescent="0.25">
      <c r="B19" s="638"/>
      <c r="C19" s="723"/>
      <c r="D19" s="2467" t="s">
        <v>544</v>
      </c>
      <c r="E19" s="2396"/>
      <c r="F19" s="2396"/>
      <c r="G19" s="2396"/>
      <c r="H19" s="2396"/>
      <c r="I19" s="2396"/>
      <c r="J19" s="2396"/>
      <c r="K19" s="48"/>
    </row>
    <row r="20" spans="2:11" s="50" customFormat="1" ht="4.3499999999999996" customHeight="1" x14ac:dyDescent="0.25">
      <c r="B20" s="638"/>
      <c r="C20" s="723"/>
      <c r="D20" s="2467"/>
      <c r="E20" s="2396"/>
      <c r="F20" s="2396"/>
      <c r="G20" s="2396"/>
      <c r="H20" s="2396"/>
      <c r="I20" s="2396"/>
      <c r="J20" s="2396"/>
      <c r="K20" s="48"/>
    </row>
    <row r="21" spans="2:11" s="50" customFormat="1" ht="12.75" customHeight="1" x14ac:dyDescent="0.25">
      <c r="B21" s="638"/>
      <c r="C21" s="723" t="s">
        <v>545</v>
      </c>
      <c r="D21" s="2467" t="s">
        <v>546</v>
      </c>
      <c r="E21" s="2396"/>
      <c r="F21" s="2396"/>
      <c r="G21" s="2396"/>
      <c r="H21" s="2396"/>
      <c r="I21" s="2396"/>
      <c r="J21" s="2396"/>
      <c r="K21" s="48"/>
    </row>
    <row r="22" spans="2:11" s="50" customFormat="1" ht="12.75" customHeight="1" x14ac:dyDescent="0.25">
      <c r="B22" s="638"/>
      <c r="C22" s="723"/>
      <c r="D22" s="2221" t="s">
        <v>547</v>
      </c>
      <c r="E22" s="159"/>
      <c r="F22" s="159"/>
      <c r="G22" s="159"/>
      <c r="H22" s="159"/>
      <c r="I22" s="159"/>
      <c r="J22" s="159"/>
      <c r="K22" s="48"/>
    </row>
    <row r="23" spans="2:11" s="50" customFormat="1" ht="4.3499999999999996" customHeight="1" x14ac:dyDescent="0.25">
      <c r="B23" s="638"/>
      <c r="C23" s="723"/>
      <c r="D23" s="2467"/>
      <c r="E23" s="2396"/>
      <c r="F23" s="2396"/>
      <c r="G23" s="2396"/>
      <c r="H23" s="2396"/>
      <c r="I23" s="2396"/>
      <c r="J23" s="2396"/>
      <c r="K23" s="48"/>
    </row>
    <row r="24" spans="2:11" s="50" customFormat="1" ht="15.75" x14ac:dyDescent="0.25">
      <c r="B24" s="638"/>
      <c r="C24" s="723" t="s">
        <v>548</v>
      </c>
      <c r="D24" s="2396" t="s">
        <v>549</v>
      </c>
      <c r="E24" s="2396"/>
      <c r="F24" s="2396"/>
      <c r="G24" s="2396"/>
      <c r="H24" s="2396"/>
      <c r="I24" s="2396"/>
      <c r="J24" s="2396"/>
      <c r="K24" s="48"/>
    </row>
    <row r="25" spans="2:11" s="50" customFormat="1" ht="12.75" customHeight="1" x14ac:dyDescent="0.25">
      <c r="B25" s="638"/>
      <c r="C25" s="723"/>
      <c r="D25" s="2396" t="s">
        <v>550</v>
      </c>
      <c r="E25" s="2396"/>
      <c r="F25" s="2396"/>
      <c r="G25" s="2396"/>
      <c r="H25" s="2396"/>
      <c r="I25" s="2396"/>
      <c r="J25" s="2396"/>
      <c r="K25" s="48"/>
    </row>
    <row r="26" spans="2:11" s="50" customFormat="1" ht="12.75" customHeight="1" x14ac:dyDescent="0.25">
      <c r="B26" s="638"/>
      <c r="C26" s="723"/>
      <c r="D26" s="159" t="s">
        <v>551</v>
      </c>
      <c r="E26" s="159"/>
      <c r="F26" s="159"/>
      <c r="G26" s="159"/>
      <c r="H26" s="159"/>
      <c r="I26" s="159"/>
      <c r="J26" s="159"/>
      <c r="K26" s="48"/>
    </row>
    <row r="27" spans="2:11" s="50" customFormat="1" ht="12.75" customHeight="1" x14ac:dyDescent="0.25">
      <c r="B27" s="637"/>
      <c r="C27" s="637"/>
      <c r="D27" s="638"/>
      <c r="E27" s="638"/>
      <c r="F27" s="638"/>
      <c r="G27" s="638"/>
      <c r="H27" s="638"/>
      <c r="I27" s="638"/>
      <c r="J27" s="638"/>
      <c r="K27" s="48"/>
    </row>
    <row r="28" spans="2:11" s="50" customFormat="1" ht="12.75" customHeight="1" x14ac:dyDescent="0.25">
      <c r="B28" s="723" t="s">
        <v>552</v>
      </c>
      <c r="C28" s="637"/>
      <c r="D28" s="638"/>
      <c r="E28" s="638"/>
      <c r="F28" s="638"/>
      <c r="G28" s="638"/>
      <c r="H28" s="638"/>
      <c r="I28" s="638"/>
      <c r="J28" s="638"/>
      <c r="K28" s="48"/>
    </row>
    <row r="29" spans="2:11" s="50" customFormat="1" ht="12.75" customHeight="1" x14ac:dyDescent="0.25">
      <c r="B29" s="723" t="s">
        <v>553</v>
      </c>
      <c r="C29" s="637"/>
      <c r="D29" s="638"/>
      <c r="E29" s="638"/>
      <c r="F29" s="638"/>
      <c r="G29" s="638"/>
      <c r="H29" s="638"/>
      <c r="I29" s="638"/>
      <c r="J29" s="638"/>
      <c r="K29" s="48"/>
    </row>
    <row r="30" spans="2:11" s="50" customFormat="1" ht="12.75" customHeight="1" x14ac:dyDescent="0.25">
      <c r="B30" s="637"/>
      <c r="C30" s="637"/>
      <c r="D30" s="638"/>
      <c r="E30" s="638"/>
      <c r="F30" s="638"/>
      <c r="G30" s="638"/>
      <c r="H30" s="638"/>
      <c r="I30" s="638"/>
      <c r="J30" s="638"/>
      <c r="K30" s="48"/>
    </row>
    <row r="31" spans="2:11" s="50" customFormat="1" ht="12.75" customHeight="1" x14ac:dyDescent="0.25">
      <c r="B31" s="637"/>
      <c r="C31" s="637"/>
      <c r="D31" s="639" t="s">
        <v>339</v>
      </c>
      <c r="E31" s="931"/>
      <c r="F31" s="2209" t="str">
        <f>IF(AND(ISBLANK(E31),ISBLANK(E32))=TRUE,"Answer Missing"," ")</f>
        <v>Answer Missing</v>
      </c>
      <c r="G31" s="638"/>
      <c r="H31" s="638"/>
      <c r="I31" s="638"/>
      <c r="J31" s="638"/>
      <c r="K31" s="48"/>
    </row>
    <row r="32" spans="2:11" s="50" customFormat="1" ht="12.75" customHeight="1" x14ac:dyDescent="0.25">
      <c r="B32" s="637"/>
      <c r="C32" s="637"/>
      <c r="D32" s="639" t="s">
        <v>340</v>
      </c>
      <c r="E32" s="931"/>
      <c r="F32" s="638"/>
      <c r="G32" s="638"/>
      <c r="H32" s="638"/>
      <c r="I32" s="638"/>
      <c r="J32" s="638"/>
      <c r="K32" s="48"/>
    </row>
    <row r="33" spans="2:12" s="50" customFormat="1" ht="12.75" customHeight="1" x14ac:dyDescent="0.25">
      <c r="B33" s="637"/>
      <c r="C33" s="637"/>
      <c r="D33" s="639"/>
      <c r="E33" s="928"/>
      <c r="F33" s="638"/>
      <c r="G33" s="638"/>
      <c r="H33" s="638"/>
      <c r="I33" s="638"/>
      <c r="J33" s="638"/>
      <c r="K33" s="48"/>
    </row>
    <row r="34" spans="2:12" s="50" customFormat="1" ht="12.75" customHeight="1" x14ac:dyDescent="0.25">
      <c r="B34" s="638" t="s">
        <v>554</v>
      </c>
      <c r="C34" s="637"/>
      <c r="D34" s="638"/>
      <c r="E34" s="638"/>
      <c r="F34" s="638"/>
      <c r="G34" s="638"/>
      <c r="H34" s="638"/>
      <c r="I34" s="638"/>
      <c r="J34" s="638"/>
      <c r="K34" s="48"/>
    </row>
    <row r="35" spans="2:12" s="50" customFormat="1" ht="12.75" customHeight="1" x14ac:dyDescent="0.25">
      <c r="B35" s="638" t="s">
        <v>555</v>
      </c>
      <c r="C35" s="637"/>
      <c r="D35" s="638"/>
      <c r="E35" s="638"/>
      <c r="F35" s="638"/>
      <c r="G35" s="638"/>
      <c r="H35" s="638"/>
      <c r="I35" s="638"/>
      <c r="J35" s="638"/>
      <c r="K35" s="48"/>
    </row>
    <row r="36" spans="2:12" s="50" customFormat="1" ht="12.75" customHeight="1" x14ac:dyDescent="0.25">
      <c r="B36" s="638" t="s">
        <v>556</v>
      </c>
      <c r="C36" s="637"/>
      <c r="D36" s="638"/>
      <c r="E36" s="638"/>
      <c r="F36" s="638"/>
      <c r="G36" s="638"/>
      <c r="H36" s="638"/>
      <c r="I36" s="638"/>
      <c r="J36" s="638"/>
      <c r="K36" s="48"/>
    </row>
    <row r="37" spans="2:12" s="50" customFormat="1" ht="12.75" customHeight="1" x14ac:dyDescent="0.25">
      <c r="B37" s="637"/>
      <c r="C37" s="637"/>
      <c r="D37" s="973"/>
      <c r="E37" s="929" t="s">
        <v>557</v>
      </c>
      <c r="F37" s="638"/>
      <c r="G37" s="638"/>
      <c r="H37" s="638"/>
      <c r="I37" s="638"/>
      <c r="J37" s="638"/>
      <c r="K37" s="48"/>
    </row>
    <row r="38" spans="2:12" s="50" customFormat="1" ht="12.75" customHeight="1" x14ac:dyDescent="0.25">
      <c r="B38" s="637"/>
      <c r="C38" s="637"/>
      <c r="D38" s="977"/>
      <c r="E38" s="929" t="s">
        <v>558</v>
      </c>
      <c r="F38" s="638"/>
      <c r="G38" s="638"/>
      <c r="H38" s="638"/>
      <c r="I38" s="638"/>
      <c r="J38" s="638"/>
      <c r="K38" s="48"/>
    </row>
    <row r="39" spans="2:12" s="50" customFormat="1" ht="12.75" customHeight="1" x14ac:dyDescent="0.25">
      <c r="B39" s="637"/>
      <c r="C39" s="637"/>
      <c r="D39" s="977"/>
      <c r="E39" s="929" t="s">
        <v>559</v>
      </c>
      <c r="F39" s="638"/>
      <c r="G39" s="638"/>
      <c r="H39" s="638"/>
      <c r="I39" s="638"/>
      <c r="J39" s="638"/>
      <c r="K39" s="48"/>
    </row>
    <row r="40" spans="2:12" s="50" customFormat="1" ht="12.75" customHeight="1" x14ac:dyDescent="0.25">
      <c r="B40" s="637"/>
      <c r="C40" s="637"/>
      <c r="D40" s="977"/>
      <c r="E40" s="929" t="s">
        <v>560</v>
      </c>
      <c r="F40" s="638"/>
      <c r="G40" s="638"/>
      <c r="H40" s="638"/>
      <c r="I40" s="638"/>
      <c r="J40" s="638"/>
      <c r="K40" s="48"/>
    </row>
    <row r="41" spans="2:12" s="50" customFormat="1" ht="12.75" customHeight="1" x14ac:dyDescent="0.25">
      <c r="B41" s="637"/>
      <c r="C41" s="637"/>
      <c r="D41" s="930"/>
      <c r="E41" s="929"/>
      <c r="F41" s="638"/>
      <c r="G41" s="638"/>
      <c r="H41" s="638"/>
      <c r="I41" s="638"/>
      <c r="J41" s="638"/>
      <c r="K41" s="48"/>
    </row>
    <row r="42" spans="2:12" s="50" customFormat="1" ht="12.75" customHeight="1" x14ac:dyDescent="0.25">
      <c r="B42" s="827" t="s">
        <v>486</v>
      </c>
      <c r="C42" s="637"/>
      <c r="D42" s="638"/>
      <c r="E42" s="638"/>
      <c r="F42" s="638"/>
      <c r="G42" s="638"/>
      <c r="H42" s="638"/>
      <c r="I42" s="638"/>
      <c r="J42" s="638"/>
      <c r="K42" s="48"/>
    </row>
    <row r="43" spans="2:12" ht="12.75" customHeight="1" x14ac:dyDescent="0.2">
      <c r="B43" s="723" t="s">
        <v>561</v>
      </c>
      <c r="C43" s="160"/>
      <c r="D43" s="160"/>
      <c r="E43" s="160"/>
      <c r="F43" s="160"/>
      <c r="G43" s="160"/>
      <c r="H43" s="160"/>
      <c r="I43" s="160"/>
      <c r="J43" s="638"/>
    </row>
    <row r="44" spans="2:12" ht="12.75" customHeight="1" x14ac:dyDescent="0.2">
      <c r="B44" s="723" t="s">
        <v>562</v>
      </c>
      <c r="C44" s="160"/>
      <c r="D44" s="160"/>
      <c r="E44" s="160"/>
      <c r="F44" s="160"/>
      <c r="G44" s="160"/>
      <c r="H44" s="160"/>
      <c r="I44" s="160"/>
      <c r="J44" s="638"/>
    </row>
    <row r="45" spans="2:12" ht="12" customHeight="1" x14ac:dyDescent="0.2">
      <c r="B45" s="637"/>
      <c r="C45" s="637"/>
      <c r="D45" s="638"/>
      <c r="E45" s="638"/>
      <c r="F45" s="638"/>
      <c r="G45" s="638"/>
      <c r="H45" s="638"/>
      <c r="I45" s="638"/>
      <c r="J45" s="638"/>
    </row>
    <row r="46" spans="2:12" ht="5.0999999999999996" customHeight="1" x14ac:dyDescent="0.2">
      <c r="B46" s="637"/>
      <c r="C46" s="637"/>
      <c r="D46" s="638"/>
      <c r="E46" s="638"/>
      <c r="F46" s="638"/>
      <c r="G46" s="638"/>
      <c r="H46" s="638"/>
      <c r="I46" s="638"/>
      <c r="J46" s="638"/>
    </row>
    <row r="47" spans="2:12" ht="15.75" customHeight="1" x14ac:dyDescent="0.2">
      <c r="B47" s="638"/>
      <c r="C47" s="638"/>
      <c r="D47" s="638"/>
      <c r="E47" s="638"/>
      <c r="F47" s="638"/>
      <c r="G47" s="638"/>
      <c r="H47" s="638"/>
      <c r="I47" s="638"/>
      <c r="J47" s="638"/>
    </row>
    <row r="48" spans="2:12" ht="15.75" customHeight="1" x14ac:dyDescent="0.2">
      <c r="B48" s="638"/>
      <c r="C48" s="638"/>
      <c r="D48" s="638"/>
      <c r="E48" s="638"/>
      <c r="F48" s="638"/>
      <c r="G48" s="638"/>
      <c r="H48" s="638"/>
      <c r="I48" s="638"/>
      <c r="J48" s="160"/>
      <c r="K48" s="160"/>
      <c r="L48" s="28"/>
    </row>
    <row r="49" spans="2:12" ht="15.75" customHeight="1" x14ac:dyDescent="0.2">
      <c r="B49" s="638"/>
      <c r="C49" s="638"/>
      <c r="D49" s="638"/>
      <c r="E49" s="638"/>
      <c r="F49" s="638"/>
      <c r="G49" s="638"/>
      <c r="H49" s="638"/>
      <c r="I49" s="638"/>
      <c r="J49" s="160"/>
      <c r="K49" s="160"/>
      <c r="L49" s="160"/>
    </row>
    <row r="50" spans="2:12" ht="15.75" customHeight="1" x14ac:dyDescent="0.2">
      <c r="B50" s="637"/>
      <c r="C50" s="637"/>
      <c r="D50" s="638"/>
      <c r="E50" s="638"/>
      <c r="F50" s="638"/>
      <c r="G50" s="638"/>
      <c r="H50" s="638"/>
      <c r="I50" s="638"/>
      <c r="J50" s="638"/>
    </row>
    <row r="51" spans="2:12" ht="12" customHeight="1" x14ac:dyDescent="0.2">
      <c r="B51" s="637"/>
      <c r="C51" s="637"/>
      <c r="D51" s="638"/>
      <c r="E51" s="638"/>
      <c r="F51" s="638"/>
      <c r="G51" s="638"/>
      <c r="H51" s="638"/>
      <c r="I51" s="638"/>
      <c r="J51" s="638"/>
    </row>
    <row r="52" spans="2:12" ht="12" customHeight="1" x14ac:dyDescent="0.2">
      <c r="B52" s="637"/>
      <c r="C52" s="637"/>
      <c r="D52" s="638"/>
      <c r="E52" s="638"/>
      <c r="F52" s="638"/>
      <c r="G52" s="638"/>
      <c r="H52" s="638"/>
      <c r="I52" s="638"/>
      <c r="J52" s="638"/>
    </row>
    <row r="53" spans="2:12" ht="12" customHeight="1" x14ac:dyDescent="0.2">
      <c r="B53" s="637"/>
      <c r="C53" s="637"/>
      <c r="D53" s="638"/>
      <c r="E53" s="638"/>
      <c r="F53" s="638"/>
      <c r="G53" s="638"/>
      <c r="H53" s="638"/>
      <c r="I53" s="638"/>
      <c r="J53" s="638"/>
    </row>
    <row r="54" spans="2:12" ht="12" customHeight="1" x14ac:dyDescent="0.2">
      <c r="B54" s="637"/>
      <c r="C54" s="637"/>
      <c r="D54" s="638"/>
      <c r="E54" s="638"/>
      <c r="F54" s="638"/>
      <c r="G54" s="638"/>
      <c r="H54" s="638"/>
      <c r="I54" s="638"/>
      <c r="J54" s="638"/>
    </row>
    <row r="55" spans="2:12" ht="5.0999999999999996" customHeight="1" x14ac:dyDescent="0.2">
      <c r="B55" s="637"/>
      <c r="C55" s="637"/>
      <c r="D55" s="638"/>
      <c r="E55" s="638"/>
      <c r="F55" s="638"/>
      <c r="G55" s="638"/>
      <c r="H55" s="638"/>
      <c r="I55" s="638"/>
      <c r="J55" s="638"/>
    </row>
    <row r="56" spans="2:12" ht="12" customHeight="1" x14ac:dyDescent="0.2">
      <c r="B56" s="637"/>
      <c r="C56" s="637"/>
      <c r="D56" s="638"/>
      <c r="E56" s="638"/>
      <c r="F56" s="638"/>
      <c r="G56" s="638"/>
      <c r="H56" s="638"/>
      <c r="I56" s="638"/>
      <c r="J56" s="638"/>
    </row>
    <row r="57" spans="2:12" ht="12" customHeight="1" x14ac:dyDescent="0.2">
      <c r="B57" s="637"/>
      <c r="C57" s="637"/>
      <c r="D57" s="638"/>
      <c r="E57" s="638"/>
      <c r="F57" s="638"/>
      <c r="G57" s="638"/>
      <c r="H57" s="638"/>
      <c r="I57" s="638"/>
      <c r="J57" s="638"/>
    </row>
    <row r="58" spans="2:12" ht="12" customHeight="1" x14ac:dyDescent="0.2">
      <c r="B58" s="637"/>
      <c r="C58" s="637"/>
      <c r="D58" s="638"/>
      <c r="E58" s="638"/>
      <c r="F58" s="638"/>
      <c r="G58" s="638"/>
      <c r="H58" s="638"/>
      <c r="I58" s="638"/>
      <c r="J58" s="638"/>
    </row>
    <row r="59" spans="2:12" ht="12" customHeight="1" x14ac:dyDescent="0.2">
      <c r="B59" s="637"/>
      <c r="C59" s="637"/>
      <c r="D59" s="638"/>
      <c r="E59" s="638"/>
      <c r="F59" s="638"/>
      <c r="G59" s="638"/>
      <c r="H59" s="638"/>
      <c r="I59" s="638"/>
      <c r="J59" s="638"/>
    </row>
    <row r="60" spans="2:12" ht="12" customHeight="1" x14ac:dyDescent="0.2">
      <c r="B60" s="716"/>
      <c r="C60" s="716"/>
      <c r="D60" s="537"/>
      <c r="E60" s="537"/>
      <c r="F60" s="537"/>
      <c r="G60" s="537"/>
      <c r="H60" s="537"/>
      <c r="I60" s="537"/>
      <c r="J60" s="537"/>
    </row>
    <row r="61" spans="2:12" ht="12" customHeight="1" x14ac:dyDescent="0.2">
      <c r="B61" s="716"/>
      <c r="C61" s="716"/>
      <c r="D61" s="537"/>
      <c r="E61" s="537"/>
      <c r="F61" s="537"/>
      <c r="G61" s="537"/>
      <c r="H61" s="537"/>
      <c r="I61" s="537"/>
      <c r="J61" s="537"/>
    </row>
    <row r="62" spans="2:12" ht="5.0999999999999996" customHeight="1" x14ac:dyDescent="0.2">
      <c r="B62" s="716"/>
      <c r="C62" s="716"/>
      <c r="D62" s="537"/>
      <c r="E62" s="537"/>
      <c r="F62" s="537"/>
      <c r="G62" s="537"/>
      <c r="H62" s="537"/>
      <c r="I62" s="537"/>
      <c r="J62" s="537"/>
    </row>
    <row r="66" spans="1:12" ht="14.1" customHeight="1" x14ac:dyDescent="0.2">
      <c r="B66" s="716"/>
      <c r="C66" s="160"/>
      <c r="D66" s="160"/>
      <c r="E66" s="160"/>
      <c r="F66" s="160"/>
      <c r="G66" s="160"/>
      <c r="H66" s="160"/>
      <c r="I66" s="160"/>
      <c r="J66" s="160"/>
      <c r="K66" s="160"/>
      <c r="L66" s="160"/>
    </row>
    <row r="67" spans="1:12" ht="5.0999999999999996" customHeight="1" x14ac:dyDescent="0.2">
      <c r="B67" s="716"/>
      <c r="C67" s="716"/>
      <c r="D67" s="537"/>
      <c r="E67" s="537"/>
      <c r="F67" s="537"/>
      <c r="G67" s="537"/>
      <c r="H67" s="537"/>
      <c r="I67" s="537"/>
      <c r="J67" s="537"/>
    </row>
    <row r="68" spans="1:12" ht="12" customHeight="1" x14ac:dyDescent="0.2">
      <c r="B68" s="716"/>
      <c r="C68" s="716"/>
      <c r="D68" s="537"/>
      <c r="E68" s="537"/>
      <c r="F68" s="537"/>
      <c r="G68" s="537"/>
      <c r="H68" s="537"/>
      <c r="I68" s="537"/>
      <c r="J68" s="537"/>
    </row>
    <row r="69" spans="1:12" x14ac:dyDescent="0.2">
      <c r="B69" s="716"/>
      <c r="C69" s="716"/>
      <c r="D69" s="537"/>
      <c r="E69" s="537"/>
      <c r="F69" s="537"/>
      <c r="G69" s="537"/>
      <c r="H69" s="537"/>
      <c r="I69" s="537"/>
      <c r="J69" s="537"/>
    </row>
    <row r="70" spans="1:12" x14ac:dyDescent="0.2">
      <c r="B70" s="716"/>
      <c r="C70" s="716"/>
      <c r="D70" s="537"/>
      <c r="E70" s="537"/>
      <c r="F70" s="537"/>
      <c r="G70" s="537"/>
      <c r="H70" s="537"/>
      <c r="I70" s="537"/>
      <c r="J70" s="537"/>
    </row>
    <row r="71" spans="1:12" ht="16.5" customHeight="1" x14ac:dyDescent="0.2">
      <c r="B71" s="716"/>
      <c r="C71" s="716"/>
      <c r="D71" s="537"/>
      <c r="E71" s="537"/>
      <c r="F71" s="537"/>
      <c r="G71" s="537"/>
      <c r="H71" s="537"/>
      <c r="I71" s="537"/>
      <c r="J71" s="537"/>
    </row>
    <row r="72" spans="1:12" ht="5.0999999999999996" customHeight="1" x14ac:dyDescent="0.2">
      <c r="B72" s="716"/>
      <c r="C72" s="716"/>
      <c r="D72" s="537"/>
      <c r="E72" s="537"/>
      <c r="F72" s="537"/>
      <c r="G72" s="537"/>
      <c r="H72" s="537"/>
      <c r="I72" s="537"/>
      <c r="J72" s="537"/>
    </row>
    <row r="73" spans="1:12" x14ac:dyDescent="0.2">
      <c r="B73" s="716"/>
      <c r="C73" s="716"/>
      <c r="D73" s="537"/>
      <c r="E73" s="537"/>
      <c r="F73" s="537"/>
      <c r="G73" s="537"/>
      <c r="H73" s="537"/>
      <c r="I73" s="537"/>
      <c r="J73" s="537"/>
    </row>
    <row r="74" spans="1:12" x14ac:dyDescent="0.2">
      <c r="B74" s="716"/>
      <c r="C74" s="716"/>
      <c r="D74" s="537"/>
      <c r="E74" s="537"/>
      <c r="F74" s="537"/>
      <c r="G74" s="537"/>
      <c r="H74" s="537"/>
      <c r="I74" s="537"/>
      <c r="J74" s="537"/>
    </row>
    <row r="75" spans="1:12" x14ac:dyDescent="0.2">
      <c r="B75" s="716"/>
      <c r="C75" s="716"/>
      <c r="D75" s="537"/>
      <c r="E75" s="537"/>
      <c r="F75" s="537"/>
      <c r="G75" s="537"/>
      <c r="H75" s="537"/>
      <c r="I75" s="537"/>
      <c r="J75" s="537"/>
    </row>
    <row r="76" spans="1:12" ht="16.5" customHeight="1" x14ac:dyDescent="0.2">
      <c r="B76" s="716"/>
      <c r="C76" s="716"/>
      <c r="D76" s="537"/>
      <c r="E76" s="537"/>
      <c r="F76" s="537"/>
      <c r="G76" s="537"/>
      <c r="H76" s="537"/>
      <c r="I76" s="537"/>
      <c r="J76" s="537"/>
    </row>
    <row r="77" spans="1:12" ht="11.1" customHeight="1" x14ac:dyDescent="0.2">
      <c r="B77" s="716"/>
      <c r="C77" s="716"/>
      <c r="D77" s="537"/>
      <c r="E77" s="537"/>
      <c r="F77" s="537"/>
      <c r="G77" s="537"/>
      <c r="H77" s="537"/>
      <c r="I77" s="537"/>
      <c r="J77" s="537"/>
    </row>
    <row r="78" spans="1:12" x14ac:dyDescent="0.2">
      <c r="A78" s="48" t="str">
        <f>AgyIdx</f>
        <v>01</v>
      </c>
      <c r="B78" s="716"/>
      <c r="C78" s="716"/>
      <c r="D78" s="537"/>
      <c r="E78" s="537"/>
      <c r="F78" s="537"/>
      <c r="G78" s="537"/>
      <c r="H78" s="537"/>
      <c r="I78" s="537"/>
      <c r="J78" s="537"/>
    </row>
    <row r="79" spans="1:12" ht="15" x14ac:dyDescent="0.2">
      <c r="A79" s="445" t="str">
        <f ca="1">MID(CELL("filename",A1),FIND("]",CELL("filename",A1))+1,256)</f>
        <v>120</v>
      </c>
      <c r="B79" s="716" t="str">
        <f t="shared" ref="B79:B88" ca="1" si="1">IF(ISNA(INDEX(ErrorTable,MATCH($A$79&amp;$A80&amp;FALSE,ErrorKey,0),6)),"",INDEX(ErrorTable,MATCH($A$79&amp;$A80&amp;FALSE,ErrorKey,0),6))</f>
        <v/>
      </c>
      <c r="C79" s="716"/>
      <c r="D79" s="537"/>
      <c r="E79" s="537"/>
      <c r="F79" s="537"/>
      <c r="G79" s="537"/>
      <c r="H79" s="537"/>
      <c r="I79" s="537"/>
      <c r="J79" s="537"/>
    </row>
    <row r="80" spans="1:12" ht="15" x14ac:dyDescent="0.2">
      <c r="A80" s="445" t="s">
        <v>380</v>
      </c>
      <c r="B80" s="716" t="str">
        <f t="shared" ca="1" si="1"/>
        <v/>
      </c>
      <c r="C80" s="716"/>
      <c r="D80" s="537"/>
      <c r="E80" s="537"/>
      <c r="F80" s="537"/>
      <c r="G80" s="537"/>
      <c r="H80" s="537"/>
      <c r="I80" s="537"/>
      <c r="J80" s="537"/>
    </row>
    <row r="81" spans="1:10" ht="15" x14ac:dyDescent="0.2">
      <c r="A81" s="445" t="s">
        <v>381</v>
      </c>
      <c r="B81" s="716" t="str">
        <f t="shared" ca="1" si="1"/>
        <v/>
      </c>
      <c r="C81" s="716"/>
      <c r="D81" s="537"/>
      <c r="E81" s="537"/>
      <c r="F81" s="537"/>
      <c r="G81" s="537"/>
      <c r="H81" s="537"/>
      <c r="I81" s="537"/>
      <c r="J81" s="537"/>
    </row>
    <row r="82" spans="1:10" ht="15" x14ac:dyDescent="0.2">
      <c r="A82" s="445" t="s">
        <v>382</v>
      </c>
      <c r="B82" s="445" t="str">
        <f t="shared" ca="1" si="1"/>
        <v/>
      </c>
      <c r="C82" s="716"/>
      <c r="D82" s="537"/>
      <c r="E82" s="537"/>
      <c r="F82" s="537"/>
      <c r="G82" s="537"/>
      <c r="H82" s="537"/>
      <c r="I82" s="537"/>
      <c r="J82" s="537"/>
    </row>
    <row r="83" spans="1:10" ht="15" x14ac:dyDescent="0.2">
      <c r="A83" s="445" t="s">
        <v>383</v>
      </c>
      <c r="B83" s="445" t="str">
        <f t="shared" ca="1" si="1"/>
        <v/>
      </c>
      <c r="C83" s="445"/>
    </row>
    <row r="84" spans="1:10" ht="15" x14ac:dyDescent="0.2">
      <c r="A84" s="445" t="s">
        <v>384</v>
      </c>
      <c r="B84" s="445" t="str">
        <f t="shared" ca="1" si="1"/>
        <v/>
      </c>
      <c r="C84" s="445"/>
    </row>
    <row r="85" spans="1:10" ht="15" x14ac:dyDescent="0.2">
      <c r="A85" s="445" t="s">
        <v>385</v>
      </c>
      <c r="B85" s="445" t="str">
        <f t="shared" ca="1" si="1"/>
        <v/>
      </c>
      <c r="C85" s="445"/>
    </row>
    <row r="86" spans="1:10" ht="15" x14ac:dyDescent="0.2">
      <c r="A86" s="445" t="s">
        <v>386</v>
      </c>
      <c r="B86" s="445" t="str">
        <f t="shared" ca="1" si="1"/>
        <v/>
      </c>
      <c r="C86" s="445"/>
    </row>
    <row r="87" spans="1:10" ht="15" x14ac:dyDescent="0.2">
      <c r="A87" s="445" t="s">
        <v>387</v>
      </c>
      <c r="B87" s="445" t="str">
        <f t="shared" ca="1" si="1"/>
        <v/>
      </c>
      <c r="C87" s="445"/>
    </row>
    <row r="88" spans="1:10" ht="15" x14ac:dyDescent="0.2">
      <c r="A88" s="445" t="s">
        <v>388</v>
      </c>
      <c r="B88" s="445" t="str">
        <f t="shared" ca="1" si="1"/>
        <v/>
      </c>
      <c r="C88" s="445"/>
    </row>
    <row r="89" spans="1:10" ht="15" x14ac:dyDescent="0.2">
      <c r="A89" s="445" t="s">
        <v>389</v>
      </c>
      <c r="C89" s="445"/>
    </row>
  </sheetData>
  <sheetProtection algorithmName="SHA-512" hashValue="0aRqGvK6gIWYuhruDMfDi1GgkGZmzdo9YIIDNKeUiKrr145DRL8EupiSjy/aYfUfCbz+B/e04gekefjq3cW7GQ==" saltValue="Xi6JsEmrjKUBYiIe2TNYiw==" spinCount="100000" sheet="1" objects="1" scenarios="1" autoFilter="0"/>
  <mergeCells count="13">
    <mergeCell ref="D25:J25"/>
    <mergeCell ref="B1:J1"/>
    <mergeCell ref="D19:J19"/>
    <mergeCell ref="D23:J23"/>
    <mergeCell ref="D24:J24"/>
    <mergeCell ref="D20:J20"/>
    <mergeCell ref="D21:J21"/>
    <mergeCell ref="K1:K3"/>
    <mergeCell ref="B2:J2"/>
    <mergeCell ref="B3:J3"/>
    <mergeCell ref="B7:D7"/>
    <mergeCell ref="D18:J18"/>
    <mergeCell ref="B13:F13"/>
  </mergeCells>
  <conditionalFormatting sqref="F31">
    <cfRule type="containsText" dxfId="153" priority="1" stopIfTrue="1" operator="containsText" text="Answer Missing">
      <formula>NOT(ISERROR(SEARCH("Answer Missing",F31)))</formula>
    </cfRule>
  </conditionalFormatting>
  <conditionalFormatting sqref="K1:K3">
    <cfRule type="cellIs" dxfId="152" priority="2" stopIfTrue="1" operator="equal">
      <formula>"na"</formula>
    </cfRule>
  </conditionalFormatting>
  <hyperlinks>
    <hyperlink ref="B1:J1" location="Index!A1" display="Index!A1" xr:uid="{00000000-0004-0000-0600-000000000000}"/>
    <hyperlink ref="B13" r:id="rId1" xr:uid="{00000000-0004-0000-0600-000001000000}"/>
    <hyperlink ref="B13:F13" r:id="rId2" display="Financial Reporting Update for GASB 69" xr:uid="{FE317715-AA12-4BC2-AB74-E48E2ADEB3DB}"/>
  </hyperlinks>
  <pageMargins left="0.6" right="0.6" top="0.5" bottom="0.5" header="0.3" footer="0.3"/>
  <pageSetup scale="85" orientation="portrait"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AA88"/>
  <sheetViews>
    <sheetView showGridLines="0" zoomScaleNormal="100" zoomScaleSheetLayoutView="100" workbookViewId="0">
      <selection activeCell="F20" sqref="F20"/>
    </sheetView>
  </sheetViews>
  <sheetFormatPr defaultColWidth="8" defaultRowHeight="12.75" x14ac:dyDescent="0.2"/>
  <cols>
    <col min="1" max="1" width="0.5703125" style="872" customWidth="1"/>
    <col min="2" max="2" width="46.28515625" style="516" customWidth="1"/>
    <col min="3" max="3" width="0.5703125" style="516" customWidth="1"/>
    <col min="4" max="4" width="16.42578125" style="516" customWidth="1"/>
    <col min="5" max="5" width="0.5703125" style="516" customWidth="1"/>
    <col min="6" max="6" width="13.42578125" style="516" customWidth="1"/>
    <col min="7" max="7" width="0.42578125" style="516" customWidth="1"/>
    <col min="8" max="8" width="13.42578125" style="516" customWidth="1"/>
    <col min="9" max="9" width="0.5703125" style="516" customWidth="1"/>
    <col min="10" max="10" width="14.5703125" style="516" customWidth="1"/>
    <col min="11" max="11" width="1.42578125" style="516" customWidth="1"/>
    <col min="12" max="12" width="14.42578125" style="516" customWidth="1"/>
    <col min="13" max="13" width="0.7109375" style="516" customWidth="1"/>
    <col min="14" max="14" width="14.42578125" style="516" customWidth="1"/>
    <col min="15" max="15" width="0.5703125" style="516" customWidth="1"/>
    <col min="16" max="16" width="14.42578125" style="516" customWidth="1"/>
    <col min="17" max="17" width="0.5703125" style="516" customWidth="1"/>
    <col min="18" max="18" width="14" style="516" customWidth="1"/>
    <col min="19" max="19" width="0.5703125" style="516" customWidth="1"/>
    <col min="20" max="20" width="17.140625" style="516" customWidth="1"/>
    <col min="21" max="21" width="4.5703125" style="516" customWidth="1"/>
    <col min="22" max="22" width="10.28515625" style="516" customWidth="1"/>
    <col min="23" max="25" width="14.42578125" style="516" customWidth="1"/>
    <col min="26" max="26" width="14.42578125" style="1444" customWidth="1"/>
    <col min="27" max="27" width="14.42578125" style="1447" customWidth="1"/>
    <col min="28" max="232" width="14.42578125" style="516" customWidth="1"/>
    <col min="233" max="16384" width="8" style="516"/>
  </cols>
  <sheetData>
    <row r="1" spans="1:27" s="56" customFormat="1" ht="15" customHeight="1" x14ac:dyDescent="0.3">
      <c r="A1" s="871"/>
      <c r="B1" s="2455" t="str">
        <f>+Index!$A$1</f>
        <v xml:space="preserve">                                                               Office of the State Controller                                                                </v>
      </c>
      <c r="C1" s="2455"/>
      <c r="D1" s="2455"/>
      <c r="E1" s="2455"/>
      <c r="F1" s="2455"/>
      <c r="G1" s="2455"/>
      <c r="H1" s="2455"/>
      <c r="I1" s="2455"/>
      <c r="J1" s="2455"/>
      <c r="K1" s="2455"/>
      <c r="L1" s="2455"/>
      <c r="M1" s="2455"/>
      <c r="N1" s="2455"/>
      <c r="O1" s="2455"/>
      <c r="P1" s="2455"/>
      <c r="Q1" s="2455"/>
      <c r="R1" s="2455"/>
      <c r="S1" s="2455"/>
      <c r="T1" s="2455"/>
      <c r="U1" s="2456" t="str">
        <f>IF(Index!$B$21="na","NA","")</f>
        <v/>
      </c>
      <c r="Z1" s="1446"/>
    </row>
    <row r="2" spans="1:27" s="56" customFormat="1" ht="15" customHeight="1" x14ac:dyDescent="0.3">
      <c r="A2" s="871"/>
      <c r="B2" s="2478" t="str">
        <f>+Index!$A$2</f>
        <v>2023 ACFR Worksheets</v>
      </c>
      <c r="C2" s="2478"/>
      <c r="D2" s="2478"/>
      <c r="E2" s="2478"/>
      <c r="F2" s="2478"/>
      <c r="G2" s="2478"/>
      <c r="H2" s="2478"/>
      <c r="I2" s="2478"/>
      <c r="J2" s="2478"/>
      <c r="K2" s="2478"/>
      <c r="L2" s="2478"/>
      <c r="M2" s="2478"/>
      <c r="N2" s="2478"/>
      <c r="O2" s="2478"/>
      <c r="P2" s="2478"/>
      <c r="Q2" s="2478"/>
      <c r="R2" s="2478"/>
      <c r="S2" s="2478"/>
      <c r="T2" s="2478"/>
      <c r="U2" s="2456"/>
      <c r="Z2" s="1446"/>
    </row>
    <row r="3" spans="1:27" s="56" customFormat="1" ht="15" customHeight="1" x14ac:dyDescent="0.3">
      <c r="A3" s="871"/>
      <c r="B3" s="2478" t="s">
        <v>563</v>
      </c>
      <c r="C3" s="2478"/>
      <c r="D3" s="2478"/>
      <c r="E3" s="2478"/>
      <c r="F3" s="2478"/>
      <c r="G3" s="2478"/>
      <c r="H3" s="2478"/>
      <c r="I3" s="2478"/>
      <c r="J3" s="2478"/>
      <c r="K3" s="2478"/>
      <c r="L3" s="2478"/>
      <c r="M3" s="2478"/>
      <c r="N3" s="2478"/>
      <c r="O3" s="2478"/>
      <c r="P3" s="2478"/>
      <c r="Q3" s="2478"/>
      <c r="R3" s="2478"/>
      <c r="S3" s="2478"/>
      <c r="T3" s="2478"/>
      <c r="U3" s="2456"/>
      <c r="Z3" s="1446"/>
    </row>
    <row r="4" spans="1:27" s="56" customFormat="1" ht="15" customHeight="1" x14ac:dyDescent="0.3">
      <c r="A4" s="871"/>
      <c r="B4" s="2223"/>
      <c r="C4" s="2223"/>
      <c r="D4" s="2223"/>
      <c r="E4" s="2223"/>
      <c r="F4" s="2223"/>
      <c r="G4" s="2223"/>
      <c r="H4" s="2223"/>
      <c r="I4" s="2223"/>
      <c r="J4" s="640" t="s">
        <v>564</v>
      </c>
      <c r="K4" s="2223"/>
      <c r="M4" s="2223"/>
      <c r="O4" s="2223"/>
      <c r="P4" s="2223"/>
      <c r="Q4" s="2223"/>
      <c r="R4" s="2223"/>
      <c r="S4" s="2223"/>
      <c r="T4" s="2223"/>
      <c r="U4" s="2215"/>
      <c r="Z4" s="1446"/>
    </row>
    <row r="5" spans="1:27" s="56" customFormat="1" ht="15" customHeight="1" x14ac:dyDescent="0.3">
      <c r="A5" s="871"/>
      <c r="B5" s="57"/>
      <c r="C5" s="58"/>
      <c r="E5" s="58"/>
      <c r="F5" s="59"/>
      <c r="G5" s="58"/>
      <c r="H5" s="58"/>
      <c r="I5" s="58"/>
      <c r="J5" s="641" t="s">
        <v>565</v>
      </c>
      <c r="K5" s="58"/>
      <c r="M5" s="58"/>
      <c r="O5" s="58"/>
      <c r="P5" s="58"/>
      <c r="Q5" s="60"/>
      <c r="R5" s="60"/>
      <c r="Z5" s="1446"/>
    </row>
    <row r="6" spans="1:27" s="61" customFormat="1" ht="15" customHeight="1" x14ac:dyDescent="0.2">
      <c r="A6" s="874"/>
      <c r="B6" s="1447"/>
      <c r="C6" s="1447"/>
      <c r="D6" s="1709"/>
      <c r="E6" s="1447"/>
      <c r="F6" s="1447"/>
      <c r="G6" s="1447"/>
      <c r="H6" s="1447"/>
      <c r="I6" s="1447"/>
      <c r="J6" s="70" t="s">
        <v>50</v>
      </c>
      <c r="K6" s="1447"/>
      <c r="L6" s="1447" t="s">
        <v>317</v>
      </c>
      <c r="M6" s="1447"/>
      <c r="N6" s="1710" t="str">
        <f>+Index!$E$10</f>
        <v>01</v>
      </c>
      <c r="O6" s="1447"/>
      <c r="P6" s="1447"/>
      <c r="Q6" s="1447"/>
      <c r="R6" s="1447"/>
      <c r="S6" s="1447"/>
      <c r="T6" s="1447"/>
      <c r="U6" s="1447"/>
      <c r="V6" s="1447"/>
      <c r="W6" s="1447"/>
      <c r="X6" s="1447"/>
      <c r="Y6" s="1447"/>
      <c r="Z6" s="1444"/>
      <c r="AA6" s="1447"/>
    </row>
    <row r="7" spans="1:27" s="61" customFormat="1" ht="15" customHeight="1" x14ac:dyDescent="0.2">
      <c r="A7" s="874"/>
      <c r="B7" s="1439" t="s">
        <v>566</v>
      </c>
      <c r="C7" s="1447"/>
      <c r="D7" s="1531" t="s">
        <v>567</v>
      </c>
      <c r="E7" s="1447"/>
      <c r="F7" s="1447"/>
      <c r="G7" s="1447"/>
      <c r="H7" s="1447"/>
      <c r="I7" s="1711"/>
      <c r="J7" s="1447"/>
      <c r="K7" s="1711"/>
      <c r="L7" s="1447" t="s">
        <v>318</v>
      </c>
      <c r="M7" s="1711"/>
      <c r="N7" s="2479" t="str">
        <f>AgyName</f>
        <v>North Carolina General Assembly</v>
      </c>
      <c r="O7" s="2479"/>
      <c r="P7" s="2479"/>
      <c r="Q7" s="2479"/>
      <c r="R7" s="2479"/>
      <c r="S7" s="2479"/>
      <c r="T7" s="2479"/>
      <c r="U7" s="1447"/>
      <c r="V7" s="1447"/>
      <c r="W7" s="1447"/>
      <c r="X7" s="1447"/>
      <c r="Y7" s="1447"/>
      <c r="Z7" s="1444"/>
      <c r="AA7" s="1447"/>
    </row>
    <row r="8" spans="1:27" s="61" customFormat="1" ht="15" customHeight="1" x14ac:dyDescent="0.2">
      <c r="A8" s="874"/>
      <c r="B8" s="1447" t="s">
        <v>568</v>
      </c>
      <c r="C8" s="1447"/>
      <c r="D8" s="1712"/>
      <c r="E8" s="1447"/>
      <c r="F8" s="1447"/>
      <c r="G8" s="1447"/>
      <c r="H8" s="1447"/>
      <c r="I8" s="1711"/>
      <c r="J8" s="1447"/>
      <c r="K8" s="1711"/>
      <c r="L8" s="1447" t="s">
        <v>319</v>
      </c>
      <c r="M8" s="1711"/>
      <c r="N8" s="2480" t="str">
        <f>CONCATENATE(Index!$E$12," ",Index!$E$14)</f>
        <v xml:space="preserve"> </v>
      </c>
      <c r="O8" s="2480"/>
      <c r="P8" s="2480"/>
      <c r="Q8" s="2480"/>
      <c r="R8" s="2480"/>
      <c r="S8" s="2480"/>
      <c r="T8" s="2480"/>
      <c r="U8" s="1447"/>
      <c r="V8" s="1447"/>
      <c r="W8" s="1447"/>
      <c r="X8" s="1447"/>
      <c r="Y8" s="1447"/>
      <c r="Z8" s="1444"/>
      <c r="AA8" s="1447"/>
    </row>
    <row r="9" spans="1:27" s="61" customFormat="1" ht="15" customHeight="1" x14ac:dyDescent="0.2">
      <c r="A9" s="874"/>
      <c r="B9" s="1447"/>
      <c r="C9" s="1447"/>
      <c r="D9" s="1713"/>
      <c r="E9" s="1447"/>
      <c r="F9" s="1447"/>
      <c r="G9" s="1447"/>
      <c r="H9" s="1447"/>
      <c r="I9" s="1711"/>
      <c r="J9" s="1447"/>
      <c r="K9" s="1711"/>
      <c r="L9" s="1447" t="s">
        <v>71</v>
      </c>
      <c r="M9" s="1711"/>
      <c r="N9" s="2470">
        <f>+Index!$E$13</f>
        <v>0</v>
      </c>
      <c r="O9" s="2470"/>
      <c r="P9" s="2470"/>
      <c r="Q9" s="2470"/>
      <c r="R9" s="2470"/>
      <c r="S9" s="2470"/>
      <c r="T9" s="2470"/>
      <c r="U9" s="1447"/>
      <c r="V9" s="1447"/>
      <c r="W9" s="1447"/>
      <c r="X9" s="1447"/>
      <c r="Y9" s="1447"/>
      <c r="Z9" s="1444"/>
      <c r="AA9" s="1447"/>
    </row>
    <row r="10" spans="1:27" s="61" customFormat="1" ht="8.25" customHeight="1" thickBot="1" x14ac:dyDescent="0.25">
      <c r="A10" s="874"/>
      <c r="B10" s="1714"/>
      <c r="C10" s="1714"/>
      <c r="D10" s="1714"/>
      <c r="E10" s="1714"/>
      <c r="F10" s="1714"/>
      <c r="G10" s="1714"/>
      <c r="H10" s="1714"/>
      <c r="I10" s="1714"/>
      <c r="J10" s="1714"/>
      <c r="K10" s="1714"/>
      <c r="L10" s="1714"/>
      <c r="M10" s="1714"/>
      <c r="N10" s="1714"/>
      <c r="O10" s="1714"/>
      <c r="P10" s="1714"/>
      <c r="Q10" s="1714"/>
      <c r="R10" s="1714"/>
      <c r="S10" s="1714"/>
      <c r="T10" s="1714"/>
      <c r="U10" s="1447"/>
      <c r="V10" s="1447"/>
      <c r="W10" s="1447"/>
      <c r="X10" s="1447"/>
      <c r="Y10" s="1447"/>
      <c r="Z10" s="1444"/>
      <c r="AA10" s="1447"/>
    </row>
    <row r="11" spans="1:27" s="61" customFormat="1" ht="8.25" customHeight="1" x14ac:dyDescent="0.2">
      <c r="A11" s="874"/>
      <c r="B11" s="1447"/>
      <c r="C11" s="1447"/>
      <c r="D11" s="1447"/>
      <c r="E11" s="1447"/>
      <c r="F11" s="1447"/>
      <c r="G11" s="1447"/>
      <c r="H11" s="1447"/>
      <c r="I11" s="1447"/>
      <c r="J11" s="1447"/>
      <c r="K11" s="1447"/>
      <c r="L11" s="1447"/>
      <c r="M11" s="1447"/>
      <c r="N11" s="1447"/>
      <c r="O11" s="1447"/>
      <c r="P11" s="1447"/>
      <c r="Q11" s="1447"/>
      <c r="R11" s="1447"/>
      <c r="S11" s="1447"/>
      <c r="T11" s="1447"/>
      <c r="U11" s="1447"/>
      <c r="V11" s="1447"/>
      <c r="W11" s="1447"/>
      <c r="X11" s="1447"/>
      <c r="Y11" s="1447"/>
      <c r="Z11" s="1444"/>
      <c r="AA11" s="1447"/>
    </row>
    <row r="12" spans="1:27" ht="17.25" customHeight="1" x14ac:dyDescent="0.2">
      <c r="A12" s="874"/>
      <c r="B12" s="752" t="s">
        <v>569</v>
      </c>
      <c r="C12" s="1715"/>
      <c r="D12" s="1715"/>
      <c r="E12" s="1447"/>
      <c r="F12" s="1447"/>
      <c r="G12" s="1447"/>
      <c r="H12" s="1447"/>
      <c r="I12" s="1447"/>
      <c r="J12" s="1447"/>
      <c r="K12" s="1447"/>
      <c r="L12" s="526"/>
      <c r="M12" s="1447"/>
      <c r="N12" s="1447"/>
      <c r="O12" s="1447"/>
      <c r="P12" s="1447"/>
      <c r="Q12" s="1447"/>
      <c r="R12" s="1447"/>
      <c r="S12" s="1447"/>
      <c r="T12" s="1447"/>
      <c r="U12" s="1447"/>
      <c r="V12" s="1447"/>
      <c r="W12" s="1447"/>
      <c r="X12" s="1447"/>
      <c r="Y12" s="1447"/>
    </row>
    <row r="13" spans="1:27" s="62" customFormat="1" ht="12.75" customHeight="1" x14ac:dyDescent="0.2">
      <c r="A13" s="873"/>
      <c r="D13" s="63"/>
      <c r="F13" s="63" t="s">
        <v>570</v>
      </c>
      <c r="H13" s="2471" t="s">
        <v>571</v>
      </c>
      <c r="I13" s="64"/>
      <c r="J13" s="63"/>
      <c r="L13" s="2474" t="s">
        <v>511</v>
      </c>
      <c r="M13" s="2475"/>
      <c r="N13" s="2476"/>
      <c r="P13" s="63"/>
      <c r="Q13" s="1447"/>
      <c r="R13" s="63" t="s">
        <v>572</v>
      </c>
      <c r="T13" s="63"/>
      <c r="Z13" s="1441"/>
    </row>
    <row r="14" spans="1:27" s="62" customFormat="1" x14ac:dyDescent="0.2">
      <c r="A14" s="873"/>
      <c r="D14" s="65"/>
      <c r="F14" s="65" t="s">
        <v>573</v>
      </c>
      <c r="H14" s="2472"/>
      <c r="I14" s="64"/>
      <c r="J14" s="65" t="s">
        <v>574</v>
      </c>
      <c r="L14" s="63"/>
      <c r="N14" s="63"/>
      <c r="P14" s="65"/>
      <c r="Q14" s="1447"/>
      <c r="R14" s="127" t="s">
        <v>514</v>
      </c>
      <c r="T14" s="65"/>
      <c r="Z14" s="1441"/>
    </row>
    <row r="15" spans="1:27" s="62" customFormat="1" x14ac:dyDescent="0.2">
      <c r="A15" s="873"/>
      <c r="D15" s="65" t="s">
        <v>508</v>
      </c>
      <c r="F15" s="65" t="s">
        <v>575</v>
      </c>
      <c r="H15" s="2472"/>
      <c r="I15" s="64"/>
      <c r="J15" s="65" t="s">
        <v>576</v>
      </c>
      <c r="L15" s="65" t="s">
        <v>577</v>
      </c>
      <c r="N15" s="65" t="s">
        <v>578</v>
      </c>
      <c r="P15" s="65"/>
      <c r="Q15" s="1447"/>
      <c r="R15" s="65" t="s">
        <v>579</v>
      </c>
      <c r="T15" s="65" t="s">
        <v>508</v>
      </c>
      <c r="Z15" s="1441"/>
    </row>
    <row r="16" spans="1:27" s="62" customFormat="1" x14ac:dyDescent="0.2">
      <c r="A16" s="873"/>
      <c r="B16" s="66" t="s">
        <v>580</v>
      </c>
      <c r="D16" s="68" t="str">
        <f>+TEXT(Data!$A$3,"mmmm d, yyyy")</f>
        <v>July 1, 2022</v>
      </c>
      <c r="F16" s="68" t="s">
        <v>581</v>
      </c>
      <c r="H16" s="2473"/>
      <c r="I16" s="64"/>
      <c r="J16" s="68" t="s">
        <v>582</v>
      </c>
      <c r="L16" s="68" t="s">
        <v>511</v>
      </c>
      <c r="N16" s="68" t="s">
        <v>511</v>
      </c>
      <c r="P16" s="67" t="s">
        <v>583</v>
      </c>
      <c r="Q16" s="1447"/>
      <c r="R16" s="68" t="s">
        <v>584</v>
      </c>
      <c r="T16" s="67" t="str">
        <f>+TEXT(Data!$A$2,"mmmm d, yyy")</f>
        <v>June 30, 2023</v>
      </c>
      <c r="Z16" s="1441"/>
    </row>
    <row r="17" spans="1:27" s="62" customFormat="1" x14ac:dyDescent="0.2">
      <c r="A17" s="873"/>
      <c r="F17" s="1441" t="s">
        <v>585</v>
      </c>
      <c r="G17" s="1441"/>
      <c r="H17" s="1441" t="s">
        <v>586</v>
      </c>
      <c r="I17" s="1442"/>
      <c r="J17" s="1441" t="s">
        <v>587</v>
      </c>
      <c r="K17" s="1441"/>
      <c r="L17" s="1441" t="s">
        <v>588</v>
      </c>
      <c r="M17" s="1441"/>
      <c r="N17" s="1441" t="s">
        <v>589</v>
      </c>
      <c r="O17" s="1441"/>
      <c r="P17" s="1443" t="s">
        <v>590</v>
      </c>
      <c r="Q17" s="1444"/>
      <c r="R17" s="1441" t="s">
        <v>591</v>
      </c>
      <c r="T17" s="147"/>
      <c r="W17" s="1445"/>
      <c r="Z17" s="1441"/>
    </row>
    <row r="18" spans="1:27" s="62" customFormat="1" x14ac:dyDescent="0.2">
      <c r="A18" s="873"/>
      <c r="D18" s="62" t="s">
        <v>592</v>
      </c>
      <c r="F18" s="62" t="s">
        <v>593</v>
      </c>
      <c r="H18" s="64" t="s">
        <v>594</v>
      </c>
      <c r="I18" s="64"/>
      <c r="J18" s="62" t="s">
        <v>595</v>
      </c>
      <c r="L18" s="62" t="s">
        <v>596</v>
      </c>
      <c r="N18" s="62" t="s">
        <v>597</v>
      </c>
      <c r="P18" s="147" t="s">
        <v>598</v>
      </c>
      <c r="Q18" s="1447"/>
      <c r="R18" s="62" t="s">
        <v>599</v>
      </c>
      <c r="T18" s="147" t="s">
        <v>600</v>
      </c>
      <c r="Z18" s="1441"/>
    </row>
    <row r="19" spans="1:27" ht="21.75" customHeight="1" x14ac:dyDescent="0.2">
      <c r="A19" s="874"/>
      <c r="B19" s="517" t="s">
        <v>601</v>
      </c>
      <c r="C19" s="1716"/>
      <c r="D19" s="1716"/>
      <c r="E19" s="1716"/>
      <c r="F19" s="1716"/>
      <c r="G19" s="1716"/>
      <c r="H19" s="1716"/>
      <c r="I19" s="1716"/>
      <c r="J19" s="1716"/>
      <c r="K19" s="1716"/>
      <c r="L19" s="1716"/>
      <c r="M19" s="1716"/>
      <c r="N19" s="1716"/>
      <c r="O19" s="1716"/>
      <c r="P19" s="1716"/>
      <c r="Q19" s="1716"/>
      <c r="R19" s="1716"/>
      <c r="S19" s="1716"/>
      <c r="T19" s="1716"/>
      <c r="U19" s="1447"/>
      <c r="V19" s="1447"/>
      <c r="W19" s="1447"/>
      <c r="X19" s="1447"/>
      <c r="Y19" s="1447"/>
      <c r="AA19" s="1448"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Gen Gov</v>
      </c>
    </row>
    <row r="20" spans="1:27" ht="21.75" customHeight="1" x14ac:dyDescent="0.2">
      <c r="A20" s="874">
        <v>1</v>
      </c>
      <c r="B20" s="2222" t="s">
        <v>602</v>
      </c>
      <c r="C20" s="1716"/>
      <c r="D20" s="896" t="str">
        <f>IFERROR(HLOOKUP($N$6,PriorYr905!$E$8:$AH$83,56,FALSE),"")</f>
        <v/>
      </c>
      <c r="E20" s="1716"/>
      <c r="F20" s="896"/>
      <c r="G20" s="1716"/>
      <c r="H20" s="896"/>
      <c r="I20" s="1716"/>
      <c r="J20" s="896"/>
      <c r="K20" s="1716"/>
      <c r="L20" s="896"/>
      <c r="M20" s="1716"/>
      <c r="N20" s="896"/>
      <c r="O20" s="1716"/>
      <c r="P20" s="896"/>
      <c r="Q20" s="1716"/>
      <c r="R20" s="896"/>
      <c r="S20" s="1716"/>
      <c r="T20" s="1717">
        <f t="shared" ref="T20:T25" si="0">SUM(D20:S20)</f>
        <v>0</v>
      </c>
      <c r="U20" s="1447"/>
      <c r="V20" s="1447"/>
      <c r="W20" s="1447"/>
      <c r="X20" s="1447"/>
      <c r="Y20" s="1447"/>
      <c r="Z20" s="1448">
        <v>12700000</v>
      </c>
    </row>
    <row r="21" spans="1:27" ht="21.75" customHeight="1" x14ac:dyDescent="0.2">
      <c r="A21" s="874">
        <v>2</v>
      </c>
      <c r="B21" s="2222" t="s">
        <v>603</v>
      </c>
      <c r="C21" s="1716"/>
      <c r="D21" s="896" t="str">
        <f>IFERROR(HLOOKUP($N$6,PriorYr905!$E$8:$AH$83,57,FALSE),"")</f>
        <v/>
      </c>
      <c r="E21" s="1716"/>
      <c r="F21" s="896"/>
      <c r="G21" s="1716"/>
      <c r="H21" s="896"/>
      <c r="I21" s="1716"/>
      <c r="J21" s="896"/>
      <c r="K21" s="1716"/>
      <c r="L21" s="896"/>
      <c r="M21" s="1716"/>
      <c r="N21" s="896"/>
      <c r="O21" s="1716"/>
      <c r="P21" s="896"/>
      <c r="Q21" s="1716"/>
      <c r="R21" s="896"/>
      <c r="S21" s="1716"/>
      <c r="T21" s="1717">
        <f t="shared" si="0"/>
        <v>0</v>
      </c>
      <c r="U21" s="1447"/>
      <c r="V21" s="1447"/>
      <c r="W21" s="1447"/>
      <c r="X21" s="1447"/>
      <c r="Y21" s="1447"/>
      <c r="Z21" s="1448">
        <v>12741000</v>
      </c>
    </row>
    <row r="22" spans="1:27" ht="21.75" customHeight="1" x14ac:dyDescent="0.2">
      <c r="A22" s="874">
        <v>3</v>
      </c>
      <c r="B22" s="2222" t="s">
        <v>604</v>
      </c>
      <c r="C22" s="1716"/>
      <c r="D22" s="896" t="str">
        <f>IFERROR(HLOOKUP($N$6,PriorYr905!$E$8:$AH$83,58,FALSE),"")</f>
        <v/>
      </c>
      <c r="E22" s="1716"/>
      <c r="F22" s="896"/>
      <c r="G22" s="1716"/>
      <c r="H22" s="1046"/>
      <c r="I22" s="1716"/>
      <c r="J22" s="1046"/>
      <c r="K22" s="1716"/>
      <c r="L22" s="896"/>
      <c r="M22" s="1716"/>
      <c r="N22" s="896"/>
      <c r="O22" s="1716"/>
      <c r="P22" s="896"/>
      <c r="Q22" s="1716"/>
      <c r="R22" s="896"/>
      <c r="S22" s="1716"/>
      <c r="T22" s="1717">
        <f t="shared" si="0"/>
        <v>0</v>
      </c>
      <c r="U22" s="1447"/>
      <c r="V22" s="1447"/>
      <c r="W22" s="1447"/>
      <c r="X22" s="1447"/>
      <c r="Y22" s="1447"/>
      <c r="Z22" s="1448">
        <v>12780000</v>
      </c>
    </row>
    <row r="23" spans="1:27" ht="21.75" customHeight="1" x14ac:dyDescent="0.2">
      <c r="A23" s="874" t="s">
        <v>605</v>
      </c>
      <c r="B23" s="2222" t="s">
        <v>606</v>
      </c>
      <c r="C23" s="1716"/>
      <c r="D23" s="896" t="str">
        <f>IFERROR(HLOOKUP($N$6,PriorYr905!$E$8:$AH$83,59,FALSE),"")</f>
        <v/>
      </c>
      <c r="E23" s="1716"/>
      <c r="F23" s="896"/>
      <c r="G23" s="1716"/>
      <c r="H23" s="1046"/>
      <c r="I23" s="1716"/>
      <c r="J23" s="1046"/>
      <c r="K23" s="1716"/>
      <c r="L23" s="896"/>
      <c r="M23" s="1716"/>
      <c r="N23" s="896"/>
      <c r="O23" s="1716"/>
      <c r="P23" s="896"/>
      <c r="Q23" s="1716"/>
      <c r="R23" s="896"/>
      <c r="S23" s="1716"/>
      <c r="T23" s="1717">
        <f t="shared" si="0"/>
        <v>0</v>
      </c>
      <c r="U23" s="1447"/>
      <c r="V23" s="1447"/>
      <c r="W23" s="1447"/>
      <c r="X23" s="1447"/>
      <c r="Y23" s="1447"/>
      <c r="Z23" s="1448">
        <v>12783000</v>
      </c>
    </row>
    <row r="24" spans="1:27" ht="21.75" customHeight="1" x14ac:dyDescent="0.2">
      <c r="A24" s="874" t="s">
        <v>607</v>
      </c>
      <c r="B24" s="282" t="s">
        <v>608</v>
      </c>
      <c r="C24" s="1716"/>
      <c r="D24" s="896" t="str">
        <f>IFERROR(HLOOKUP($N$6,PriorYr905!$E$8:$AH$83,60,FALSE),"")</f>
        <v/>
      </c>
      <c r="E24" s="1716"/>
      <c r="F24" s="896"/>
      <c r="G24" s="1716"/>
      <c r="H24" s="1046"/>
      <c r="I24" s="1716"/>
      <c r="J24" s="1046"/>
      <c r="K24" s="1716"/>
      <c r="L24" s="896"/>
      <c r="M24" s="1716"/>
      <c r="N24" s="896"/>
      <c r="O24" s="1716"/>
      <c r="P24" s="896"/>
      <c r="Q24" s="1716"/>
      <c r="R24" s="896"/>
      <c r="S24" s="1716"/>
      <c r="T24" s="1717">
        <f t="shared" si="0"/>
        <v>0</v>
      </c>
      <c r="U24" s="1447"/>
      <c r="V24" s="1447"/>
      <c r="W24" s="1447"/>
      <c r="X24" s="1447"/>
      <c r="Y24" s="1447"/>
      <c r="Z24" s="1448">
        <v>12782000</v>
      </c>
    </row>
    <row r="25" spans="1:27" ht="21.75" customHeight="1" x14ac:dyDescent="0.2">
      <c r="A25" s="874" t="s">
        <v>609</v>
      </c>
      <c r="B25" s="282" t="s">
        <v>610</v>
      </c>
      <c r="C25" s="1716"/>
      <c r="D25" s="896" t="str">
        <f>IFERROR(HLOOKUP($N$6,PriorYr905!$E$8:$AH$83,61,FALSE),"")</f>
        <v/>
      </c>
      <c r="E25" s="1716"/>
      <c r="F25" s="1718"/>
      <c r="G25" s="1716"/>
      <c r="H25" s="1718"/>
      <c r="I25" s="1716"/>
      <c r="J25" s="1718"/>
      <c r="K25" s="1716"/>
      <c r="L25" s="1718"/>
      <c r="M25" s="1716"/>
      <c r="N25" s="1718"/>
      <c r="O25" s="1716"/>
      <c r="P25" s="1718"/>
      <c r="Q25" s="1716"/>
      <c r="R25" s="1718"/>
      <c r="S25" s="1716"/>
      <c r="T25" s="1717">
        <f t="shared" si="0"/>
        <v>0</v>
      </c>
      <c r="U25" s="1447"/>
      <c r="V25" s="1447"/>
      <c r="W25" s="1447"/>
      <c r="X25" s="1447"/>
      <c r="Y25" s="1447"/>
      <c r="Z25" s="1448">
        <v>12750500</v>
      </c>
    </row>
    <row r="26" spans="1:27" ht="21.75" customHeight="1" x14ac:dyDescent="0.2">
      <c r="A26" s="874"/>
      <c r="B26" s="517" t="s">
        <v>611</v>
      </c>
      <c r="C26" s="1716"/>
      <c r="D26" s="1719"/>
      <c r="E26" s="1716"/>
      <c r="F26" s="1719"/>
      <c r="G26" s="1716"/>
      <c r="H26" s="1719"/>
      <c r="I26" s="1716"/>
      <c r="J26" s="1719"/>
      <c r="K26" s="1716"/>
      <c r="L26" s="1719"/>
      <c r="M26" s="1716"/>
      <c r="N26" s="1719"/>
      <c r="O26" s="1716"/>
      <c r="P26" s="1719"/>
      <c r="Q26" s="1716"/>
      <c r="R26" s="1719"/>
      <c r="S26" s="1716"/>
      <c r="T26" s="1719"/>
      <c r="U26" s="1447"/>
      <c r="V26" s="1447"/>
      <c r="W26" s="1447"/>
      <c r="X26" s="1447"/>
      <c r="Y26" s="1447"/>
      <c r="Z26" s="1448"/>
    </row>
    <row r="27" spans="1:27" ht="21.75" customHeight="1" x14ac:dyDescent="0.2">
      <c r="A27" s="874">
        <v>4</v>
      </c>
      <c r="B27" s="2222" t="s">
        <v>612</v>
      </c>
      <c r="C27" s="1716"/>
      <c r="D27" s="896" t="str">
        <f>IFERROR(HLOOKUP($N$6,PriorYr905!$E$8:$AH$83,64,FALSE),"")</f>
        <v/>
      </c>
      <c r="E27" s="1716"/>
      <c r="F27" s="896"/>
      <c r="G27" s="1716"/>
      <c r="H27" s="896"/>
      <c r="I27" s="1716"/>
      <c r="J27" s="896"/>
      <c r="K27" s="1716"/>
      <c r="L27" s="896"/>
      <c r="M27" s="1716"/>
      <c r="N27" s="896"/>
      <c r="O27" s="1716"/>
      <c r="P27" s="896"/>
      <c r="Q27" s="1716"/>
      <c r="R27" s="896"/>
      <c r="S27" s="1716"/>
      <c r="T27" s="1717">
        <f t="shared" ref="T27:T40" si="1">SUM(D27:S27)</f>
        <v>0</v>
      </c>
      <c r="U27" s="1447"/>
      <c r="V27" s="1447"/>
      <c r="W27" s="1447"/>
      <c r="X27" s="1447"/>
      <c r="Y27" s="1447"/>
      <c r="Z27" s="1448">
        <v>12710000</v>
      </c>
    </row>
    <row r="28" spans="1:27" ht="21.75" customHeight="1" x14ac:dyDescent="0.2">
      <c r="A28" s="874">
        <v>5</v>
      </c>
      <c r="B28" s="2222" t="s">
        <v>613</v>
      </c>
      <c r="C28" s="1716"/>
      <c r="D28" s="896" t="str">
        <f>IFERROR(HLOOKUP($N$6,PriorYr905!$E$8:$AH$83,65,FALSE),"")</f>
        <v/>
      </c>
      <c r="E28" s="1716"/>
      <c r="F28" s="896"/>
      <c r="G28" s="1716"/>
      <c r="H28" s="896"/>
      <c r="I28" s="1716"/>
      <c r="J28" s="896"/>
      <c r="K28" s="1716"/>
      <c r="L28" s="896"/>
      <c r="M28" s="1716"/>
      <c r="N28" s="896"/>
      <c r="O28" s="1716"/>
      <c r="P28" s="896"/>
      <c r="Q28" s="1716"/>
      <c r="R28" s="896"/>
      <c r="S28" s="1716"/>
      <c r="T28" s="1717">
        <f t="shared" si="1"/>
        <v>0</v>
      </c>
      <c r="U28" s="1447"/>
      <c r="V28" s="1447"/>
      <c r="W28" s="1447"/>
      <c r="X28" s="1447"/>
      <c r="Y28" s="1447"/>
      <c r="Z28" s="1448">
        <v>12732000</v>
      </c>
    </row>
    <row r="29" spans="1:27" ht="21.75" customHeight="1" x14ac:dyDescent="0.2">
      <c r="A29" s="874">
        <v>6</v>
      </c>
      <c r="B29" s="2222" t="s">
        <v>614</v>
      </c>
      <c r="C29" s="1716"/>
      <c r="D29" s="896" t="str">
        <f>IFERROR(HLOOKUP($N$6,PriorYr905!$E$8:$AH$83,66,FALSE),"")</f>
        <v/>
      </c>
      <c r="E29" s="1716"/>
      <c r="F29" s="896"/>
      <c r="G29" s="1716"/>
      <c r="H29" s="896"/>
      <c r="I29" s="1716"/>
      <c r="J29" s="896"/>
      <c r="K29" s="1716"/>
      <c r="L29" s="896"/>
      <c r="M29" s="1716"/>
      <c r="N29" s="896"/>
      <c r="O29" s="1716"/>
      <c r="P29" s="896"/>
      <c r="Q29" s="1716"/>
      <c r="R29" s="896"/>
      <c r="S29" s="1716"/>
      <c r="T29" s="1717">
        <f t="shared" si="1"/>
        <v>0</v>
      </c>
      <c r="U29" s="1447"/>
      <c r="V29" s="1447"/>
      <c r="W29" s="1447"/>
      <c r="X29" s="1447"/>
      <c r="Y29" s="1447"/>
      <c r="Z29" s="1448">
        <v>12740000</v>
      </c>
    </row>
    <row r="30" spans="1:27" ht="21.75" customHeight="1" x14ac:dyDescent="0.2">
      <c r="A30" s="874">
        <v>7</v>
      </c>
      <c r="B30" s="2222" t="s">
        <v>615</v>
      </c>
      <c r="C30" s="1716"/>
      <c r="D30" s="896" t="str">
        <f>IFERROR(HLOOKUP($N$6,PriorYr905!$E$8:$AH$83,67,FALSE),"")</f>
        <v/>
      </c>
      <c r="E30" s="1716"/>
      <c r="F30" s="896"/>
      <c r="G30" s="1716"/>
      <c r="H30" s="896"/>
      <c r="I30" s="1716"/>
      <c r="J30" s="896"/>
      <c r="K30" s="1716"/>
      <c r="L30" s="896"/>
      <c r="M30" s="1716"/>
      <c r="N30" s="896"/>
      <c r="O30" s="1716"/>
      <c r="P30" s="896"/>
      <c r="Q30" s="1716"/>
      <c r="R30" s="896"/>
      <c r="S30" s="1716"/>
      <c r="T30" s="1717">
        <f t="shared" si="1"/>
        <v>0</v>
      </c>
      <c r="U30" s="1447"/>
      <c r="V30" s="1447"/>
      <c r="W30" s="1447"/>
      <c r="X30" s="1447"/>
      <c r="Y30" s="1447"/>
      <c r="Z30" s="1448">
        <v>12729000</v>
      </c>
    </row>
    <row r="31" spans="1:27" ht="21.75" customHeight="1" x14ac:dyDescent="0.2">
      <c r="A31" s="874">
        <v>8</v>
      </c>
      <c r="B31" s="2222" t="s">
        <v>616</v>
      </c>
      <c r="C31" s="1716"/>
      <c r="D31" s="896"/>
      <c r="E31" s="1716"/>
      <c r="F31" s="896"/>
      <c r="G31" s="1716"/>
      <c r="H31" s="896"/>
      <c r="I31" s="1716"/>
      <c r="J31" s="896"/>
      <c r="K31" s="1716"/>
      <c r="L31" s="896"/>
      <c r="M31" s="1716"/>
      <c r="N31" s="896"/>
      <c r="O31" s="1716"/>
      <c r="P31" s="896"/>
      <c r="Q31" s="1716"/>
      <c r="R31" s="896"/>
      <c r="S31" s="1716"/>
      <c r="T31" s="1717">
        <f t="shared" si="1"/>
        <v>0</v>
      </c>
      <c r="U31" s="1447"/>
      <c r="V31" s="1447"/>
      <c r="W31" s="1447"/>
      <c r="X31" s="1447"/>
      <c r="Y31" s="1447"/>
      <c r="Z31" s="1448">
        <v>12720000</v>
      </c>
    </row>
    <row r="32" spans="1:27" ht="21.75" customHeight="1" x14ac:dyDescent="0.2">
      <c r="A32" s="874" t="s">
        <v>617</v>
      </c>
      <c r="B32" s="2222" t="s">
        <v>618</v>
      </c>
      <c r="C32" s="1716"/>
      <c r="D32" s="896"/>
      <c r="E32" s="1716"/>
      <c r="F32" s="896"/>
      <c r="G32" s="1716"/>
      <c r="H32" s="896"/>
      <c r="I32" s="1716"/>
      <c r="J32" s="896"/>
      <c r="K32" s="1716"/>
      <c r="L32" s="896"/>
      <c r="M32" s="1716"/>
      <c r="N32" s="896"/>
      <c r="O32" s="1716"/>
      <c r="P32" s="896"/>
      <c r="Q32" s="1716"/>
      <c r="R32" s="896"/>
      <c r="S32" s="1716"/>
      <c r="T32" s="1717">
        <f t="shared" si="1"/>
        <v>0</v>
      </c>
      <c r="U32" s="1447"/>
      <c r="V32" s="1447"/>
      <c r="W32" s="1447"/>
      <c r="X32" s="1447"/>
      <c r="Y32" s="1447"/>
      <c r="Z32" s="1448">
        <v>12720001</v>
      </c>
    </row>
    <row r="33" spans="1:26" ht="21.75" customHeight="1" x14ac:dyDescent="0.2">
      <c r="A33" s="874">
        <v>9</v>
      </c>
      <c r="B33" s="2222" t="s">
        <v>619</v>
      </c>
      <c r="C33" s="1716"/>
      <c r="D33" s="896" t="str">
        <f>IFERROR(HLOOKUP($N$6,PriorYr905!$E$8:$AH$83,72,FALSE),"")</f>
        <v/>
      </c>
      <c r="E33" s="1716"/>
      <c r="F33" s="896"/>
      <c r="G33" s="1716"/>
      <c r="H33" s="896"/>
      <c r="I33" s="1716"/>
      <c r="J33" s="896"/>
      <c r="K33" s="1716"/>
      <c r="L33" s="896"/>
      <c r="M33" s="1716"/>
      <c r="N33" s="896"/>
      <c r="O33" s="1716"/>
      <c r="P33" s="896"/>
      <c r="Q33" s="1716"/>
      <c r="R33" s="896"/>
      <c r="S33" s="1716"/>
      <c r="T33" s="1717">
        <f t="shared" si="1"/>
        <v>0</v>
      </c>
      <c r="U33" s="1447"/>
      <c r="V33" s="1447"/>
      <c r="W33" s="1447"/>
      <c r="X33" s="1447"/>
      <c r="Y33" s="1447"/>
      <c r="Z33" s="1448">
        <v>12753000</v>
      </c>
    </row>
    <row r="34" spans="1:26" ht="21.75" customHeight="1" x14ac:dyDescent="0.2">
      <c r="A34" s="874">
        <v>10</v>
      </c>
      <c r="B34" s="2222" t="s">
        <v>620</v>
      </c>
      <c r="C34" s="1716"/>
      <c r="D34" s="896" t="str">
        <f>IFERROR(HLOOKUP($N$6,PriorYr905!$E$8:$AH$83,731,FALSE),"")</f>
        <v/>
      </c>
      <c r="E34" s="1716"/>
      <c r="F34" s="896"/>
      <c r="G34" s="1716"/>
      <c r="H34" s="896"/>
      <c r="I34" s="1716"/>
      <c r="J34" s="896"/>
      <c r="K34" s="1716"/>
      <c r="L34" s="896"/>
      <c r="M34" s="1716"/>
      <c r="N34" s="896"/>
      <c r="O34" s="1716"/>
      <c r="P34" s="896"/>
      <c r="Q34" s="1716"/>
      <c r="R34" s="896"/>
      <c r="S34" s="1716"/>
      <c r="T34" s="1717">
        <f t="shared" si="1"/>
        <v>0</v>
      </c>
      <c r="U34" s="1447"/>
      <c r="V34" s="1447"/>
      <c r="W34" s="1447"/>
      <c r="X34" s="1447"/>
      <c r="Y34" s="1447"/>
      <c r="Z34" s="1448">
        <v>12752000</v>
      </c>
    </row>
    <row r="35" spans="1:26" ht="21.75" customHeight="1" x14ac:dyDescent="0.2">
      <c r="A35" s="874">
        <v>11</v>
      </c>
      <c r="B35" s="2222" t="s">
        <v>621</v>
      </c>
      <c r="C35" s="1716"/>
      <c r="D35" s="896" t="str">
        <f>IFERROR(HLOOKUP($N$6,PriorYr905!$E$8:$AH$83,76,FALSE),"")</f>
        <v/>
      </c>
      <c r="E35" s="1716"/>
      <c r="F35" s="896"/>
      <c r="G35" s="1716"/>
      <c r="H35" s="896"/>
      <c r="I35" s="1716"/>
      <c r="J35" s="896"/>
      <c r="K35" s="1716"/>
      <c r="L35" s="896"/>
      <c r="M35" s="1716"/>
      <c r="N35" s="896"/>
      <c r="O35" s="1716"/>
      <c r="P35" s="896"/>
      <c r="Q35" s="1716"/>
      <c r="R35" s="896"/>
      <c r="S35" s="1716"/>
      <c r="T35" s="1717">
        <f t="shared" si="1"/>
        <v>0</v>
      </c>
      <c r="U35" s="1447"/>
      <c r="V35" s="1447"/>
      <c r="W35" s="1447"/>
      <c r="X35" s="1447"/>
      <c r="Y35" s="1447"/>
      <c r="Z35" s="1448">
        <v>12750000</v>
      </c>
    </row>
    <row r="36" spans="1:26" ht="21.75" customHeight="1" x14ac:dyDescent="0.2">
      <c r="A36" s="874"/>
      <c r="B36" s="517" t="s">
        <v>622</v>
      </c>
      <c r="C36" s="1716"/>
      <c r="D36" s="1720"/>
      <c r="E36" s="1716"/>
      <c r="F36" s="1720"/>
      <c r="G36" s="1716"/>
      <c r="H36" s="1720"/>
      <c r="I36" s="1716"/>
      <c r="J36" s="1720"/>
      <c r="K36" s="1716"/>
      <c r="L36" s="1720"/>
      <c r="M36" s="1716"/>
      <c r="N36" s="1720"/>
      <c r="O36" s="1716"/>
      <c r="P36" s="1720"/>
      <c r="Q36" s="1716"/>
      <c r="R36" s="1720"/>
      <c r="S36" s="1716"/>
      <c r="T36" s="1719"/>
      <c r="U36" s="1447"/>
      <c r="V36" s="1447"/>
      <c r="W36" s="1447"/>
      <c r="X36" s="1447"/>
      <c r="Y36" s="1447"/>
      <c r="Z36" s="1448"/>
    </row>
    <row r="37" spans="1:26" ht="21.75" customHeight="1" x14ac:dyDescent="0.2">
      <c r="A37" s="874">
        <v>12</v>
      </c>
      <c r="B37" s="2222" t="s">
        <v>623</v>
      </c>
      <c r="C37" s="1716"/>
      <c r="D37" s="896" t="str">
        <f>IFERROR(HLOOKUP($N$6,PriorYr905!$E$8:$AH$83,68,FALSE),"")</f>
        <v/>
      </c>
      <c r="E37" s="1716"/>
      <c r="F37" s="896"/>
      <c r="G37" s="1716"/>
      <c r="H37" s="896"/>
      <c r="I37" s="1716"/>
      <c r="J37" s="896"/>
      <c r="K37" s="1716"/>
      <c r="L37" s="896"/>
      <c r="M37" s="1716"/>
      <c r="N37" s="896"/>
      <c r="O37" s="1716"/>
      <c r="P37" s="896"/>
      <c r="Q37" s="1716"/>
      <c r="R37" s="896"/>
      <c r="S37" s="1716"/>
      <c r="T37" s="1717">
        <f t="shared" si="1"/>
        <v>0</v>
      </c>
      <c r="U37" s="1569"/>
      <c r="V37" s="1571"/>
      <c r="W37" s="1447"/>
      <c r="X37" s="1447"/>
      <c r="Y37" s="1447"/>
      <c r="Z37" s="1448">
        <v>12700100</v>
      </c>
    </row>
    <row r="38" spans="1:26" ht="21.75" customHeight="1" x14ac:dyDescent="0.2">
      <c r="A38" s="874">
        <v>13</v>
      </c>
      <c r="B38" s="2222" t="s">
        <v>624</v>
      </c>
      <c r="C38" s="1716"/>
      <c r="D38" s="896" t="str">
        <f>IFERROR(HLOOKUP($N$6,PriorYr905!$E$8:$AH$83,69,FALSE),"")</f>
        <v/>
      </c>
      <c r="E38" s="1716"/>
      <c r="F38" s="896"/>
      <c r="G38" s="1716"/>
      <c r="H38" s="896"/>
      <c r="I38" s="1716"/>
      <c r="J38" s="896"/>
      <c r="K38" s="1716"/>
      <c r="L38" s="896"/>
      <c r="M38" s="1716"/>
      <c r="N38" s="896"/>
      <c r="O38" s="1716"/>
      <c r="P38" s="896"/>
      <c r="Q38" s="1716"/>
      <c r="R38" s="896"/>
      <c r="S38" s="1716"/>
      <c r="T38" s="1717">
        <f t="shared" si="1"/>
        <v>0</v>
      </c>
      <c r="U38" s="1571"/>
      <c r="V38" s="1571"/>
      <c r="W38" s="1447"/>
      <c r="X38" s="1447"/>
      <c r="Y38" s="1447"/>
      <c r="Z38" s="1448">
        <v>12710100</v>
      </c>
    </row>
    <row r="39" spans="1:26" ht="21.75" customHeight="1" x14ac:dyDescent="0.2">
      <c r="A39" s="874">
        <v>14</v>
      </c>
      <c r="B39" s="2222" t="s">
        <v>625</v>
      </c>
      <c r="C39" s="1716"/>
      <c r="D39" s="896" t="str">
        <f>IFERROR(HLOOKUP($N$6,PriorYr905!$E$8:$AH$83,70,FALSE),"")</f>
        <v/>
      </c>
      <c r="E39" s="1716"/>
      <c r="F39" s="896"/>
      <c r="G39" s="1716"/>
      <c r="H39" s="896"/>
      <c r="I39" s="1716"/>
      <c r="J39" s="896"/>
      <c r="K39" s="1716"/>
      <c r="L39" s="896"/>
      <c r="M39" s="1716"/>
      <c r="N39" s="896"/>
      <c r="O39" s="1716"/>
      <c r="P39" s="896"/>
      <c r="Q39" s="1716"/>
      <c r="R39" s="896"/>
      <c r="S39" s="1716"/>
      <c r="T39" s="1717">
        <f t="shared" si="1"/>
        <v>0</v>
      </c>
      <c r="U39" s="1571"/>
      <c r="V39" s="1571"/>
      <c r="W39" s="1447"/>
      <c r="X39" s="1447"/>
      <c r="Y39" s="1447"/>
      <c r="Z39" s="1448">
        <v>12735000</v>
      </c>
    </row>
    <row r="40" spans="1:26" ht="21.75" customHeight="1" x14ac:dyDescent="0.2">
      <c r="A40" s="874">
        <v>15</v>
      </c>
      <c r="B40" s="2222" t="s">
        <v>626</v>
      </c>
      <c r="C40" s="1716"/>
      <c r="D40" s="1718" t="str">
        <f>IFERROR(HLOOKUP($N$6,PriorYr905!$E$8:$AH$83,71,FALSE),"")</f>
        <v/>
      </c>
      <c r="E40" s="1716"/>
      <c r="F40" s="1718"/>
      <c r="G40" s="1716"/>
      <c r="H40" s="1718"/>
      <c r="I40" s="1716"/>
      <c r="J40" s="1718"/>
      <c r="K40" s="1716"/>
      <c r="L40" s="1718"/>
      <c r="M40" s="1716"/>
      <c r="N40" s="1718"/>
      <c r="O40" s="1716"/>
      <c r="P40" s="1718"/>
      <c r="Q40" s="1716"/>
      <c r="R40" s="1718"/>
      <c r="S40" s="1716"/>
      <c r="T40" s="2169">
        <f t="shared" si="1"/>
        <v>0</v>
      </c>
      <c r="U40" s="1571"/>
      <c r="V40" s="1571"/>
      <c r="W40" s="1447"/>
      <c r="X40" s="1447"/>
      <c r="Y40" s="1447"/>
      <c r="Z40" s="1448">
        <v>12729500</v>
      </c>
    </row>
    <row r="41" spans="1:26" ht="21.75" customHeight="1" x14ac:dyDescent="0.2">
      <c r="A41" s="874"/>
      <c r="B41" s="517" t="s">
        <v>627</v>
      </c>
      <c r="C41" s="1716"/>
      <c r="D41" s="1720"/>
      <c r="E41" s="1716"/>
      <c r="F41" s="1720"/>
      <c r="G41" s="1716"/>
      <c r="H41" s="1720"/>
      <c r="I41" s="1716"/>
      <c r="J41" s="1720"/>
      <c r="K41" s="1716"/>
      <c r="L41" s="1720"/>
      <c r="M41" s="1716"/>
      <c r="N41" s="1720"/>
      <c r="O41" s="1716"/>
      <c r="P41" s="1720"/>
      <c r="Q41" s="1716"/>
      <c r="R41" s="1720"/>
      <c r="S41" s="1716"/>
      <c r="T41" s="1719"/>
      <c r="U41" s="1571"/>
      <c r="V41" s="1571"/>
      <c r="W41" s="1447"/>
      <c r="X41" s="1447"/>
      <c r="Y41" s="1447"/>
      <c r="Z41" s="1448"/>
    </row>
    <row r="42" spans="1:26" ht="21.75" customHeight="1" x14ac:dyDescent="0.2">
      <c r="A42" s="874"/>
      <c r="B42" s="2222" t="s">
        <v>628</v>
      </c>
      <c r="C42" s="1716"/>
      <c r="D42" s="2105"/>
      <c r="E42" s="1716"/>
      <c r="F42" s="896"/>
      <c r="G42" s="1716"/>
      <c r="H42" s="896"/>
      <c r="I42" s="1716"/>
      <c r="J42" s="896"/>
      <c r="K42" s="1716"/>
      <c r="L42" s="896"/>
      <c r="M42" s="1716"/>
      <c r="N42" s="896"/>
      <c r="O42" s="1716"/>
      <c r="P42" s="896"/>
      <c r="Q42" s="1716"/>
      <c r="R42" s="896"/>
      <c r="S42" s="1716"/>
      <c r="T42" s="1717">
        <f t="shared" ref="T42:T43" si="2">SUM(D42:S42)</f>
        <v>0</v>
      </c>
      <c r="U42" s="1571" t="s">
        <v>629</v>
      </c>
      <c r="V42" s="1447"/>
      <c r="W42" s="1447"/>
      <c r="X42" s="1447"/>
      <c r="Y42" s="1447"/>
      <c r="Z42" s="1448">
        <v>12754000</v>
      </c>
    </row>
    <row r="43" spans="1:26" ht="21.75" customHeight="1" x14ac:dyDescent="0.2">
      <c r="A43" s="874"/>
      <c r="B43" s="2222" t="s">
        <v>630</v>
      </c>
      <c r="C43" s="1716"/>
      <c r="D43" s="2105"/>
      <c r="E43" s="1716"/>
      <c r="F43" s="1720"/>
      <c r="G43" s="1716"/>
      <c r="H43" s="1720"/>
      <c r="I43" s="1716"/>
      <c r="J43" s="1720"/>
      <c r="K43" s="1716"/>
      <c r="L43" s="1720"/>
      <c r="M43" s="1716"/>
      <c r="N43" s="1720"/>
      <c r="O43" s="1716"/>
      <c r="P43" s="1720"/>
      <c r="Q43" s="1716"/>
      <c r="R43" s="1720"/>
      <c r="S43" s="1716"/>
      <c r="T43" s="1717">
        <f t="shared" si="2"/>
        <v>0</v>
      </c>
      <c r="U43" s="1571" t="s">
        <v>629</v>
      </c>
      <c r="V43" s="1447"/>
      <c r="W43" s="1447"/>
      <c r="X43" s="1447"/>
      <c r="Y43" s="1447"/>
      <c r="Z43" s="1448">
        <v>12754500</v>
      </c>
    </row>
    <row r="44" spans="1:26" ht="21.75" customHeight="1" thickBot="1" x14ac:dyDescent="0.25">
      <c r="A44" s="874"/>
      <c r="B44" s="518" t="s">
        <v>631</v>
      </c>
      <c r="C44" s="1716"/>
      <c r="D44" s="1721">
        <f>SUM(D20:D43)</f>
        <v>0</v>
      </c>
      <c r="E44" s="1719">
        <f t="shared" ref="E44:S44" si="3">SUM(E20:E35)</f>
        <v>0</v>
      </c>
      <c r="F44" s="1721">
        <f>SUM(F20:F43)</f>
        <v>0</v>
      </c>
      <c r="G44" s="1719">
        <f t="shared" si="3"/>
        <v>0</v>
      </c>
      <c r="H44" s="1721">
        <f>SUM(H20:H43)</f>
        <v>0</v>
      </c>
      <c r="I44" s="1719">
        <f t="shared" si="3"/>
        <v>0</v>
      </c>
      <c r="J44" s="1721">
        <f>SUM(J20:J43)</f>
        <v>0</v>
      </c>
      <c r="K44" s="1719">
        <f t="shared" si="3"/>
        <v>0</v>
      </c>
      <c r="L44" s="1721">
        <f>SUM(L20:L43)</f>
        <v>0</v>
      </c>
      <c r="M44" s="1719">
        <f t="shared" si="3"/>
        <v>0</v>
      </c>
      <c r="N44" s="1721">
        <f>SUM(N20:N43)</f>
        <v>0</v>
      </c>
      <c r="O44" s="1719">
        <f t="shared" si="3"/>
        <v>0</v>
      </c>
      <c r="P44" s="1721">
        <f>SUM(P20:P43)</f>
        <v>0</v>
      </c>
      <c r="Q44" s="1719">
        <f t="shared" si="3"/>
        <v>0</v>
      </c>
      <c r="R44" s="1721">
        <f>SUM(R20:R43)</f>
        <v>0</v>
      </c>
      <c r="S44" s="1719">
        <f t="shared" si="3"/>
        <v>0</v>
      </c>
      <c r="T44" s="1721">
        <f>SUM(T20:T43)</f>
        <v>0</v>
      </c>
      <c r="U44" s="1447"/>
      <c r="V44" s="1447"/>
      <c r="W44" s="1447"/>
      <c r="X44" s="1447"/>
      <c r="Y44" s="1447"/>
      <c r="Z44" s="1448"/>
    </row>
    <row r="45" spans="1:26" ht="16.5" customHeight="1" thickTop="1" x14ac:dyDescent="0.2">
      <c r="A45" s="874"/>
      <c r="B45" s="519"/>
      <c r="C45" s="1447"/>
      <c r="D45" s="1719"/>
      <c r="E45" s="1716"/>
      <c r="F45" s="895" t="str">
        <f>IF(W45&gt;0,"Worksheet 430G or Worksheet 430BTA must be completed"," ")</f>
        <v xml:space="preserve"> </v>
      </c>
      <c r="G45" s="1716"/>
      <c r="H45" s="1719"/>
      <c r="I45" s="1716"/>
      <c r="J45" s="1719"/>
      <c r="K45" s="1716"/>
      <c r="L45" s="1719"/>
      <c r="M45" s="1716"/>
      <c r="N45" s="69"/>
      <c r="O45" s="1716"/>
      <c r="P45" s="1719"/>
      <c r="Q45" s="1447"/>
      <c r="R45" s="1719"/>
      <c r="S45" s="1447"/>
      <c r="T45" s="1719"/>
      <c r="U45" s="1447"/>
      <c r="V45" s="1447"/>
      <c r="W45" s="1447">
        <f>SUM(F20:F35)</f>
        <v>0</v>
      </c>
      <c r="X45" s="1447"/>
      <c r="Y45" s="1447"/>
    </row>
    <row r="46" spans="1:26" ht="6" customHeight="1" x14ac:dyDescent="0.2">
      <c r="A46" s="874"/>
      <c r="B46" s="519"/>
      <c r="C46" s="1447"/>
      <c r="D46" s="1719"/>
      <c r="E46" s="1716"/>
      <c r="F46" s="1719"/>
      <c r="G46" s="1716"/>
      <c r="H46" s="1719"/>
      <c r="I46" s="1716"/>
      <c r="J46" s="1719"/>
      <c r="K46" s="1716"/>
      <c r="L46" s="1719"/>
      <c r="M46" s="1716"/>
      <c r="N46" s="69"/>
      <c r="O46" s="1716"/>
      <c r="P46" s="1719"/>
      <c r="Q46" s="1447"/>
      <c r="R46" s="1719"/>
      <c r="S46" s="1447"/>
      <c r="T46" s="1719"/>
      <c r="U46" s="1447"/>
      <c r="V46" s="1447"/>
      <c r="W46" s="1447"/>
      <c r="X46" s="1447"/>
      <c r="Y46" s="1447"/>
    </row>
    <row r="47" spans="1:26" ht="6" customHeight="1" x14ac:dyDescent="0.2">
      <c r="A47" s="874"/>
      <c r="B47" s="519"/>
      <c r="C47" s="1447"/>
      <c r="D47" s="1719"/>
      <c r="E47" s="1716"/>
      <c r="F47" s="1719"/>
      <c r="G47" s="1716"/>
      <c r="H47" s="1719"/>
      <c r="I47" s="1716"/>
      <c r="J47" s="1719"/>
      <c r="K47" s="1716"/>
      <c r="L47" s="1719"/>
      <c r="M47" s="1716"/>
      <c r="N47" s="69"/>
      <c r="O47" s="1716"/>
      <c r="P47" s="1719"/>
      <c r="Q47" s="1447"/>
      <c r="R47" s="1719"/>
      <c r="S47" s="1447"/>
      <c r="T47" s="1719"/>
      <c r="U47" s="1447"/>
      <c r="V47" s="1447"/>
      <c r="W47" s="1447"/>
      <c r="X47" s="1447"/>
      <c r="Y47" s="1447"/>
    </row>
    <row r="48" spans="1:26" ht="12" customHeight="1" x14ac:dyDescent="0.2">
      <c r="A48" s="874"/>
      <c r="B48" s="2477" t="s">
        <v>632</v>
      </c>
      <c r="C48" s="2396"/>
      <c r="D48" s="2396"/>
      <c r="E48" s="2396"/>
      <c r="F48" s="2396"/>
      <c r="G48" s="2396"/>
      <c r="H48" s="2396"/>
      <c r="I48" s="2396"/>
      <c r="J48" s="2396"/>
      <c r="K48" s="2396"/>
      <c r="L48" s="2396"/>
      <c r="M48" s="2396"/>
      <c r="N48" s="2396"/>
      <c r="O48" s="2396"/>
      <c r="P48" s="2396"/>
      <c r="Q48" s="2396"/>
      <c r="R48" s="2396"/>
      <c r="S48" s="2396"/>
      <c r="T48" s="2396"/>
      <c r="U48" s="1447"/>
      <c r="V48" s="1447"/>
      <c r="W48" s="1447"/>
      <c r="X48" s="1447"/>
      <c r="Y48" s="1447"/>
    </row>
    <row r="49" spans="1:26" ht="15.75" customHeight="1" x14ac:dyDescent="0.25">
      <c r="A49" s="874"/>
      <c r="B49" s="518" t="s">
        <v>633</v>
      </c>
      <c r="C49" s="1447"/>
      <c r="D49" s="1447"/>
      <c r="E49" s="49"/>
      <c r="F49" s="49"/>
      <c r="G49" s="49"/>
      <c r="H49" s="49"/>
      <c r="I49" s="49"/>
      <c r="J49" s="49"/>
      <c r="K49" s="49"/>
      <c r="L49" s="49"/>
      <c r="M49" s="49"/>
      <c r="N49" s="49"/>
      <c r="O49" s="49"/>
      <c r="P49" s="49"/>
      <c r="Q49" s="49"/>
      <c r="R49" s="49"/>
      <c r="S49" s="49"/>
      <c r="T49" s="49"/>
      <c r="U49" s="1447"/>
      <c r="V49" s="1447"/>
      <c r="W49" s="1447"/>
      <c r="X49" s="1447"/>
      <c r="Y49" s="1447"/>
    </row>
    <row r="50" spans="1:26" ht="15.75" customHeight="1" x14ac:dyDescent="0.25">
      <c r="A50" s="874"/>
      <c r="B50" s="517" t="s">
        <v>634</v>
      </c>
      <c r="C50" s="1447"/>
      <c r="D50" s="1447"/>
      <c r="E50" s="49"/>
      <c r="F50" s="49"/>
      <c r="G50" s="49"/>
      <c r="H50" s="49"/>
      <c r="I50" s="49"/>
      <c r="J50" s="49"/>
      <c r="K50" s="49"/>
      <c r="L50" s="49"/>
      <c r="M50" s="49"/>
      <c r="N50" s="49"/>
      <c r="O50" s="49"/>
      <c r="P50" s="49"/>
      <c r="Q50" s="49"/>
      <c r="R50" s="49"/>
      <c r="S50" s="49"/>
      <c r="T50" s="49"/>
      <c r="U50" s="1447"/>
      <c r="V50" s="1447"/>
      <c r="W50" s="1447"/>
      <c r="X50" s="1447"/>
      <c r="Y50" s="1447"/>
    </row>
    <row r="51" spans="1:26" ht="15.75" customHeight="1" x14ac:dyDescent="0.25">
      <c r="A51" s="874"/>
      <c r="B51" s="586" t="s">
        <v>635</v>
      </c>
      <c r="C51" s="1447"/>
      <c r="D51" s="1447"/>
      <c r="E51" s="49"/>
      <c r="F51" s="49"/>
      <c r="G51" s="49"/>
      <c r="H51" s="49"/>
      <c r="I51" s="49"/>
      <c r="J51" s="49"/>
      <c r="K51" s="49"/>
      <c r="L51" s="49"/>
      <c r="M51" s="49"/>
      <c r="N51" s="49"/>
      <c r="O51" s="49"/>
      <c r="P51" s="49"/>
      <c r="Q51" s="49"/>
      <c r="R51" s="49"/>
      <c r="S51" s="49"/>
      <c r="T51" s="49"/>
      <c r="U51" s="1447"/>
      <c r="V51" s="1447"/>
      <c r="W51" s="1447"/>
      <c r="X51" s="1447"/>
      <c r="Y51" s="1447"/>
    </row>
    <row r="52" spans="1:26" ht="15.75" customHeight="1" x14ac:dyDescent="0.25">
      <c r="A52" s="874"/>
      <c r="B52" s="518"/>
      <c r="C52" s="1447"/>
      <c r="D52" s="424"/>
      <c r="E52" s="49"/>
      <c r="F52" s="49"/>
      <c r="G52" s="49"/>
      <c r="H52" s="1447"/>
      <c r="I52" s="289"/>
      <c r="J52" s="289"/>
      <c r="K52" s="289"/>
      <c r="L52" s="1722"/>
      <c r="M52" s="289"/>
      <c r="N52" s="289"/>
      <c r="O52" s="510"/>
      <c r="P52" s="1447"/>
      <c r="Q52" s="49"/>
      <c r="R52" s="49"/>
      <c r="S52" s="49"/>
      <c r="T52" s="49"/>
      <c r="U52" s="1447"/>
      <c r="V52" s="1447"/>
      <c r="W52" s="1447"/>
      <c r="X52" s="1447"/>
      <c r="Y52" s="1447"/>
    </row>
    <row r="53" spans="1:26" ht="7.5" customHeight="1" x14ac:dyDescent="0.25">
      <c r="A53" s="874"/>
      <c r="B53" s="518"/>
      <c r="C53" s="1447"/>
      <c r="D53" s="1447"/>
      <c r="E53" s="49"/>
      <c r="F53" s="49"/>
      <c r="G53" s="49"/>
      <c r="H53" s="424"/>
      <c r="I53" s="289"/>
      <c r="J53" s="289"/>
      <c r="K53" s="289"/>
      <c r="L53" s="289"/>
      <c r="M53" s="289"/>
      <c r="N53" s="289"/>
      <c r="O53" s="510"/>
      <c r="P53" s="1722"/>
      <c r="Q53" s="49"/>
      <c r="R53" s="49"/>
      <c r="S53" s="49"/>
      <c r="T53" s="49"/>
      <c r="U53" s="1447"/>
      <c r="V53" s="1447"/>
      <c r="W53" s="1447"/>
      <c r="X53" s="1447"/>
      <c r="Y53" s="1447"/>
    </row>
    <row r="54" spans="1:26" ht="15.75" customHeight="1" x14ac:dyDescent="0.25">
      <c r="A54" s="874"/>
      <c r="B54" s="518"/>
      <c r="C54" s="1447"/>
      <c r="D54" s="1447"/>
      <c r="E54" s="49"/>
      <c r="F54" s="49"/>
      <c r="G54" s="49"/>
      <c r="H54" s="49"/>
      <c r="I54" s="49"/>
      <c r="J54" s="49"/>
      <c r="K54" s="49"/>
      <c r="L54" s="49"/>
      <c r="M54" s="49"/>
      <c r="N54" s="49"/>
      <c r="O54" s="49"/>
      <c r="P54" s="49"/>
      <c r="Q54" s="49"/>
      <c r="R54" s="49"/>
      <c r="S54" s="49"/>
      <c r="T54" s="49"/>
      <c r="U54" s="1447"/>
      <c r="V54" s="1447"/>
      <c r="W54" s="1447"/>
      <c r="X54" s="1447"/>
      <c r="Y54" s="1447"/>
    </row>
    <row r="55" spans="1:26" ht="13.5" customHeight="1" x14ac:dyDescent="0.2">
      <c r="A55" s="874"/>
      <c r="B55" s="424"/>
      <c r="C55" s="289"/>
      <c r="D55" s="289"/>
      <c r="E55" s="289"/>
      <c r="F55" s="289"/>
      <c r="G55" s="289"/>
      <c r="H55" s="289"/>
      <c r="I55" s="510"/>
      <c r="J55" s="1722"/>
      <c r="K55" s="1447"/>
      <c r="L55" s="1447"/>
      <c r="M55" s="1447"/>
      <c r="N55" s="1447"/>
      <c r="O55" s="1447"/>
      <c r="P55" s="1447"/>
      <c r="Q55" s="1722"/>
      <c r="R55" s="1722"/>
      <c r="S55" s="1722"/>
      <c r="T55" s="1722"/>
      <c r="U55" s="1447"/>
      <c r="V55" s="1447"/>
      <c r="W55" s="1447"/>
      <c r="X55" s="1447"/>
      <c r="Y55" s="1447"/>
    </row>
    <row r="56" spans="1:26" ht="13.5" customHeight="1" x14ac:dyDescent="0.2">
      <c r="A56" s="875" t="str">
        <f ca="1">MID(CELL("filename",A1),FIND("]",CELL("filename",A1))+1,256)</f>
        <v>201</v>
      </c>
      <c r="B56" s="520"/>
      <c r="C56" s="289"/>
      <c r="D56" s="289"/>
      <c r="E56" s="289"/>
      <c r="F56" s="289"/>
      <c r="G56" s="289"/>
      <c r="H56" s="289"/>
      <c r="I56" s="289"/>
      <c r="J56" s="1722"/>
      <c r="K56" s="1722"/>
      <c r="L56" s="1722"/>
      <c r="M56" s="1722"/>
      <c r="N56" s="1722"/>
      <c r="O56" s="1722"/>
      <c r="P56" s="1722"/>
      <c r="Q56" s="1722"/>
      <c r="R56" s="1722"/>
      <c r="S56" s="1722"/>
      <c r="T56" s="1722"/>
      <c r="U56" s="1447"/>
      <c r="V56" s="1447"/>
      <c r="W56" s="1447"/>
      <c r="X56" s="1447"/>
      <c r="Y56" s="1447"/>
    </row>
    <row r="57" spans="1:26" ht="15" x14ac:dyDescent="0.2">
      <c r="A57" s="875"/>
      <c r="B57" s="1722"/>
      <c r="C57" s="521"/>
      <c r="D57" s="1722"/>
      <c r="E57" s="1722"/>
      <c r="F57" s="1722"/>
      <c r="G57" s="1722"/>
      <c r="H57" s="1722"/>
      <c r="I57" s="1722"/>
      <c r="J57" s="1722"/>
      <c r="K57" s="1722"/>
      <c r="L57" s="1722"/>
      <c r="M57" s="1722"/>
      <c r="N57" s="1722"/>
      <c r="O57" s="1722"/>
      <c r="P57" s="1722"/>
      <c r="Q57" s="1722"/>
      <c r="R57" s="1722"/>
      <c r="S57" s="1722"/>
      <c r="T57" s="1722"/>
      <c r="U57" s="1447"/>
      <c r="V57" s="1447"/>
      <c r="W57" s="1447"/>
      <c r="X57" s="1447"/>
      <c r="Y57" s="1447"/>
    </row>
    <row r="58" spans="1:26" ht="15" x14ac:dyDescent="0.2">
      <c r="A58" s="875"/>
      <c r="B58" s="445"/>
      <c r="C58" s="445"/>
      <c r="D58" s="1447"/>
      <c r="E58" s="1447"/>
      <c r="F58" s="1447"/>
      <c r="G58" s="1447"/>
      <c r="H58" s="1447"/>
      <c r="I58" s="1447"/>
      <c r="J58" s="1447"/>
      <c r="K58" s="1447"/>
      <c r="L58" s="1447"/>
      <c r="M58" s="1447"/>
      <c r="N58" s="1447"/>
      <c r="O58" s="1447"/>
      <c r="P58" s="1447"/>
      <c r="Q58" s="1447"/>
      <c r="R58" s="1447"/>
      <c r="S58" s="1447"/>
      <c r="T58" s="1447"/>
      <c r="U58" s="1447"/>
      <c r="V58" s="1447"/>
      <c r="W58" s="1447"/>
      <c r="X58" s="1447"/>
      <c r="Y58" s="1447"/>
    </row>
    <row r="59" spans="1:26" s="60" customFormat="1" ht="15" x14ac:dyDescent="0.2">
      <c r="A59" s="875"/>
      <c r="B59" s="445" t="s">
        <v>636</v>
      </c>
      <c r="C59" s="445"/>
      <c r="Z59" s="1449"/>
    </row>
    <row r="60" spans="1:26" s="60" customFormat="1" ht="15" x14ac:dyDescent="0.2">
      <c r="A60" s="875" t="s">
        <v>380</v>
      </c>
      <c r="B60" s="445" t="str">
        <f t="shared" ref="B60:B69" ca="1" si="4">IF(ISNA(INDEX(ErrorTable,MATCH($A$56&amp;$A60&amp;FALSE,ErrorKey,0),6)),"",INDEX(ErrorTable,MATCH($A$56&amp;$A60&amp;FALSE,ErrorKey,0),6))</f>
        <v>GASB number is blank.</v>
      </c>
      <c r="C60" s="445"/>
      <c r="Z60" s="1449"/>
    </row>
    <row r="61" spans="1:26" s="60" customFormat="1" ht="15" x14ac:dyDescent="0.2">
      <c r="A61" s="875" t="s">
        <v>381</v>
      </c>
      <c r="B61" s="445" t="str">
        <f t="shared" ca="1" si="4"/>
        <v/>
      </c>
      <c r="C61" s="445"/>
      <c r="Z61" s="1449"/>
    </row>
    <row r="62" spans="1:26" s="60" customFormat="1" ht="15" x14ac:dyDescent="0.2">
      <c r="A62" s="875" t="s">
        <v>382</v>
      </c>
      <c r="B62" s="445" t="str">
        <f t="shared" ca="1" si="4"/>
        <v/>
      </c>
      <c r="C62" s="445"/>
      <c r="Z62" s="1449"/>
    </row>
    <row r="63" spans="1:26" s="60" customFormat="1" ht="15" x14ac:dyDescent="0.2">
      <c r="A63" s="875" t="s">
        <v>383</v>
      </c>
      <c r="B63" s="445" t="str">
        <f t="shared" ca="1" si="4"/>
        <v/>
      </c>
      <c r="C63" s="445"/>
      <c r="Z63" s="1449"/>
    </row>
    <row r="64" spans="1:26" s="60" customFormat="1" ht="15" x14ac:dyDescent="0.2">
      <c r="A64" s="875" t="s">
        <v>384</v>
      </c>
      <c r="B64" s="445" t="str">
        <f t="shared" ca="1" si="4"/>
        <v/>
      </c>
      <c r="C64" s="445"/>
      <c r="Z64" s="1449"/>
    </row>
    <row r="65" spans="1:26" s="60" customFormat="1" ht="15" x14ac:dyDescent="0.2">
      <c r="A65" s="875" t="s">
        <v>385</v>
      </c>
      <c r="B65" s="445" t="str">
        <f t="shared" ca="1" si="4"/>
        <v/>
      </c>
      <c r="C65" s="445"/>
      <c r="Z65" s="1449"/>
    </row>
    <row r="66" spans="1:26" s="60" customFormat="1" ht="15" x14ac:dyDescent="0.2">
      <c r="A66" s="875" t="s">
        <v>386</v>
      </c>
      <c r="B66" s="445" t="str">
        <f t="shared" ca="1" si="4"/>
        <v/>
      </c>
      <c r="C66" s="445"/>
      <c r="Z66" s="1449"/>
    </row>
    <row r="67" spans="1:26" s="60" customFormat="1" ht="20.100000000000001" customHeight="1" x14ac:dyDescent="0.2">
      <c r="A67" s="875" t="s">
        <v>387</v>
      </c>
      <c r="B67" s="445" t="str">
        <f t="shared" ca="1" si="4"/>
        <v/>
      </c>
      <c r="Z67" s="1449"/>
    </row>
    <row r="68" spans="1:26" s="60" customFormat="1" ht="20.100000000000001" customHeight="1" x14ac:dyDescent="0.2">
      <c r="A68" s="875" t="s">
        <v>388</v>
      </c>
      <c r="B68" s="445" t="str">
        <f t="shared" ca="1" si="4"/>
        <v/>
      </c>
      <c r="Z68" s="1449"/>
    </row>
    <row r="69" spans="1:26" s="60" customFormat="1" ht="20.100000000000001" customHeight="1" x14ac:dyDescent="0.2">
      <c r="A69" s="875" t="s">
        <v>389</v>
      </c>
      <c r="B69" s="445" t="str">
        <f t="shared" ca="1" si="4"/>
        <v/>
      </c>
      <c r="Z69" s="1449"/>
    </row>
    <row r="70" spans="1:26" s="60" customFormat="1" ht="20.100000000000001" customHeight="1" x14ac:dyDescent="0.2">
      <c r="A70" s="876"/>
      <c r="Z70" s="1449"/>
    </row>
    <row r="71" spans="1:26" s="60" customFormat="1" ht="20.100000000000001" customHeight="1" x14ac:dyDescent="0.2">
      <c r="A71" s="876"/>
      <c r="Z71" s="1449"/>
    </row>
    <row r="72" spans="1:26" s="60" customFormat="1" ht="20.100000000000001" customHeight="1" x14ac:dyDescent="0.2">
      <c r="A72" s="876"/>
      <c r="Z72" s="1449"/>
    </row>
    <row r="73" spans="1:26" s="60" customFormat="1" ht="20.100000000000001" customHeight="1" x14ac:dyDescent="0.2">
      <c r="A73" s="876"/>
      <c r="Z73" s="1449"/>
    </row>
    <row r="74" spans="1:26" ht="20.100000000000001" customHeight="1" x14ac:dyDescent="0.2">
      <c r="A74" s="876"/>
      <c r="B74" s="1447"/>
      <c r="C74" s="1447"/>
      <c r="D74" s="1447"/>
      <c r="E74" s="1447"/>
      <c r="F74" s="1447"/>
      <c r="G74" s="1447"/>
      <c r="H74" s="1447"/>
      <c r="I74" s="1447"/>
      <c r="J74" s="1447"/>
      <c r="K74" s="1447"/>
      <c r="L74" s="1447"/>
      <c r="M74" s="1447"/>
      <c r="N74" s="1447"/>
      <c r="O74" s="1447"/>
      <c r="P74" s="1447"/>
      <c r="Q74" s="60"/>
      <c r="R74" s="60"/>
      <c r="S74" s="1447"/>
      <c r="T74" s="1447"/>
      <c r="U74" s="1447"/>
      <c r="V74" s="1447"/>
      <c r="W74" s="1447"/>
      <c r="X74" s="1447"/>
      <c r="Y74" s="1447"/>
    </row>
    <row r="75" spans="1:26" ht="20.100000000000001" customHeight="1" x14ac:dyDescent="0.2">
      <c r="A75" s="876"/>
      <c r="B75" s="1447"/>
      <c r="C75" s="1447"/>
      <c r="D75" s="1447"/>
      <c r="E75" s="1447"/>
      <c r="F75" s="1447"/>
      <c r="G75" s="1447"/>
      <c r="H75" s="1447"/>
      <c r="I75" s="1447"/>
      <c r="J75" s="1447"/>
      <c r="K75" s="1447"/>
      <c r="L75" s="1447"/>
      <c r="M75" s="1447"/>
      <c r="N75" s="1447"/>
      <c r="O75" s="1447"/>
      <c r="P75" s="1447"/>
      <c r="Q75" s="60"/>
      <c r="R75" s="60"/>
      <c r="S75" s="1447"/>
      <c r="T75" s="1447"/>
      <c r="U75" s="1447"/>
      <c r="V75" s="1447"/>
      <c r="W75" s="1447"/>
      <c r="X75" s="1447"/>
      <c r="Y75" s="1447"/>
    </row>
    <row r="76" spans="1:26" ht="20.100000000000001" customHeight="1" x14ac:dyDescent="0.2">
      <c r="A76" s="876"/>
      <c r="B76" s="1447"/>
      <c r="C76" s="1447"/>
      <c r="D76" s="1447"/>
      <c r="E76" s="1447"/>
      <c r="F76" s="1447"/>
      <c r="G76" s="1447"/>
      <c r="H76" s="1447"/>
      <c r="I76" s="1447"/>
      <c r="J76" s="1447"/>
      <c r="K76" s="1447"/>
      <c r="L76" s="1447"/>
      <c r="M76" s="1447"/>
      <c r="N76" s="1447"/>
      <c r="O76" s="1447"/>
      <c r="P76" s="1447"/>
      <c r="Q76" s="60"/>
      <c r="R76" s="60"/>
      <c r="S76" s="1447"/>
      <c r="T76" s="1447"/>
      <c r="U76" s="1447"/>
      <c r="V76" s="1447"/>
      <c r="W76" s="1447"/>
      <c r="X76" s="1447"/>
      <c r="Y76" s="1447"/>
    </row>
    <row r="77" spans="1:26" ht="20.100000000000001" customHeight="1" x14ac:dyDescent="0.2">
      <c r="A77" s="874"/>
      <c r="B77" s="1447"/>
      <c r="C77" s="1447"/>
      <c r="D77" s="1447"/>
      <c r="E77" s="1447"/>
      <c r="F77" s="1447"/>
      <c r="G77" s="1447"/>
      <c r="H77" s="1447"/>
      <c r="I77" s="1447"/>
      <c r="J77" s="1447"/>
      <c r="K77" s="1447"/>
      <c r="L77" s="1447"/>
      <c r="M77" s="1447"/>
      <c r="N77" s="1447"/>
      <c r="O77" s="1447"/>
      <c r="P77" s="1447"/>
      <c r="Q77" s="60"/>
      <c r="R77" s="60"/>
      <c r="S77" s="1447"/>
      <c r="T77" s="1447"/>
      <c r="U77" s="1447"/>
      <c r="V77" s="1447"/>
      <c r="W77" s="1447"/>
      <c r="X77" s="1447"/>
      <c r="Y77" s="1447"/>
    </row>
    <row r="78" spans="1:26" ht="20.100000000000001" customHeight="1" x14ac:dyDescent="0.2">
      <c r="A78" s="874"/>
      <c r="B78" s="1447"/>
      <c r="C78" s="1447"/>
      <c r="D78" s="1447"/>
      <c r="E78" s="1447"/>
      <c r="F78" s="1447"/>
      <c r="G78" s="1447"/>
      <c r="H78" s="1447"/>
      <c r="I78" s="1447"/>
      <c r="J78" s="1447"/>
      <c r="K78" s="1447"/>
      <c r="L78" s="1447"/>
      <c r="M78" s="1447"/>
      <c r="N78" s="1447"/>
      <c r="O78" s="1447"/>
      <c r="P78" s="1447"/>
      <c r="Q78" s="60"/>
      <c r="R78" s="60"/>
      <c r="S78" s="1447"/>
      <c r="T78" s="1447"/>
      <c r="U78" s="1447"/>
      <c r="V78" s="1447"/>
      <c r="W78" s="1447"/>
      <c r="X78" s="1447"/>
      <c r="Y78" s="1447"/>
    </row>
    <row r="79" spans="1:26" ht="20.100000000000001" customHeight="1" x14ac:dyDescent="0.2">
      <c r="A79" s="874"/>
      <c r="B79" s="1447"/>
      <c r="C79" s="1447"/>
      <c r="D79" s="1447"/>
      <c r="E79" s="1447"/>
      <c r="F79" s="1447"/>
      <c r="G79" s="1447"/>
      <c r="H79" s="1447"/>
      <c r="I79" s="1447"/>
      <c r="J79" s="1447"/>
      <c r="K79" s="1447"/>
      <c r="L79" s="1447"/>
      <c r="M79" s="1447"/>
      <c r="N79" s="1447"/>
      <c r="O79" s="1447"/>
      <c r="P79" s="1447"/>
      <c r="Q79" s="60"/>
      <c r="R79" s="60"/>
      <c r="S79" s="1447"/>
      <c r="T79" s="1447"/>
      <c r="U79" s="1447"/>
      <c r="V79" s="1447"/>
      <c r="W79" s="1447"/>
      <c r="X79" s="1447"/>
      <c r="Y79" s="1447"/>
    </row>
    <row r="80" spans="1:26" ht="20.100000000000001" customHeight="1" x14ac:dyDescent="0.2">
      <c r="A80" s="874"/>
      <c r="B80" s="1447"/>
      <c r="C80" s="1447"/>
      <c r="D80" s="1447"/>
      <c r="E80" s="1447"/>
      <c r="F80" s="1447"/>
      <c r="G80" s="1447"/>
      <c r="H80" s="1447"/>
      <c r="I80" s="1447"/>
      <c r="J80" s="1447"/>
      <c r="K80" s="1447"/>
      <c r="L80" s="1447"/>
      <c r="M80" s="1447"/>
      <c r="N80" s="1447"/>
      <c r="O80" s="1447"/>
      <c r="P80" s="1447"/>
      <c r="Q80" s="60"/>
      <c r="R80" s="60"/>
      <c r="S80" s="1447"/>
      <c r="T80" s="1447"/>
      <c r="U80" s="1447"/>
      <c r="V80" s="1447"/>
      <c r="W80" s="1447"/>
      <c r="X80" s="1447"/>
      <c r="Y80" s="1447"/>
    </row>
    <row r="81" spans="1:25" ht="20.100000000000001" customHeight="1" x14ac:dyDescent="0.2">
      <c r="A81" s="874"/>
      <c r="B81" s="1447"/>
      <c r="C81" s="1447"/>
      <c r="D81" s="1447"/>
      <c r="E81" s="1447"/>
      <c r="F81" s="1447"/>
      <c r="G81" s="1447"/>
      <c r="H81" s="1447"/>
      <c r="I81" s="1447"/>
      <c r="J81" s="1447"/>
      <c r="K81" s="1447"/>
      <c r="L81" s="1447"/>
      <c r="M81" s="1447"/>
      <c r="N81" s="1447"/>
      <c r="O81" s="1447"/>
      <c r="P81" s="1447"/>
      <c r="Q81" s="60"/>
      <c r="R81" s="60"/>
      <c r="S81" s="1447"/>
      <c r="T81" s="1447"/>
      <c r="U81" s="1447"/>
      <c r="V81" s="1447"/>
      <c r="W81" s="1447"/>
      <c r="X81" s="1447"/>
      <c r="Y81" s="1447"/>
    </row>
    <row r="82" spans="1:25" ht="20.100000000000001" customHeight="1" x14ac:dyDescent="0.2">
      <c r="A82" s="874"/>
      <c r="B82" s="1447"/>
      <c r="C82" s="1447"/>
      <c r="D82" s="1447"/>
      <c r="E82" s="1447"/>
      <c r="F82" s="1447"/>
      <c r="G82" s="1447"/>
      <c r="H82" s="1447"/>
      <c r="I82" s="1447"/>
      <c r="J82" s="1447"/>
      <c r="K82" s="1447"/>
      <c r="L82" s="1447"/>
      <c r="M82" s="1447"/>
      <c r="N82" s="1447"/>
      <c r="O82" s="1447"/>
      <c r="P82" s="1447"/>
      <c r="Q82" s="60"/>
      <c r="R82" s="60"/>
      <c r="S82" s="1447"/>
      <c r="T82" s="1447"/>
      <c r="U82" s="1447"/>
      <c r="V82" s="1447"/>
      <c r="W82" s="1447"/>
      <c r="X82" s="1447"/>
      <c r="Y82" s="1447"/>
    </row>
    <row r="83" spans="1:25" x14ac:dyDescent="0.2">
      <c r="A83" s="874"/>
      <c r="B83" s="1447"/>
      <c r="C83" s="1447"/>
      <c r="D83" s="1447"/>
      <c r="E83" s="1447"/>
      <c r="F83" s="1447"/>
      <c r="G83" s="1447"/>
      <c r="H83" s="1447"/>
      <c r="I83" s="1447"/>
      <c r="J83" s="1447"/>
      <c r="K83" s="1447"/>
      <c r="L83" s="1447"/>
      <c r="M83" s="1447"/>
      <c r="N83" s="1447"/>
      <c r="O83" s="1447"/>
      <c r="P83" s="1447"/>
      <c r="Q83" s="60"/>
      <c r="R83" s="60"/>
      <c r="S83" s="1447"/>
      <c r="T83" s="1447"/>
      <c r="U83" s="1447"/>
      <c r="V83" s="1447"/>
      <c r="W83" s="1447"/>
      <c r="X83" s="1447"/>
      <c r="Y83" s="1447"/>
    </row>
    <row r="84" spans="1:25" x14ac:dyDescent="0.2">
      <c r="A84" s="874"/>
      <c r="B84" s="1447"/>
      <c r="C84" s="1447"/>
      <c r="D84" s="1447"/>
      <c r="E84" s="1447"/>
      <c r="F84" s="1447"/>
      <c r="G84" s="1447"/>
      <c r="H84" s="1447"/>
      <c r="I84" s="1447"/>
      <c r="J84" s="1447"/>
      <c r="K84" s="1447"/>
      <c r="L84" s="1447"/>
      <c r="M84" s="1447"/>
      <c r="N84" s="1447"/>
      <c r="O84" s="1447"/>
      <c r="P84" s="1447"/>
      <c r="Q84" s="60"/>
      <c r="R84" s="60"/>
      <c r="S84" s="1447"/>
      <c r="T84" s="1447"/>
      <c r="U84" s="1447"/>
      <c r="V84" s="1447"/>
      <c r="W84" s="1447"/>
      <c r="X84" s="1447"/>
      <c r="Y84" s="1447"/>
    </row>
    <row r="85" spans="1:25" x14ac:dyDescent="0.2">
      <c r="A85" s="874"/>
      <c r="B85" s="1447"/>
      <c r="C85" s="1447"/>
      <c r="D85" s="1447"/>
      <c r="E85" s="1447"/>
      <c r="F85" s="1447"/>
      <c r="G85" s="1447"/>
      <c r="H85" s="1447"/>
      <c r="I85" s="1447"/>
      <c r="J85" s="1447"/>
      <c r="K85" s="1447"/>
      <c r="L85" s="1447"/>
      <c r="M85" s="1447"/>
      <c r="N85" s="1447"/>
      <c r="O85" s="1447"/>
      <c r="P85" s="1447"/>
      <c r="Q85" s="60"/>
      <c r="R85" s="60"/>
      <c r="S85" s="1447"/>
      <c r="T85" s="1447"/>
      <c r="U85" s="1447"/>
      <c r="V85" s="1447"/>
      <c r="W85" s="1447"/>
      <c r="X85" s="1447"/>
      <c r="Y85" s="1447"/>
    </row>
    <row r="86" spans="1:25" x14ac:dyDescent="0.2">
      <c r="A86" s="874"/>
      <c r="B86" s="1447"/>
      <c r="C86" s="1447"/>
      <c r="D86" s="1447"/>
      <c r="E86" s="1447"/>
      <c r="F86" s="1447"/>
      <c r="G86" s="1447"/>
      <c r="H86" s="1447"/>
      <c r="I86" s="1447"/>
      <c r="J86" s="1447"/>
      <c r="K86" s="1447"/>
      <c r="L86" s="1447"/>
      <c r="M86" s="1447"/>
      <c r="N86" s="1447"/>
      <c r="O86" s="1447"/>
      <c r="P86" s="1447"/>
      <c r="Q86" s="60"/>
      <c r="R86" s="60"/>
      <c r="S86" s="1447"/>
      <c r="T86" s="1447"/>
      <c r="U86" s="1447"/>
      <c r="V86" s="1447"/>
      <c r="W86" s="1447"/>
      <c r="X86" s="1447"/>
      <c r="Y86" s="1447"/>
    </row>
    <row r="87" spans="1:25" x14ac:dyDescent="0.2">
      <c r="A87" s="874"/>
      <c r="B87" s="1447"/>
      <c r="C87" s="1447"/>
      <c r="D87" s="1447"/>
      <c r="E87" s="1447"/>
      <c r="F87" s="1447"/>
      <c r="G87" s="1447"/>
      <c r="H87" s="1447"/>
      <c r="I87" s="1447"/>
      <c r="J87" s="1447"/>
      <c r="K87" s="1447"/>
      <c r="L87" s="1447"/>
      <c r="M87" s="1447"/>
      <c r="N87" s="1447"/>
      <c r="O87" s="1447"/>
      <c r="P87" s="1447"/>
      <c r="Q87" s="60"/>
      <c r="R87" s="60"/>
      <c r="S87" s="1447"/>
      <c r="T87" s="1447"/>
      <c r="U87" s="1447"/>
      <c r="V87" s="1447"/>
      <c r="W87" s="1447"/>
      <c r="X87" s="1447"/>
      <c r="Y87" s="1447"/>
    </row>
    <row r="88" spans="1:25" x14ac:dyDescent="0.2">
      <c r="A88" s="874"/>
      <c r="B88" s="1447"/>
      <c r="C88" s="1447"/>
      <c r="D88" s="1447"/>
      <c r="E88" s="1447"/>
      <c r="F88" s="1447"/>
      <c r="G88" s="1447"/>
      <c r="H88" s="1447"/>
      <c r="I88" s="1447"/>
      <c r="J88" s="1447"/>
      <c r="K88" s="1447"/>
      <c r="L88" s="1447"/>
      <c r="M88" s="1447"/>
      <c r="N88" s="1447"/>
      <c r="O88" s="1447"/>
      <c r="P88" s="1447"/>
      <c r="Q88" s="60"/>
      <c r="R88" s="60"/>
      <c r="S88" s="1447"/>
      <c r="T88" s="1447"/>
      <c r="U88" s="1447"/>
      <c r="V88" s="1447"/>
      <c r="W88" s="1447"/>
      <c r="X88" s="1447"/>
      <c r="Y88" s="1447"/>
    </row>
  </sheetData>
  <sheetProtection algorithmName="SHA-512" hashValue="3k86XbelfFmYDRCrNms4PYwYJIzJQrRK6JOgDXfb1aI6a/jvusty2HKoCt39AwQCHz5oMypP3D1cbHK+2cstTg==" saltValue="S6fCVmvpbFkxaQOFpm/1PQ==" spinCount="100000" sheet="1" objects="1" scenarios="1" autoFilter="0"/>
  <customSheetViews>
    <customSheetView guid="{9FCFC836-1CA5-48BF-958D-24D2EA94B219}" showGridLines="0" fitToPage="1" hiddenColumns="1" topLeftCell="B1">
      <selection activeCell="H38" sqref="H38"/>
      <pageMargins left="0" right="0" top="0" bottom="0" header="0" footer="0"/>
      <pageSetup scale="66" pageOrder="overThenDown" orientation="landscape" r:id="rId1"/>
      <headerFooter alignWithMargins="0">
        <oddFooter>&amp;R&amp;A</oddFooter>
      </headerFooter>
    </customSheetView>
    <customSheetView guid="{B08879A4-635B-4C39-9937-AC7883D562FC}" showGridLines="0" fitToPage="1" hiddenColumns="1" topLeftCell="B1">
      <selection activeCell="H38" sqref="H38"/>
      <pageMargins left="0" right="0" top="0" bottom="0" header="0" footer="0"/>
      <pageSetup scale="66" pageOrder="overThenDown" orientation="landscape" r:id="rId2"/>
      <headerFooter alignWithMargins="0">
        <oddFooter>&amp;R&amp;A</oddFooter>
      </headerFooter>
    </customSheetView>
  </customSheetViews>
  <mergeCells count="10">
    <mergeCell ref="U1:U3"/>
    <mergeCell ref="B2:T2"/>
    <mergeCell ref="B3:T3"/>
    <mergeCell ref="N7:T7"/>
    <mergeCell ref="N8:T8"/>
    <mergeCell ref="N9:T9"/>
    <mergeCell ref="H13:H16"/>
    <mergeCell ref="L13:N13"/>
    <mergeCell ref="B48:T48"/>
    <mergeCell ref="B1:T1"/>
  </mergeCells>
  <conditionalFormatting sqref="U1:U4">
    <cfRule type="cellIs" dxfId="151" priority="1" stopIfTrue="1" operator="equal">
      <formula>"na"</formula>
    </cfRule>
  </conditionalFormatting>
  <dataValidations xWindow="336" yWindow="316" count="7">
    <dataValidation type="decimal" operator="lessThanOrEqual" allowBlank="1" showInputMessage="1" showErrorMessage="1" errorTitle="Invalid data!" error="Decrease in CIP must be a negative number." sqref="R24:R25" xr:uid="{00000000-0002-0000-0700-000000000000}">
      <formula1>0</formula1>
    </dataValidation>
    <dataValidation type="textLength" operator="equal" allowBlank="1" showInputMessage="1" showErrorMessage="1" errorTitle="Invalid data!" error="GASB number must be 4 digits." promptTitle="Capital Assets GASB Number" prompt="For primary government governmental fund types, the GASB fund number for Capital Assets should be 5100." sqref="D8:D9" xr:uid="{00000000-0002-0000-0700-000001000000}">
      <formula1>4</formula1>
    </dataValidation>
    <dataValidation type="decimal" operator="greaterThanOrEqual" allowBlank="1" showInputMessage="1" showErrorMessage="1" errorTitle="Invalid data!" error="Amount must be positive." sqref="J22:J24 H20:H25 H27:H43 D42:D43" xr:uid="{00000000-0002-0000-0700-000002000000}">
      <formula1>0</formula1>
    </dataValidation>
    <dataValidation type="decimal" operator="lessThan" allowBlank="1" showErrorMessage="1" errorTitle="Invalid data!" error="Retirements must be entered as negative numbers." sqref="P20:P25 P27:P43" xr:uid="{00000000-0002-0000-0700-000003000000}">
      <formula1>0</formula1>
    </dataValidation>
    <dataValidation type="decimal" operator="lessThanOrEqual" allowBlank="1" showInputMessage="1" showErrorMessage="1" errorTitle="Invalid data!" error="Amount must be negative." sqref="J25 J20:J21 J27:J43" xr:uid="{00000000-0002-0000-0700-000004000000}">
      <formula1>0</formula1>
    </dataValidation>
    <dataValidation type="decimal" operator="greaterThanOrEqual" allowBlank="1" showInputMessage="1" showErrorMessage="1" errorTitle="Invalid data!" error="Amount must be positive!" sqref="L20:L25 N20:N25 L27:L43 N27:N43" xr:uid="{00000000-0002-0000-0700-000005000000}">
      <formula1>0</formula1>
    </dataValidation>
    <dataValidation type="list" allowBlank="1" showInputMessage="1" showErrorMessage="1" sqref="D7" xr:uid="{15963BF4-3A6B-457B-B467-68E2EBD16FB5}">
      <formula1>"No Function,General government,Primary and secondary education, Higher education, Health and human services,Economic development, Environment and natural resources, Public safety, Transportation, Agriculture"</formula1>
    </dataValidation>
  </dataValidations>
  <hyperlinks>
    <hyperlink ref="B1:T1" location="Index!A1" display="Index!A1" xr:uid="{00000000-0004-0000-0700-000000000000}"/>
  </hyperlinks>
  <pageMargins left="0.6" right="0.6" top="0.5" bottom="0.5" header="0.3" footer="0.3"/>
  <pageSetup scale="61" orientation="landscape" r:id="rId3"/>
  <ignoredErrors>
    <ignoredError sqref="D26 D32 D36" unlockedFormula="1"/>
    <ignoredError sqref="K44:L44" formula="1"/>
  </ignoredErrors>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A29B-8B66-468E-9157-287876F9BF8F}">
  <sheetPr codeName="Sheet92">
    <pageSetUpPr fitToPage="1"/>
  </sheetPr>
  <dimension ref="A1:T83"/>
  <sheetViews>
    <sheetView showGridLines="0" topLeftCell="B1" zoomScaleNormal="100" zoomScaleSheetLayoutView="100" workbookViewId="0">
      <selection activeCell="A73" sqref="A73:XFD73"/>
    </sheetView>
  </sheetViews>
  <sheetFormatPr defaultColWidth="9.42578125" defaultRowHeight="12.75" x14ac:dyDescent="0.2"/>
  <cols>
    <col min="1" max="1" width="0.42578125" style="166" hidden="1" customWidth="1"/>
    <col min="2" max="2" width="4.42578125" style="166" customWidth="1"/>
    <col min="3" max="3" width="10.42578125" customWidth="1"/>
    <col min="4" max="4" width="5.42578125" customWidth="1"/>
    <col min="6" max="7" width="1.7109375" customWidth="1"/>
    <col min="8" max="8" width="1.5703125" customWidth="1"/>
    <col min="9" max="9" width="5.42578125" customWidth="1"/>
    <col min="10" max="10" width="12.42578125" customWidth="1"/>
    <col min="11" max="11" width="11.85546875" customWidth="1"/>
    <col min="12" max="12" width="9.140625" customWidth="1"/>
    <col min="13" max="13" width="16.140625" customWidth="1"/>
    <col min="14" max="14" width="2.42578125" customWidth="1"/>
    <col min="16" max="16" width="10.5703125" customWidth="1"/>
    <col min="19" max="19" width="9.42578125" customWidth="1"/>
    <col min="20" max="20" width="16.7109375" bestFit="1" customWidth="1"/>
  </cols>
  <sheetData>
    <row r="1" spans="1:20" ht="16.149999999999999" customHeight="1" x14ac:dyDescent="0.2">
      <c r="A1" s="1311"/>
      <c r="B1" s="48"/>
      <c r="C1" s="1305" t="str">
        <f>+Index!$A$1</f>
        <v xml:space="preserve">                                                               Office of the State Controller                                                                </v>
      </c>
      <c r="D1" s="1305"/>
      <c r="E1" s="1305"/>
      <c r="F1" s="1305"/>
      <c r="G1" s="1305"/>
      <c r="H1" s="1305"/>
      <c r="I1" s="1305"/>
      <c r="J1" s="1305"/>
      <c r="K1" s="1305"/>
      <c r="L1" s="1305"/>
      <c r="M1" s="1305"/>
      <c r="N1" s="1306"/>
      <c r="O1" s="1306"/>
      <c r="P1" s="1306"/>
      <c r="Q1" s="1306"/>
      <c r="R1" s="1306"/>
      <c r="S1" s="2464"/>
      <c r="T1" s="2219" t="str">
        <f>IF(Index!$B$23="na","NA","")</f>
        <v/>
      </c>
    </row>
    <row r="2" spans="1:20" ht="15" x14ac:dyDescent="0.2">
      <c r="A2" s="1311"/>
      <c r="B2" s="48"/>
      <c r="C2" s="1307" t="str">
        <f>+Index!$A$2</f>
        <v>2023 ACFR Worksheets</v>
      </c>
      <c r="D2" s="1307"/>
      <c r="E2" s="1307"/>
      <c r="F2" s="1307"/>
      <c r="G2" s="1307"/>
      <c r="H2" s="1307"/>
      <c r="I2" s="1307"/>
      <c r="J2" s="1307"/>
      <c r="K2" s="1307"/>
      <c r="L2" s="1307"/>
      <c r="M2" s="1307"/>
      <c r="N2" s="1306"/>
      <c r="O2" s="1306"/>
      <c r="P2" s="1306"/>
      <c r="Q2" s="1306"/>
      <c r="R2" s="1306"/>
      <c r="S2" s="2464"/>
      <c r="T2" s="2219"/>
    </row>
    <row r="3" spans="1:20" ht="15" x14ac:dyDescent="0.2">
      <c r="A3" s="1311"/>
      <c r="B3" s="48"/>
      <c r="C3" s="268" t="s">
        <v>637</v>
      </c>
      <c r="D3" s="268"/>
      <c r="E3" s="268"/>
      <c r="F3" s="268"/>
      <c r="G3" s="268"/>
      <c r="H3" s="268"/>
      <c r="I3" s="268"/>
      <c r="J3" s="268"/>
      <c r="K3" s="268"/>
      <c r="L3" s="268"/>
      <c r="M3" s="268"/>
      <c r="N3" s="1306"/>
      <c r="O3" s="1306"/>
      <c r="P3" s="1306"/>
      <c r="Q3" s="1306"/>
      <c r="R3" s="1306"/>
      <c r="S3" s="2464"/>
      <c r="T3" s="2219"/>
    </row>
    <row r="4" spans="1:20" x14ac:dyDescent="0.2">
      <c r="A4" s="1312"/>
      <c r="B4" s="48"/>
      <c r="C4" s="268" t="s">
        <v>493</v>
      </c>
      <c r="D4" s="268"/>
      <c r="E4" s="268"/>
      <c r="F4" s="268"/>
      <c r="G4" s="268"/>
      <c r="H4" s="268"/>
      <c r="I4" s="268"/>
      <c r="J4" s="1306"/>
      <c r="K4" s="1306"/>
      <c r="L4" s="268"/>
      <c r="M4" s="268"/>
      <c r="N4" s="1306"/>
      <c r="O4" s="1306"/>
      <c r="P4" s="1306"/>
      <c r="Q4" s="1306"/>
      <c r="R4" s="1306"/>
      <c r="S4" s="48"/>
      <c r="T4" s="48"/>
    </row>
    <row r="5" spans="1:20" x14ac:dyDescent="0.2">
      <c r="A5" s="1312"/>
      <c r="B5" s="48"/>
      <c r="C5" s="268" t="s">
        <v>494</v>
      </c>
      <c r="D5" s="268"/>
      <c r="E5" s="268"/>
      <c r="F5" s="268"/>
      <c r="G5" s="268"/>
      <c r="H5" s="268"/>
      <c r="I5" s="268"/>
      <c r="J5" s="1306"/>
      <c r="K5" s="1306"/>
      <c r="L5" s="268"/>
      <c r="M5" s="268"/>
      <c r="N5" s="1306"/>
      <c r="O5" s="1306"/>
      <c r="P5" s="1306"/>
      <c r="Q5" s="1306"/>
      <c r="R5" s="1306"/>
      <c r="S5" s="48"/>
      <c r="T5" s="48"/>
    </row>
    <row r="6" spans="1:20" x14ac:dyDescent="0.2">
      <c r="A6" s="1312"/>
      <c r="B6" s="48"/>
      <c r="C6" s="268"/>
      <c r="D6" s="268"/>
      <c r="E6" s="268"/>
      <c r="F6" s="268"/>
      <c r="G6" s="268"/>
      <c r="H6" s="268"/>
      <c r="I6" s="268"/>
      <c r="J6" s="268"/>
      <c r="K6" s="268"/>
      <c r="L6" s="1308"/>
      <c r="M6" s="1308"/>
      <c r="N6" s="1306"/>
      <c r="O6" s="1306"/>
      <c r="P6" s="1306"/>
      <c r="Q6" s="1306"/>
      <c r="R6" s="1306"/>
      <c r="S6" s="48"/>
      <c r="T6" s="48"/>
    </row>
    <row r="7" spans="1:20" x14ac:dyDescent="0.2">
      <c r="A7" s="1312"/>
      <c r="B7" s="1271" t="s">
        <v>495</v>
      </c>
      <c r="C7" s="1271"/>
      <c r="D7" s="1271"/>
      <c r="E7" s="268"/>
      <c r="F7" s="268"/>
      <c r="G7" s="268"/>
      <c r="H7" s="48"/>
      <c r="I7" s="48"/>
      <c r="J7" s="48"/>
      <c r="K7" s="48"/>
      <c r="L7" s="48"/>
      <c r="M7" s="2264" t="s">
        <v>317</v>
      </c>
      <c r="N7" s="2454" t="str">
        <f>AgyIdx</f>
        <v>01</v>
      </c>
      <c r="O7" s="2454"/>
      <c r="P7" s="2454"/>
      <c r="Q7" s="2454"/>
      <c r="S7" s="48"/>
      <c r="T7" s="48"/>
    </row>
    <row r="8" spans="1:20" ht="14.25" customHeight="1" x14ac:dyDescent="0.2">
      <c r="A8" s="1312"/>
      <c r="B8" s="48"/>
      <c r="C8" s="1306"/>
      <c r="D8" s="1306"/>
      <c r="E8" s="1306"/>
      <c r="F8" s="1271"/>
      <c r="G8" s="268"/>
      <c r="H8" s="48"/>
      <c r="I8" s="48"/>
      <c r="J8" s="48"/>
      <c r="K8" s="48"/>
      <c r="L8" s="48"/>
      <c r="M8" s="2264" t="s">
        <v>318</v>
      </c>
      <c r="N8" s="2451" t="str">
        <f>AgyName</f>
        <v>North Carolina General Assembly</v>
      </c>
      <c r="O8" s="2451"/>
      <c r="P8" s="2451"/>
      <c r="Q8" s="2451"/>
      <c r="S8" s="48"/>
      <c r="T8" s="48"/>
    </row>
    <row r="9" spans="1:20" ht="16.5" customHeight="1" x14ac:dyDescent="0.2">
      <c r="A9" s="1312"/>
      <c r="B9" s="48"/>
      <c r="C9" s="1271"/>
      <c r="D9" s="268"/>
      <c r="E9" s="268"/>
      <c r="F9" s="268"/>
      <c r="G9" s="268"/>
      <c r="H9" s="48"/>
      <c r="I9" s="48"/>
      <c r="J9" s="48"/>
      <c r="K9" s="48"/>
      <c r="L9" s="48"/>
      <c r="M9" s="2264" t="s">
        <v>319</v>
      </c>
      <c r="N9" s="2480" t="str">
        <f>CONCATENATE(Index!$E$12," ",Index!$E$14)</f>
        <v xml:space="preserve"> </v>
      </c>
      <c r="O9" s="2480"/>
      <c r="P9" s="2480"/>
      <c r="Q9" s="2480"/>
      <c r="S9" s="1272"/>
      <c r="T9" s="1272"/>
    </row>
    <row r="10" spans="1:20" ht="14.25" customHeight="1" x14ac:dyDescent="0.2">
      <c r="A10" s="1312"/>
      <c r="B10" s="48"/>
      <c r="C10" s="1271"/>
      <c r="D10" s="268"/>
      <c r="E10" s="268"/>
      <c r="F10" s="268"/>
      <c r="G10" s="268"/>
      <c r="H10" s="48"/>
      <c r="I10" s="48"/>
      <c r="J10" s="48"/>
      <c r="K10" s="48"/>
      <c r="L10" s="48"/>
      <c r="M10" s="2264" t="s">
        <v>71</v>
      </c>
      <c r="N10" s="2480">
        <f>+Index!$E$13</f>
        <v>0</v>
      </c>
      <c r="O10" s="2480"/>
      <c r="P10" s="2480"/>
      <c r="Q10" s="2480"/>
      <c r="S10" s="48"/>
      <c r="T10" s="48"/>
    </row>
    <row r="11" spans="1:20" ht="9" customHeight="1" thickBot="1" x14ac:dyDescent="0.25">
      <c r="A11" s="1312"/>
      <c r="B11" s="1309"/>
      <c r="C11" s="1309"/>
      <c r="D11" s="1309"/>
      <c r="E11" s="1309"/>
      <c r="F11" s="1309"/>
      <c r="G11" s="1309"/>
      <c r="H11" s="1309"/>
      <c r="I11" s="1309"/>
      <c r="J11" s="1309"/>
      <c r="K11" s="1309"/>
      <c r="L11" s="1309"/>
      <c r="M11" s="1309"/>
      <c r="N11" s="1309"/>
      <c r="O11" s="1309"/>
      <c r="P11" s="1309"/>
      <c r="Q11" s="1309"/>
      <c r="R11" s="1309"/>
      <c r="S11" s="268"/>
      <c r="T11" s="48"/>
    </row>
    <row r="12" spans="1:20" ht="9" customHeight="1" x14ac:dyDescent="0.2">
      <c r="A12" s="1312"/>
      <c r="B12" s="1312"/>
      <c r="C12" s="1313"/>
      <c r="D12" s="1313"/>
      <c r="E12" s="1313"/>
      <c r="F12" s="1313"/>
      <c r="G12" s="1313"/>
      <c r="H12" s="1313"/>
      <c r="I12" s="1313"/>
      <c r="J12" s="1313"/>
      <c r="K12" s="1313"/>
      <c r="L12" s="159"/>
      <c r="M12" s="159"/>
      <c r="N12" s="159"/>
      <c r="O12" s="159"/>
      <c r="P12" s="159"/>
      <c r="Q12" s="159"/>
      <c r="R12" s="159"/>
      <c r="S12" s="159"/>
    </row>
    <row r="13" spans="1:20" ht="9" customHeight="1" x14ac:dyDescent="0.2">
      <c r="A13" s="1312"/>
      <c r="B13" s="1312"/>
      <c r="C13" s="1313"/>
      <c r="D13" s="1313"/>
      <c r="E13" s="1313"/>
      <c r="F13" s="1313"/>
      <c r="G13" s="1313"/>
      <c r="H13" s="1313"/>
      <c r="I13" s="1313"/>
      <c r="J13" s="1313"/>
      <c r="K13" s="1313"/>
      <c r="L13" s="159"/>
      <c r="M13" s="159"/>
      <c r="N13" s="159"/>
      <c r="O13" s="159"/>
      <c r="P13" s="159"/>
      <c r="Q13" s="159"/>
      <c r="R13" s="159"/>
      <c r="S13" s="159"/>
    </row>
    <row r="14" spans="1:20" x14ac:dyDescent="0.2">
      <c r="A14" s="1312"/>
      <c r="B14" s="1312" t="s">
        <v>320</v>
      </c>
      <c r="C14" s="159" t="s">
        <v>638</v>
      </c>
      <c r="D14" s="1313"/>
      <c r="E14" s="1313"/>
      <c r="F14" s="1313"/>
      <c r="G14" s="1313"/>
      <c r="H14" s="1313"/>
      <c r="I14" s="1313"/>
      <c r="J14" s="1313"/>
      <c r="K14" s="1313"/>
      <c r="L14" s="159"/>
      <c r="M14" s="159"/>
      <c r="N14" s="159"/>
      <c r="O14" s="159"/>
      <c r="P14" s="159"/>
      <c r="Q14" s="159"/>
      <c r="R14" s="159"/>
      <c r="S14" s="159"/>
    </row>
    <row r="15" spans="1:20" x14ac:dyDescent="0.2">
      <c r="A15" s="1312"/>
      <c r="B15" s="1312"/>
      <c r="C15" s="1313"/>
      <c r="D15" s="1313" t="s">
        <v>506</v>
      </c>
      <c r="E15" s="1358"/>
      <c r="F15" s="1313"/>
      <c r="G15" s="159"/>
      <c r="H15" s="159"/>
      <c r="I15" s="1313" t="s">
        <v>498</v>
      </c>
      <c r="J15" s="1358"/>
      <c r="K15" s="1313"/>
      <c r="L15" s="159"/>
      <c r="M15" s="159"/>
      <c r="N15" s="159"/>
      <c r="O15" s="159"/>
      <c r="P15" s="159"/>
      <c r="Q15" s="159"/>
      <c r="R15" s="159"/>
      <c r="S15" s="159"/>
      <c r="T15" s="894" t="str">
        <f>IF(AND(ISBLANK($E$15),ISBLANK($J$15))=TRUE,"Answer Missing"," ")</f>
        <v>Answer Missing</v>
      </c>
    </row>
    <row r="16" spans="1:20" ht="21" customHeight="1" x14ac:dyDescent="0.2">
      <c r="A16" s="1312"/>
      <c r="B16" s="1312"/>
      <c r="C16" s="159" t="s">
        <v>639</v>
      </c>
      <c r="D16" s="1313"/>
      <c r="E16" s="1313"/>
      <c r="F16" s="1313"/>
      <c r="G16" s="1313"/>
      <c r="H16" s="1313"/>
      <c r="I16" s="1313"/>
      <c r="J16" s="1313"/>
      <c r="K16" s="1313"/>
      <c r="L16" s="159"/>
      <c r="M16" s="159"/>
      <c r="N16" s="159"/>
      <c r="O16" s="159"/>
      <c r="P16" s="159"/>
      <c r="Q16" s="159"/>
      <c r="R16" s="159"/>
      <c r="S16" s="159"/>
    </row>
    <row r="17" spans="1:20" ht="9" customHeight="1" x14ac:dyDescent="0.2">
      <c r="A17" s="1312"/>
      <c r="B17" s="1312"/>
      <c r="C17" s="159"/>
      <c r="D17" s="1313"/>
      <c r="E17" s="1313"/>
      <c r="F17" s="1313"/>
      <c r="G17" s="1313"/>
      <c r="H17" s="1313"/>
      <c r="I17" s="1313"/>
      <c r="J17" s="1313"/>
      <c r="K17" s="1313"/>
      <c r="L17" s="159"/>
      <c r="M17" s="159"/>
      <c r="N17" s="159"/>
      <c r="O17" s="159"/>
      <c r="P17" s="159"/>
      <c r="Q17" s="159"/>
      <c r="R17" s="159"/>
      <c r="S17" s="159"/>
    </row>
    <row r="18" spans="1:20" ht="18" customHeight="1" x14ac:dyDescent="0.2">
      <c r="A18" s="1312"/>
      <c r="B18" s="1312"/>
      <c r="C18" s="1" t="s">
        <v>640</v>
      </c>
      <c r="D18" s="2040"/>
      <c r="E18" s="2040"/>
      <c r="F18" s="2040"/>
      <c r="G18" s="2040"/>
      <c r="H18" s="2040"/>
      <c r="I18" s="2040"/>
      <c r="J18" s="2040"/>
      <c r="K18" s="2040"/>
      <c r="L18" s="1"/>
      <c r="M18" s="1"/>
      <c r="N18" s="1"/>
      <c r="O18" s="1"/>
      <c r="P18" s="1"/>
      <c r="Q18" s="159"/>
      <c r="R18" s="159"/>
      <c r="S18" s="159"/>
    </row>
    <row r="19" spans="1:20" ht="13.5" customHeight="1" x14ac:dyDescent="0.2">
      <c r="A19" s="1312"/>
      <c r="B19" s="1312"/>
      <c r="C19" s="1" t="s">
        <v>641</v>
      </c>
      <c r="D19" s="2040"/>
      <c r="E19" s="2040"/>
      <c r="F19" s="2040"/>
      <c r="G19" s="2040"/>
      <c r="H19" s="2040"/>
      <c r="I19" s="2040"/>
      <c r="J19" s="2040"/>
      <c r="K19" s="2040"/>
      <c r="L19" s="1"/>
      <c r="M19" s="1"/>
      <c r="N19" s="1"/>
      <c r="O19" s="1"/>
      <c r="P19" s="1"/>
      <c r="Q19" s="159"/>
      <c r="R19" s="159"/>
      <c r="S19" s="159"/>
    </row>
    <row r="20" spans="1:20" x14ac:dyDescent="0.2">
      <c r="A20" s="1312"/>
      <c r="B20" s="1312"/>
      <c r="C20" s="1313"/>
      <c r="D20" s="1313"/>
      <c r="E20" s="1313"/>
      <c r="F20" s="1313"/>
      <c r="G20" s="1313"/>
      <c r="H20" s="1313"/>
      <c r="I20" s="1313"/>
      <c r="J20" s="1313"/>
      <c r="K20" s="1313"/>
      <c r="L20" s="159"/>
      <c r="M20" s="159"/>
      <c r="N20" s="159"/>
      <c r="O20" s="159"/>
      <c r="P20" s="159"/>
      <c r="Q20" s="159"/>
      <c r="R20" s="159"/>
      <c r="S20" s="159"/>
    </row>
    <row r="21" spans="1:20" x14ac:dyDescent="0.2">
      <c r="A21" s="638"/>
      <c r="B21" s="638" t="s">
        <v>331</v>
      </c>
      <c r="C21" s="638" t="s">
        <v>642</v>
      </c>
      <c r="D21" s="638"/>
      <c r="E21" s="638"/>
      <c r="F21" s="638"/>
      <c r="G21" s="1282"/>
      <c r="H21" s="1282"/>
      <c r="I21" s="263"/>
      <c r="J21" s="1282"/>
      <c r="K21" s="263"/>
      <c r="L21" s="263"/>
      <c r="M21" s="638"/>
      <c r="N21" s="1315"/>
      <c r="O21" s="1315"/>
      <c r="P21" s="1315"/>
      <c r="Q21" s="1315"/>
      <c r="R21" s="1315"/>
      <c r="S21" s="159"/>
    </row>
    <row r="22" spans="1:20" x14ac:dyDescent="0.2">
      <c r="A22" s="638"/>
      <c r="B22" s="638"/>
      <c r="C22" s="638" t="s">
        <v>643</v>
      </c>
      <c r="D22" s="638"/>
      <c r="E22" s="638"/>
      <c r="F22" s="638"/>
      <c r="G22" s="1282"/>
      <c r="H22" s="1282"/>
      <c r="I22" s="263"/>
      <c r="J22" s="1282"/>
      <c r="K22" s="263"/>
      <c r="L22" s="263"/>
      <c r="M22" s="638"/>
      <c r="N22" s="1315"/>
      <c r="O22" s="1315"/>
      <c r="P22" s="1315"/>
      <c r="Q22" s="1315"/>
      <c r="R22" s="1315"/>
      <c r="S22" s="159"/>
    </row>
    <row r="23" spans="1:20" ht="6" customHeight="1" x14ac:dyDescent="0.2">
      <c r="A23" s="638"/>
      <c r="B23" s="638"/>
      <c r="C23" s="638"/>
      <c r="D23" s="638"/>
      <c r="E23" s="638"/>
      <c r="F23" s="638"/>
      <c r="G23" s="1282"/>
      <c r="H23" s="1282"/>
      <c r="I23" s="263"/>
      <c r="J23" s="1282"/>
      <c r="K23" s="263"/>
      <c r="L23" s="263"/>
      <c r="M23" s="638"/>
      <c r="N23" s="1315"/>
      <c r="O23" s="1315"/>
      <c r="P23" s="1315"/>
      <c r="Q23" s="1315"/>
      <c r="R23" s="1315"/>
      <c r="S23" s="159"/>
    </row>
    <row r="24" spans="1:20" x14ac:dyDescent="0.2">
      <c r="A24" s="1312"/>
      <c r="B24" s="1312"/>
      <c r="C24" s="638" t="s">
        <v>644</v>
      </c>
      <c r="D24" s="638"/>
      <c r="E24" s="638"/>
      <c r="F24" s="1295"/>
      <c r="G24" s="1295"/>
      <c r="H24" s="1295"/>
      <c r="I24" s="1295"/>
      <c r="J24" s="1295"/>
      <c r="K24" s="1295"/>
      <c r="L24" s="1315"/>
      <c r="M24" s="1315"/>
      <c r="N24" s="1315"/>
      <c r="O24" s="1315"/>
      <c r="P24" s="1315"/>
      <c r="Q24" s="1315"/>
      <c r="R24" s="1315"/>
      <c r="S24" s="159"/>
    </row>
    <row r="25" spans="1:20" x14ac:dyDescent="0.2">
      <c r="A25" s="1312"/>
      <c r="B25" s="1312"/>
      <c r="C25" s="638"/>
      <c r="D25" s="1313" t="s">
        <v>506</v>
      </c>
      <c r="E25" s="1358"/>
      <c r="F25" s="1313"/>
      <c r="G25" s="159"/>
      <c r="H25" s="159"/>
      <c r="I25" s="1313" t="s">
        <v>498</v>
      </c>
      <c r="J25" s="1358"/>
      <c r="K25" s="1295"/>
      <c r="L25" s="1315"/>
      <c r="M25" s="1315"/>
      <c r="N25" s="1315"/>
      <c r="O25" s="1315"/>
      <c r="P25" s="1315"/>
      <c r="Q25" s="1315"/>
      <c r="R25" s="1315"/>
      <c r="S25" s="159"/>
      <c r="T25" s="894" t="str">
        <f>IF(AND(ISBLANK($E$25),ISBLANK($J$25))=TRUE,"Answer Missing"," ")</f>
        <v>Answer Missing</v>
      </c>
    </row>
    <row r="26" spans="1:20" x14ac:dyDescent="0.2">
      <c r="A26" s="1312"/>
      <c r="B26" s="1312"/>
      <c r="C26" s="638"/>
      <c r="D26" s="1313"/>
      <c r="E26" s="1313"/>
      <c r="F26" s="1313"/>
      <c r="G26" s="159"/>
      <c r="H26" s="159"/>
      <c r="I26" s="1313"/>
      <c r="J26" s="1313"/>
      <c r="K26" s="1295"/>
      <c r="L26" s="1315"/>
      <c r="M26" s="1315"/>
      <c r="N26" s="1315"/>
      <c r="O26" s="1315"/>
      <c r="P26" s="1315"/>
      <c r="Q26" s="1315"/>
      <c r="R26" s="1315"/>
      <c r="S26" s="159"/>
      <c r="T26" s="894"/>
    </row>
    <row r="27" spans="1:20" x14ac:dyDescent="0.2">
      <c r="A27" s="1312"/>
      <c r="B27" s="1312"/>
      <c r="C27" s="1318" t="s">
        <v>645</v>
      </c>
      <c r="D27" s="1318"/>
      <c r="E27" s="1318"/>
      <c r="F27" s="1322"/>
      <c r="G27" s="1322"/>
      <c r="H27" s="1322"/>
      <c r="I27" s="1323"/>
      <c r="J27" s="1295"/>
      <c r="K27" s="1295"/>
      <c r="L27" s="1315"/>
      <c r="M27" s="1315"/>
      <c r="N27" s="1315"/>
      <c r="O27" s="1315"/>
      <c r="P27" s="1315"/>
      <c r="Q27" s="1315"/>
      <c r="R27" s="1315"/>
      <c r="S27" s="159"/>
    </row>
    <row r="28" spans="1:20" x14ac:dyDescent="0.2">
      <c r="A28" s="1312"/>
      <c r="B28" s="1312"/>
      <c r="C28" s="1313" t="s">
        <v>646</v>
      </c>
      <c r="D28" s="1313"/>
      <c r="E28" s="1313"/>
      <c r="F28" s="1313"/>
      <c r="G28" s="1313"/>
      <c r="H28" s="1313"/>
      <c r="I28" s="1313"/>
      <c r="J28" s="1313"/>
      <c r="K28" s="1295"/>
      <c r="L28" s="1315"/>
      <c r="M28" s="1315"/>
      <c r="N28" s="1315"/>
      <c r="O28" s="1315"/>
      <c r="P28" s="1315"/>
      <c r="Q28" s="1315"/>
      <c r="R28" s="1315"/>
      <c r="S28" s="159"/>
    </row>
    <row r="29" spans="1:20" x14ac:dyDescent="0.2">
      <c r="A29" s="1312"/>
      <c r="B29" s="1312"/>
      <c r="C29" s="1313" t="s">
        <v>647</v>
      </c>
      <c r="D29" s="1313"/>
      <c r="E29" s="1313"/>
      <c r="F29" s="1313"/>
      <c r="G29" s="1313"/>
      <c r="H29" s="1313"/>
      <c r="I29" s="1313"/>
      <c r="J29" s="1313"/>
      <c r="K29" s="1295"/>
      <c r="L29" s="1315"/>
      <c r="M29" s="1315"/>
      <c r="N29" s="1315"/>
      <c r="O29" s="1315"/>
      <c r="P29" s="1315"/>
      <c r="Q29" s="1315"/>
      <c r="R29" s="1315"/>
      <c r="S29" s="159"/>
    </row>
    <row r="30" spans="1:20" x14ac:dyDescent="0.2">
      <c r="A30" s="1312"/>
      <c r="B30" s="1312"/>
      <c r="C30" s="1313"/>
      <c r="D30" s="1313"/>
      <c r="E30" s="1313"/>
      <c r="F30" s="1313"/>
      <c r="G30" s="1313"/>
      <c r="H30" s="1313"/>
      <c r="I30" s="1313"/>
      <c r="J30" s="1313"/>
      <c r="K30" s="1295"/>
      <c r="L30" s="1315"/>
      <c r="M30" s="1315"/>
      <c r="N30" s="1315"/>
      <c r="O30" s="1315"/>
      <c r="P30" s="1315"/>
      <c r="Q30" s="1315"/>
      <c r="R30" s="1315"/>
      <c r="S30" s="159"/>
    </row>
    <row r="31" spans="1:20" x14ac:dyDescent="0.2">
      <c r="A31" s="638"/>
      <c r="B31" s="638"/>
      <c r="C31" s="1316" t="s">
        <v>648</v>
      </c>
      <c r="D31" s="1317"/>
      <c r="E31" s="1317"/>
      <c r="F31" s="638"/>
      <c r="G31" s="638"/>
      <c r="H31" s="638"/>
      <c r="I31" s="1316" t="s">
        <v>517</v>
      </c>
      <c r="J31" s="1317"/>
      <c r="K31" s="1317"/>
      <c r="L31" s="1315"/>
      <c r="M31" s="1384" t="s">
        <v>649</v>
      </c>
      <c r="N31" s="1385"/>
      <c r="O31" s="1316" t="s">
        <v>650</v>
      </c>
      <c r="P31" s="1317"/>
      <c r="Q31" s="1317"/>
      <c r="R31" s="1315"/>
      <c r="S31" s="159"/>
    </row>
    <row r="32" spans="1:20" x14ac:dyDescent="0.2">
      <c r="A32" s="638"/>
      <c r="B32" s="638"/>
      <c r="C32" s="2463"/>
      <c r="D32" s="2463"/>
      <c r="E32" s="2463"/>
      <c r="F32" s="1295"/>
      <c r="G32" s="1295"/>
      <c r="H32" s="1295"/>
      <c r="I32" s="2481"/>
      <c r="J32" s="2481"/>
      <c r="K32" s="2481"/>
      <c r="L32" s="1315"/>
      <c r="M32" s="1358"/>
      <c r="N32" s="1315"/>
      <c r="O32" s="2481"/>
      <c r="P32" s="2481"/>
      <c r="Q32" s="2481"/>
      <c r="R32" s="1315"/>
      <c r="S32" s="159"/>
    </row>
    <row r="33" spans="1:20" ht="19.5" customHeight="1" x14ac:dyDescent="0.2">
      <c r="A33" s="638"/>
      <c r="B33" s="638"/>
      <c r="C33" s="2463"/>
      <c r="D33" s="2463"/>
      <c r="E33" s="2463"/>
      <c r="F33" s="1295"/>
      <c r="G33" s="1295"/>
      <c r="H33" s="1295"/>
      <c r="I33" s="2481"/>
      <c r="J33" s="2481"/>
      <c r="K33" s="2481"/>
      <c r="L33" s="1315"/>
      <c r="M33" s="1358"/>
      <c r="N33" s="1315"/>
      <c r="O33" s="2481"/>
      <c r="P33" s="2481"/>
      <c r="Q33" s="2481"/>
      <c r="R33" s="1315"/>
      <c r="S33" s="159"/>
    </row>
    <row r="34" spans="1:20" ht="20.25" customHeight="1" x14ac:dyDescent="0.2">
      <c r="A34" s="638"/>
      <c r="B34" s="638"/>
      <c r="C34" s="2463"/>
      <c r="D34" s="2463"/>
      <c r="E34" s="2463"/>
      <c r="F34" s="1295"/>
      <c r="G34" s="1295"/>
      <c r="H34" s="1295"/>
      <c r="I34" s="2481"/>
      <c r="J34" s="2481"/>
      <c r="K34" s="2481"/>
      <c r="L34" s="1315"/>
      <c r="M34" s="1358"/>
      <c r="N34" s="1315"/>
      <c r="O34" s="2481"/>
      <c r="P34" s="2481"/>
      <c r="Q34" s="2481"/>
      <c r="R34" s="1315"/>
      <c r="S34" s="159"/>
    </row>
    <row r="35" spans="1:20" ht="19.5" customHeight="1" x14ac:dyDescent="0.2">
      <c r="A35" s="637"/>
      <c r="B35" s="637"/>
      <c r="C35" s="2463"/>
      <c r="D35" s="2463"/>
      <c r="E35" s="2463"/>
      <c r="F35" s="638"/>
      <c r="G35" s="638"/>
      <c r="H35" s="638"/>
      <c r="I35" s="2481"/>
      <c r="J35" s="2481"/>
      <c r="K35" s="2481"/>
      <c r="L35" s="1315"/>
      <c r="M35" s="1358"/>
      <c r="N35" s="1315"/>
      <c r="O35" s="2481"/>
      <c r="P35" s="2481"/>
      <c r="Q35" s="2481"/>
      <c r="R35" s="1315"/>
      <c r="S35" s="159"/>
    </row>
    <row r="36" spans="1:20" ht="20.25" customHeight="1" x14ac:dyDescent="0.2">
      <c r="A36" s="1312"/>
      <c r="B36" s="1312"/>
      <c r="C36" s="2463"/>
      <c r="D36" s="2463"/>
      <c r="E36" s="2463"/>
      <c r="F36" s="1295"/>
      <c r="G36" s="1295"/>
      <c r="H36" s="1295"/>
      <c r="I36" s="2481"/>
      <c r="J36" s="2481"/>
      <c r="K36" s="2481"/>
      <c r="L36" s="1315"/>
      <c r="M36" s="1358"/>
      <c r="N36" s="1315"/>
      <c r="O36" s="2481"/>
      <c r="P36" s="2481"/>
      <c r="Q36" s="2481"/>
      <c r="R36" s="1315"/>
      <c r="S36" s="159"/>
    </row>
    <row r="37" spans="1:20" x14ac:dyDescent="0.2">
      <c r="A37" s="1312"/>
      <c r="B37" s="1312"/>
      <c r="C37" s="638"/>
      <c r="D37" s="638"/>
      <c r="E37" s="638"/>
      <c r="F37" s="1295"/>
      <c r="G37" s="1295"/>
      <c r="H37" s="1295"/>
      <c r="I37" s="1295"/>
      <c r="J37" s="1295"/>
      <c r="K37" s="1295"/>
      <c r="L37" s="1315"/>
      <c r="M37" s="1315"/>
      <c r="N37" s="1315"/>
      <c r="O37" s="1315"/>
      <c r="P37" s="1315"/>
      <c r="Q37" s="1315"/>
      <c r="R37" s="1315"/>
      <c r="S37" s="159"/>
    </row>
    <row r="38" spans="1:20" x14ac:dyDescent="0.2">
      <c r="A38" s="1312"/>
      <c r="B38" s="1312"/>
      <c r="C38" s="1295" t="s">
        <v>651</v>
      </c>
      <c r="D38" s="1295"/>
      <c r="E38" s="1295"/>
      <c r="F38" s="1295"/>
      <c r="G38" s="1295"/>
      <c r="H38" s="1295"/>
      <c r="I38" s="1295"/>
      <c r="J38" s="1295"/>
      <c r="K38" s="1295"/>
      <c r="L38" s="1295"/>
      <c r="M38" s="638"/>
      <c r="N38" s="1315"/>
      <c r="O38" s="1315"/>
      <c r="P38" s="1315"/>
      <c r="Q38" s="1315"/>
      <c r="R38" s="1315"/>
      <c r="S38" s="159"/>
    </row>
    <row r="39" spans="1:20" x14ac:dyDescent="0.2">
      <c r="A39" s="1312"/>
      <c r="B39" s="1312"/>
      <c r="C39" s="638"/>
      <c r="D39" s="638"/>
      <c r="E39" s="638"/>
      <c r="F39" s="1295"/>
      <c r="G39" s="1295"/>
      <c r="H39" s="1295"/>
      <c r="I39" s="1295"/>
      <c r="J39" s="1295"/>
      <c r="K39" s="1295"/>
      <c r="L39" s="1315"/>
      <c r="M39" s="1315"/>
      <c r="N39" s="1315"/>
      <c r="O39" s="1315"/>
      <c r="P39" s="1315"/>
      <c r="Q39" s="1315"/>
      <c r="R39" s="1315"/>
      <c r="S39" s="159"/>
    </row>
    <row r="40" spans="1:20" x14ac:dyDescent="0.2">
      <c r="A40" s="638"/>
      <c r="B40" s="638" t="s">
        <v>353</v>
      </c>
      <c r="C40" s="638" t="s">
        <v>652</v>
      </c>
      <c r="D40" s="638"/>
      <c r="E40" s="638"/>
      <c r="F40" s="638"/>
      <c r="G40" s="1282"/>
      <c r="H40" s="263"/>
      <c r="I40" s="1282"/>
      <c r="J40" s="263"/>
      <c r="K40" s="638"/>
      <c r="L40" s="638"/>
      <c r="M40" s="638"/>
      <c r="N40" s="638"/>
      <c r="O40" s="638"/>
      <c r="P40" s="638"/>
      <c r="Q40" s="638"/>
      <c r="R40" s="1315"/>
      <c r="S40" s="159"/>
    </row>
    <row r="41" spans="1:20" x14ac:dyDescent="0.2">
      <c r="A41" s="638"/>
      <c r="B41" s="638"/>
      <c r="C41" s="638" t="s">
        <v>653</v>
      </c>
      <c r="D41" s="638"/>
      <c r="E41" s="638"/>
      <c r="F41" s="638"/>
      <c r="G41" s="1282"/>
      <c r="H41" s="263"/>
      <c r="I41" s="1282"/>
      <c r="J41" s="263"/>
      <c r="K41" s="638"/>
      <c r="L41" s="638"/>
      <c r="M41" s="638"/>
      <c r="N41" s="638"/>
      <c r="O41" s="638"/>
      <c r="P41" s="638"/>
      <c r="Q41" s="638"/>
      <c r="R41" s="1315"/>
      <c r="S41" s="159"/>
    </row>
    <row r="42" spans="1:20" ht="6" customHeight="1" x14ac:dyDescent="0.2">
      <c r="A42" s="638"/>
      <c r="B42" s="638"/>
      <c r="C42" s="638"/>
      <c r="D42" s="638"/>
      <c r="E42" s="638"/>
      <c r="F42" s="638"/>
      <c r="G42" s="1282"/>
      <c r="H42" s="263"/>
      <c r="I42" s="1282"/>
      <c r="J42" s="263"/>
      <c r="K42" s="638"/>
      <c r="L42" s="638"/>
      <c r="M42" s="638"/>
      <c r="N42" s="638"/>
      <c r="O42" s="638"/>
      <c r="P42" s="638"/>
      <c r="Q42" s="638"/>
      <c r="R42" s="1315"/>
      <c r="S42" s="159"/>
    </row>
    <row r="43" spans="1:20" x14ac:dyDescent="0.2">
      <c r="A43" s="1312"/>
      <c r="B43" s="1312"/>
      <c r="C43" s="638" t="s">
        <v>644</v>
      </c>
      <c r="D43" s="638"/>
      <c r="E43" s="638"/>
      <c r="F43" s="1295"/>
      <c r="G43" s="1295"/>
      <c r="H43" s="1295"/>
      <c r="I43" s="1295"/>
      <c r="J43" s="1295"/>
      <c r="K43" s="1295"/>
      <c r="L43" s="1315"/>
      <c r="M43" s="1315"/>
      <c r="N43" s="1315"/>
      <c r="O43" s="1315"/>
      <c r="P43" s="1315"/>
      <c r="Q43" s="1315"/>
      <c r="R43" s="1315"/>
      <c r="S43" s="159"/>
    </row>
    <row r="44" spans="1:20" x14ac:dyDescent="0.2">
      <c r="A44" s="1312"/>
      <c r="B44" s="1312"/>
      <c r="C44" s="638"/>
      <c r="D44" s="1313" t="s">
        <v>506</v>
      </c>
      <c r="E44" s="1358"/>
      <c r="F44" s="1313"/>
      <c r="G44" s="159"/>
      <c r="H44" s="159"/>
      <c r="I44" s="1313" t="s">
        <v>498</v>
      </c>
      <c r="J44" s="1358"/>
      <c r="K44" s="1295"/>
      <c r="L44" s="1315"/>
      <c r="M44" s="1315"/>
      <c r="N44" s="1315"/>
      <c r="O44" s="1315"/>
      <c r="P44" s="1315"/>
      <c r="Q44" s="1315"/>
      <c r="R44" s="1315"/>
      <c r="S44" s="159"/>
      <c r="T44" s="894" t="str">
        <f>IF(AND(ISBLANK($E$44),ISBLANK($J$44))=TRUE,"Answer Missing"," ")</f>
        <v>Answer Missing</v>
      </c>
    </row>
    <row r="45" spans="1:20" x14ac:dyDescent="0.2">
      <c r="A45" s="1312"/>
      <c r="B45" s="1312"/>
      <c r="C45" s="638"/>
      <c r="D45" s="638"/>
      <c r="E45" s="638"/>
      <c r="F45" s="1295"/>
      <c r="G45" s="1295"/>
      <c r="H45" s="1295"/>
      <c r="I45" s="1295"/>
      <c r="J45" s="1295"/>
      <c r="K45" s="1295"/>
      <c r="L45" s="1315"/>
      <c r="M45" s="1315"/>
      <c r="N45" s="1315"/>
      <c r="O45" s="1315"/>
      <c r="P45" s="1315"/>
      <c r="Q45" s="1315"/>
      <c r="R45" s="1315"/>
      <c r="S45" s="159"/>
    </row>
    <row r="46" spans="1:20" x14ac:dyDescent="0.2">
      <c r="A46" s="1312"/>
      <c r="B46" s="1312"/>
      <c r="C46" s="1318" t="s">
        <v>654</v>
      </c>
      <c r="D46" s="1318"/>
      <c r="E46" s="1318"/>
      <c r="F46" s="1322"/>
      <c r="G46" s="1322"/>
      <c r="H46" s="1322"/>
      <c r="I46" s="1323"/>
      <c r="J46" s="1295"/>
      <c r="K46" s="1295"/>
      <c r="L46" s="1315"/>
      <c r="M46" s="1315"/>
      <c r="N46" s="1315"/>
      <c r="O46" s="1315"/>
      <c r="P46" s="1315"/>
      <c r="Q46" s="1315"/>
      <c r="R46" s="1315"/>
      <c r="S46" s="159"/>
    </row>
    <row r="47" spans="1:20" x14ac:dyDescent="0.2">
      <c r="A47" s="1312"/>
      <c r="B47" s="1312"/>
      <c r="C47" s="1313" t="s">
        <v>655</v>
      </c>
      <c r="D47" s="1313"/>
      <c r="E47" s="1313"/>
      <c r="F47" s="1313"/>
      <c r="G47" s="1313"/>
      <c r="H47" s="1313"/>
      <c r="I47" s="1295"/>
      <c r="J47" s="1295"/>
      <c r="K47" s="1295"/>
      <c r="L47" s="1315"/>
      <c r="M47" s="1315"/>
      <c r="N47" s="1315"/>
      <c r="O47" s="1315"/>
      <c r="P47" s="1315"/>
      <c r="Q47" s="1315"/>
      <c r="R47" s="1315"/>
      <c r="S47" s="159"/>
    </row>
    <row r="48" spans="1:20" x14ac:dyDescent="0.2">
      <c r="A48" s="1312"/>
      <c r="B48" s="1312"/>
      <c r="C48" s="638"/>
      <c r="D48" s="638"/>
      <c r="E48" s="638"/>
      <c r="F48" s="1295"/>
      <c r="G48" s="1295"/>
      <c r="H48" s="1295"/>
      <c r="I48" s="1295"/>
      <c r="J48" s="1295"/>
      <c r="K48" s="1295"/>
      <c r="L48" s="1315"/>
      <c r="M48" s="1315"/>
      <c r="N48" s="1315"/>
      <c r="O48" s="1315"/>
      <c r="P48" s="1315"/>
      <c r="Q48" s="1315"/>
      <c r="R48" s="1315"/>
      <c r="S48" s="159"/>
    </row>
    <row r="49" spans="1:20" x14ac:dyDescent="0.2">
      <c r="A49" s="638"/>
      <c r="B49" s="638"/>
      <c r="C49" s="1316" t="s">
        <v>648</v>
      </c>
      <c r="D49" s="1317"/>
      <c r="E49" s="1317"/>
      <c r="F49" s="638"/>
      <c r="G49" s="638"/>
      <c r="H49" s="638"/>
      <c r="I49" s="1316" t="s">
        <v>517</v>
      </c>
      <c r="J49" s="1317"/>
      <c r="K49" s="1317"/>
      <c r="L49" s="1315"/>
      <c r="M49" s="1384" t="s">
        <v>649</v>
      </c>
      <c r="N49" s="1315"/>
      <c r="O49" s="1316" t="s">
        <v>650</v>
      </c>
      <c r="P49" s="1317"/>
      <c r="Q49" s="1317"/>
      <c r="R49" s="1315"/>
      <c r="S49" s="159"/>
    </row>
    <row r="50" spans="1:20" ht="18" customHeight="1" x14ac:dyDescent="0.2">
      <c r="A50" s="638"/>
      <c r="B50" s="638"/>
      <c r="C50" s="2463"/>
      <c r="D50" s="2463"/>
      <c r="E50" s="2463"/>
      <c r="F50" s="1295"/>
      <c r="G50" s="1295"/>
      <c r="H50" s="1295"/>
      <c r="I50" s="2481"/>
      <c r="J50" s="2481"/>
      <c r="K50" s="2481"/>
      <c r="L50" s="1315"/>
      <c r="M50" s="1358"/>
      <c r="N50" s="1315"/>
      <c r="O50" s="2481"/>
      <c r="P50" s="2481"/>
      <c r="Q50" s="2481"/>
      <c r="R50" s="1315"/>
      <c r="S50" s="159"/>
    </row>
    <row r="51" spans="1:20" ht="18" customHeight="1" x14ac:dyDescent="0.2">
      <c r="A51" s="638"/>
      <c r="B51" s="638"/>
      <c r="C51" s="2463"/>
      <c r="D51" s="2463"/>
      <c r="E51" s="2463"/>
      <c r="F51" s="1295"/>
      <c r="G51" s="1295"/>
      <c r="H51" s="1295"/>
      <c r="I51" s="2481"/>
      <c r="J51" s="2481"/>
      <c r="K51" s="2481"/>
      <c r="L51" s="1315"/>
      <c r="M51" s="1358"/>
      <c r="N51" s="1315"/>
      <c r="O51" s="2481"/>
      <c r="P51" s="2481"/>
      <c r="Q51" s="2481"/>
      <c r="R51" s="1315"/>
      <c r="S51" s="159"/>
    </row>
    <row r="52" spans="1:20" ht="19.5" customHeight="1" x14ac:dyDescent="0.2">
      <c r="A52" s="638"/>
      <c r="B52" s="638"/>
      <c r="C52" s="2463"/>
      <c r="D52" s="2463"/>
      <c r="E52" s="2463"/>
      <c r="F52" s="1295"/>
      <c r="G52" s="1295"/>
      <c r="H52" s="1295"/>
      <c r="I52" s="2481"/>
      <c r="J52" s="2481"/>
      <c r="K52" s="2481"/>
      <c r="L52" s="1315"/>
      <c r="M52" s="1358"/>
      <c r="N52" s="1315"/>
      <c r="O52" s="2481"/>
      <c r="P52" s="2481"/>
      <c r="Q52" s="2481"/>
      <c r="R52" s="1315"/>
      <c r="S52" s="159"/>
    </row>
    <row r="53" spans="1:20" ht="18" customHeight="1" x14ac:dyDescent="0.2">
      <c r="A53" s="637"/>
      <c r="B53" s="637"/>
      <c r="C53" s="2463"/>
      <c r="D53" s="2463"/>
      <c r="E53" s="2463"/>
      <c r="F53" s="638"/>
      <c r="G53" s="638"/>
      <c r="H53" s="638"/>
      <c r="I53" s="2481"/>
      <c r="J53" s="2481"/>
      <c r="K53" s="2481"/>
      <c r="L53" s="1315"/>
      <c r="M53" s="1358"/>
      <c r="N53" s="1315"/>
      <c r="O53" s="2481"/>
      <c r="P53" s="2481"/>
      <c r="Q53" s="2481"/>
      <c r="R53" s="1315"/>
      <c r="S53" s="159"/>
    </row>
    <row r="54" spans="1:20" ht="18.75" customHeight="1" x14ac:dyDescent="0.2">
      <c r="A54" s="637"/>
      <c r="B54" s="1312"/>
      <c r="C54" s="2463"/>
      <c r="D54" s="2463"/>
      <c r="E54" s="2463"/>
      <c r="F54" s="1295"/>
      <c r="G54" s="1295"/>
      <c r="H54" s="1295"/>
      <c r="I54" s="2481"/>
      <c r="J54" s="2481"/>
      <c r="K54" s="2481"/>
      <c r="L54" s="1315"/>
      <c r="M54" s="1358"/>
      <c r="N54" s="1315"/>
      <c r="O54" s="2481"/>
      <c r="P54" s="2481"/>
      <c r="Q54" s="2481"/>
      <c r="R54" s="1315"/>
      <c r="S54" s="159"/>
    </row>
    <row r="55" spans="1:20" ht="19.149999999999999" customHeight="1" x14ac:dyDescent="0.2">
      <c r="A55" s="637"/>
      <c r="B55" s="637"/>
      <c r="C55" s="2463"/>
      <c r="D55" s="2463"/>
      <c r="E55" s="2463"/>
      <c r="F55" s="1295"/>
      <c r="G55" s="1295"/>
      <c r="H55" s="1295"/>
      <c r="I55" s="2481"/>
      <c r="J55" s="2481"/>
      <c r="K55" s="2481"/>
      <c r="L55" s="1315"/>
      <c r="M55" s="1358"/>
      <c r="N55" s="1315"/>
      <c r="O55" s="2481"/>
      <c r="P55" s="2481"/>
      <c r="Q55" s="2481"/>
      <c r="R55" s="159"/>
      <c r="S55" s="159"/>
    </row>
    <row r="56" spans="1:20" x14ac:dyDescent="0.2">
      <c r="A56" s="637"/>
      <c r="B56" s="637"/>
      <c r="C56" s="1295"/>
      <c r="D56" s="1314"/>
      <c r="E56" s="1314"/>
      <c r="F56" s="638"/>
      <c r="G56" s="638"/>
      <c r="H56" s="638"/>
      <c r="I56" s="2226"/>
      <c r="J56" s="2226"/>
      <c r="K56" s="2226"/>
      <c r="L56" s="159"/>
      <c r="M56" s="159"/>
      <c r="N56" s="159"/>
      <c r="O56" s="2226"/>
      <c r="P56" s="159"/>
      <c r="Q56" s="2226"/>
      <c r="R56" s="2226"/>
      <c r="S56" s="2226"/>
    </row>
    <row r="57" spans="1:20" x14ac:dyDescent="0.2">
      <c r="A57" s="637"/>
      <c r="B57" s="638" t="s">
        <v>656</v>
      </c>
      <c r="C57" s="1314"/>
      <c r="D57" s="1314"/>
      <c r="E57" s="1314"/>
      <c r="F57" s="1295"/>
      <c r="G57" s="1295"/>
      <c r="H57" s="1295"/>
      <c r="I57" s="2226"/>
      <c r="J57" s="2226"/>
      <c r="K57" s="2226"/>
      <c r="L57" s="1315"/>
      <c r="M57" s="2226"/>
      <c r="N57" s="2226"/>
      <c r="O57" s="2226"/>
      <c r="P57" s="159"/>
      <c r="Q57" s="2226"/>
      <c r="R57" s="2226"/>
      <c r="S57" s="2226"/>
    </row>
    <row r="58" spans="1:20" x14ac:dyDescent="0.2">
      <c r="A58" s="637"/>
      <c r="B58" s="637"/>
      <c r="C58" s="1314"/>
      <c r="D58" s="1313" t="s">
        <v>506</v>
      </c>
      <c r="E58" s="1358"/>
      <c r="F58" s="1313"/>
      <c r="G58" s="159"/>
      <c r="H58" s="159"/>
      <c r="I58" s="1313" t="s">
        <v>498</v>
      </c>
      <c r="J58" s="1358"/>
      <c r="K58" s="1295"/>
      <c r="L58" s="1315"/>
      <c r="M58" s="1315"/>
      <c r="N58" s="159"/>
      <c r="O58" s="159"/>
      <c r="P58" s="159"/>
      <c r="Q58" s="159"/>
      <c r="R58" s="159"/>
      <c r="S58" s="159"/>
      <c r="T58" s="894" t="str">
        <f>IF(AND(ISBLANK($E$58),ISBLANK($J$58))=TRUE,"Answer Missing"," ")</f>
        <v>Answer Missing</v>
      </c>
    </row>
    <row r="59" spans="1:20" x14ac:dyDescent="0.2">
      <c r="A59"/>
      <c r="B59"/>
      <c r="J59" t="s">
        <v>657</v>
      </c>
    </row>
    <row r="60" spans="1:20" x14ac:dyDescent="0.2">
      <c r="A60" s="637"/>
      <c r="B60" s="637"/>
      <c r="C60" s="1318" t="s">
        <v>658</v>
      </c>
      <c r="D60" s="1314"/>
      <c r="E60" s="1314"/>
      <c r="F60" s="638"/>
      <c r="G60" s="638"/>
      <c r="H60" s="638"/>
      <c r="I60" s="2226"/>
      <c r="J60" s="2226"/>
      <c r="K60" s="2226"/>
      <c r="L60" s="159"/>
      <c r="M60" s="159"/>
      <c r="N60" s="159"/>
      <c r="O60" s="159"/>
      <c r="P60" s="159"/>
      <c r="Q60" s="2226"/>
      <c r="R60" s="2226"/>
      <c r="S60" s="2226"/>
    </row>
    <row r="61" spans="1:20" x14ac:dyDescent="0.2">
      <c r="A61" s="637"/>
      <c r="B61" s="637"/>
      <c r="C61" s="1314"/>
      <c r="D61" s="1314"/>
      <c r="E61" s="1314"/>
      <c r="F61" s="1295"/>
      <c r="G61" s="1295"/>
      <c r="H61" s="1295"/>
      <c r="I61" s="2226"/>
      <c r="J61" s="2226"/>
      <c r="K61" s="2226"/>
      <c r="L61" s="1315"/>
      <c r="M61" s="2226"/>
      <c r="N61" s="2226"/>
      <c r="O61" s="2226"/>
      <c r="P61" s="159"/>
      <c r="Q61" s="2226"/>
      <c r="R61" s="2226"/>
      <c r="S61" s="2226"/>
    </row>
    <row r="62" spans="1:20" x14ac:dyDescent="0.2">
      <c r="A62" s="637"/>
      <c r="B62" s="637"/>
      <c r="C62" s="1316" t="s">
        <v>648</v>
      </c>
      <c r="D62" s="1317"/>
      <c r="E62" s="1317"/>
      <c r="F62" s="638"/>
      <c r="G62" s="638"/>
      <c r="H62" s="638"/>
      <c r="I62" s="1316" t="s">
        <v>659</v>
      </c>
      <c r="J62" s="1317"/>
      <c r="K62" s="1317"/>
      <c r="L62" s="1315"/>
      <c r="M62" s="2098" t="s">
        <v>660</v>
      </c>
      <c r="N62" s="1301"/>
      <c r="O62" s="1317"/>
      <c r="P62" s="159"/>
      <c r="Q62" s="2098"/>
      <c r="R62" s="1301"/>
      <c r="S62" s="1317"/>
    </row>
    <row r="63" spans="1:20" x14ac:dyDescent="0.2">
      <c r="A63" s="637"/>
      <c r="B63" s="637"/>
      <c r="C63" s="2463"/>
      <c r="D63" s="2463"/>
      <c r="E63" s="2463"/>
      <c r="F63" s="1295"/>
      <c r="G63" s="1295"/>
      <c r="H63" s="1295"/>
      <c r="I63" s="2481" t="s">
        <v>50</v>
      </c>
      <c r="J63" s="2481"/>
      <c r="K63" s="2481"/>
      <c r="L63" s="1315"/>
      <c r="M63" s="2481">
        <v>0</v>
      </c>
      <c r="N63" s="2481"/>
      <c r="O63" s="2481"/>
      <c r="P63" s="159"/>
      <c r="Q63" s="2485"/>
      <c r="R63" s="2485"/>
      <c r="S63" s="2485"/>
    </row>
    <row r="64" spans="1:20" x14ac:dyDescent="0.2">
      <c r="A64" s="637"/>
      <c r="B64" s="637"/>
      <c r="C64" s="2463"/>
      <c r="D64" s="2463"/>
      <c r="E64" s="2463"/>
      <c r="F64" s="1295"/>
      <c r="G64" s="1295"/>
      <c r="H64" s="1295"/>
      <c r="I64" s="2481"/>
      <c r="J64" s="2481"/>
      <c r="K64" s="2481"/>
      <c r="L64" s="1315"/>
      <c r="M64" s="2481"/>
      <c r="N64" s="2481"/>
      <c r="O64" s="2481"/>
      <c r="P64" s="159"/>
      <c r="Q64" s="2485"/>
      <c r="R64" s="2485"/>
      <c r="S64" s="2485"/>
    </row>
    <row r="65" spans="1:19" x14ac:dyDescent="0.2">
      <c r="A65" s="637"/>
      <c r="B65" s="637"/>
      <c r="C65" s="2463"/>
      <c r="D65" s="2463"/>
      <c r="E65" s="2463"/>
      <c r="F65" s="1295"/>
      <c r="G65" s="1295"/>
      <c r="H65" s="1295"/>
      <c r="I65" s="2481"/>
      <c r="J65" s="2481"/>
      <c r="K65" s="2481"/>
      <c r="L65" s="1315"/>
      <c r="M65" s="2481"/>
      <c r="N65" s="2481"/>
      <c r="O65" s="2481"/>
      <c r="P65" s="159"/>
      <c r="Q65" s="2485"/>
      <c r="R65" s="2485"/>
      <c r="S65" s="2485"/>
    </row>
    <row r="66" spans="1:19" x14ac:dyDescent="0.2">
      <c r="A66" s="637"/>
      <c r="B66" s="637"/>
      <c r="C66" s="1314"/>
      <c r="D66" s="1314"/>
      <c r="E66" s="1314"/>
      <c r="F66" s="1295"/>
      <c r="G66" s="1295"/>
      <c r="H66" s="1295"/>
      <c r="I66" s="2226"/>
      <c r="J66" s="2226"/>
      <c r="K66" s="2226"/>
      <c r="L66" s="1315"/>
      <c r="M66" s="2226"/>
      <c r="N66" s="2226"/>
      <c r="O66" s="2226"/>
      <c r="P66" s="159"/>
      <c r="Q66" s="2226"/>
      <c r="R66" s="2226"/>
      <c r="S66" s="2226"/>
    </row>
    <row r="67" spans="1:19" x14ac:dyDescent="0.2">
      <c r="A67" s="637"/>
      <c r="B67" s="637"/>
      <c r="C67" s="1314"/>
      <c r="D67" s="1314"/>
      <c r="E67" s="1314"/>
      <c r="F67" s="928" t="s">
        <v>661</v>
      </c>
      <c r="G67" s="1295"/>
      <c r="H67" s="2226"/>
      <c r="I67" s="2226"/>
      <c r="J67" s="2226"/>
      <c r="K67" s="2226"/>
      <c r="L67" s="1315"/>
      <c r="M67" s="2226">
        <f>SUM(M63:M66)</f>
        <v>0</v>
      </c>
      <c r="N67" s="2226"/>
      <c r="O67" s="2226"/>
      <c r="P67" s="159"/>
      <c r="Q67" s="2226"/>
      <c r="R67" s="2226"/>
      <c r="S67" s="2226"/>
    </row>
    <row r="68" spans="1:19" x14ac:dyDescent="0.2">
      <c r="A68" s="637"/>
      <c r="B68" s="637"/>
      <c r="C68" s="1314"/>
      <c r="D68" s="1314"/>
      <c r="E68" s="1314"/>
      <c r="F68" s="928" t="s">
        <v>662</v>
      </c>
      <c r="G68" s="1295"/>
      <c r="H68" s="1295"/>
      <c r="I68" s="2226"/>
      <c r="J68" s="2226"/>
      <c r="K68" s="2226"/>
      <c r="L68" s="1315"/>
      <c r="M68" s="2226">
        <f>M67</f>
        <v>0</v>
      </c>
      <c r="N68" s="2226"/>
      <c r="O68" s="2226"/>
      <c r="P68" s="159"/>
      <c r="Q68" s="2226"/>
      <c r="R68" s="2226"/>
      <c r="S68" s="2226"/>
    </row>
    <row r="69" spans="1:19" x14ac:dyDescent="0.2">
      <c r="A69" s="637"/>
      <c r="B69" s="637"/>
      <c r="C69" s="1314" t="s">
        <v>663</v>
      </c>
      <c r="D69" s="1314"/>
      <c r="E69" s="1314"/>
      <c r="F69" s="1295"/>
      <c r="G69" s="1295"/>
      <c r="H69" s="1295"/>
      <c r="I69" s="2226"/>
      <c r="J69" s="2226"/>
      <c r="K69" s="2226"/>
      <c r="L69" s="1315"/>
      <c r="M69" s="2226"/>
      <c r="N69" s="2226"/>
      <c r="O69" s="2226"/>
      <c r="P69" s="159"/>
      <c r="Q69" s="2226"/>
      <c r="R69" s="2226"/>
      <c r="S69" s="2226"/>
    </row>
    <row r="70" spans="1:19" x14ac:dyDescent="0.2">
      <c r="A70" s="637"/>
      <c r="B70" s="637"/>
      <c r="C70" s="1314"/>
      <c r="D70" s="1314"/>
      <c r="E70" s="1314"/>
      <c r="F70" s="1295"/>
      <c r="G70" s="1295"/>
      <c r="H70" s="1295"/>
      <c r="I70" s="2226"/>
      <c r="J70" s="2226"/>
      <c r="K70" s="2226"/>
      <c r="L70" s="1315"/>
      <c r="M70" s="2226"/>
      <c r="N70" s="2226"/>
      <c r="O70" s="2226"/>
      <c r="P70" s="159"/>
      <c r="Q70" s="2226"/>
      <c r="R70" s="2226"/>
      <c r="S70" s="2226"/>
    </row>
    <row r="71" spans="1:19" x14ac:dyDescent="0.2">
      <c r="A71" s="637"/>
      <c r="B71" s="637"/>
      <c r="C71" s="1295" t="s">
        <v>664</v>
      </c>
      <c r="D71" s="1314"/>
      <c r="E71" s="1314"/>
      <c r="F71" s="638"/>
      <c r="G71" s="638"/>
      <c r="H71" s="638"/>
      <c r="I71" s="2226"/>
      <c r="J71" s="2226"/>
      <c r="K71" s="2226"/>
      <c r="L71" s="159"/>
      <c r="M71" s="159"/>
      <c r="N71" s="2226"/>
      <c r="O71" s="2226"/>
      <c r="P71" s="159"/>
      <c r="Q71" s="2226"/>
      <c r="R71" s="2226"/>
      <c r="S71" s="2226"/>
    </row>
    <row r="72" spans="1:19" x14ac:dyDescent="0.2">
      <c r="A72" s="637"/>
      <c r="B72" s="637"/>
      <c r="C72" s="1295"/>
      <c r="D72" s="1314"/>
      <c r="E72" s="1314"/>
      <c r="F72" s="638"/>
      <c r="G72" s="638"/>
      <c r="H72" s="638"/>
      <c r="I72" s="2226"/>
      <c r="J72" s="2226"/>
      <c r="K72" s="2226"/>
      <c r="L72" s="159"/>
      <c r="M72" s="159"/>
      <c r="N72" s="2226"/>
      <c r="O72" s="2226"/>
      <c r="P72" s="159"/>
      <c r="Q72" s="2226"/>
      <c r="R72" s="2226"/>
      <c r="S72" s="2226"/>
    </row>
    <row r="73" spans="1:19" x14ac:dyDescent="0.2">
      <c r="A73" s="637"/>
      <c r="B73" s="637"/>
      <c r="C73" s="1624" t="s">
        <v>665</v>
      </c>
      <c r="D73" s="1624"/>
      <c r="E73" s="1624"/>
      <c r="F73" s="1625"/>
      <c r="G73" s="1625"/>
      <c r="H73" s="1625"/>
      <c r="I73" s="1626"/>
      <c r="J73" s="1626"/>
      <c r="K73" s="1626"/>
      <c r="L73" s="1627"/>
      <c r="M73" s="1626">
        <f>+M67</f>
        <v>0</v>
      </c>
      <c r="N73" s="2226"/>
      <c r="O73" s="2226"/>
      <c r="P73" s="159"/>
      <c r="Q73" s="2226"/>
      <c r="R73" s="2226"/>
      <c r="S73" s="2226"/>
    </row>
    <row r="74" spans="1:19" x14ac:dyDescent="0.2">
      <c r="A74"/>
      <c r="B74"/>
    </row>
    <row r="75" spans="1:19" x14ac:dyDescent="0.2">
      <c r="A75" s="1312"/>
      <c r="B75" s="1312"/>
      <c r="C75" s="1313" t="s">
        <v>666</v>
      </c>
      <c r="D75" s="1313"/>
      <c r="E75" s="1313"/>
      <c r="F75" s="1313"/>
      <c r="G75" s="1313"/>
      <c r="H75" s="1313"/>
      <c r="I75" s="1313"/>
      <c r="J75" s="1313"/>
      <c r="K75" s="1313"/>
      <c r="L75" s="159"/>
      <c r="M75" s="159"/>
      <c r="N75" s="159"/>
      <c r="O75" s="159"/>
      <c r="P75" s="159"/>
      <c r="Q75" s="159"/>
      <c r="R75" s="159"/>
      <c r="S75" s="159"/>
    </row>
    <row r="76" spans="1:19" x14ac:dyDescent="0.2">
      <c r="A76" s="1312"/>
      <c r="B76" s="1312"/>
      <c r="C76" s="1360" t="s">
        <v>667</v>
      </c>
      <c r="D76" s="1360"/>
      <c r="E76" s="2332"/>
      <c r="F76" s="1360"/>
      <c r="G76" s="1360"/>
      <c r="H76" s="1360"/>
      <c r="I76" s="1360"/>
      <c r="J76" s="1360"/>
      <c r="K76" s="1313"/>
      <c r="L76" s="159"/>
      <c r="M76" s="159"/>
      <c r="N76" s="159"/>
      <c r="O76" s="159"/>
      <c r="P76" s="159"/>
      <c r="Q76" s="159"/>
      <c r="R76" s="159"/>
      <c r="S76" s="159"/>
    </row>
    <row r="77" spans="1:19" x14ac:dyDescent="0.2">
      <c r="A77" s="1312"/>
      <c r="B77" s="1312"/>
      <c r="C77" s="1313"/>
      <c r="D77" s="1313"/>
      <c r="E77" s="1313"/>
      <c r="F77" s="1313"/>
      <c r="G77" s="1313"/>
      <c r="H77" s="1313"/>
      <c r="I77" s="1313"/>
      <c r="J77" s="1313"/>
      <c r="K77" s="1313"/>
      <c r="L77" s="159"/>
      <c r="M77" s="159"/>
      <c r="N77" s="159"/>
      <c r="O77" s="159"/>
      <c r="P77" s="159"/>
      <c r="Q77" s="159"/>
      <c r="R77" s="159"/>
      <c r="S77" s="159"/>
    </row>
    <row r="78" spans="1:19" x14ac:dyDescent="0.2">
      <c r="A78" s="1312"/>
      <c r="B78" s="1312"/>
      <c r="C78" s="1360"/>
      <c r="D78" s="1360"/>
      <c r="E78" s="1360"/>
      <c r="F78" s="1313"/>
      <c r="G78" s="1313"/>
      <c r="H78" s="1313"/>
      <c r="I78" s="1313"/>
      <c r="J78" s="1313"/>
      <c r="K78" s="1313"/>
      <c r="L78" s="159"/>
      <c r="M78" s="159"/>
      <c r="N78" s="159"/>
      <c r="O78" s="159"/>
      <c r="P78" s="159"/>
      <c r="Q78" s="159"/>
      <c r="R78" s="159"/>
      <c r="S78" s="159"/>
    </row>
    <row r="79" spans="1:19" x14ac:dyDescent="0.2">
      <c r="A79" s="1312"/>
      <c r="B79" s="1312"/>
      <c r="C79" s="2482" t="s">
        <v>668</v>
      </c>
      <c r="D79" s="2482"/>
      <c r="E79" s="2482"/>
      <c r="F79" s="1313"/>
      <c r="G79" s="1313"/>
      <c r="H79" s="1313"/>
      <c r="I79" s="1313"/>
      <c r="J79" s="1313"/>
      <c r="K79" s="1313"/>
      <c r="L79" s="159"/>
      <c r="M79" s="159"/>
      <c r="N79" s="159"/>
      <c r="O79" s="159"/>
      <c r="P79" s="159"/>
      <c r="Q79" s="159"/>
      <c r="R79" s="159"/>
      <c r="S79" s="159"/>
    </row>
    <row r="80" spans="1:19" ht="17.25" customHeight="1" x14ac:dyDescent="0.2">
      <c r="A80" s="1312"/>
      <c r="B80" s="1312"/>
      <c r="C80" s="2483"/>
      <c r="D80" s="2483"/>
      <c r="E80" s="2483"/>
      <c r="F80" s="1313"/>
      <c r="G80" s="2484"/>
      <c r="H80" s="2483"/>
      <c r="I80" s="2483"/>
      <c r="J80" s="2483"/>
      <c r="K80" s="1313"/>
      <c r="L80" s="159"/>
      <c r="M80" s="159"/>
      <c r="N80" s="159"/>
      <c r="O80" s="159"/>
      <c r="P80" s="159"/>
      <c r="Q80" s="159"/>
      <c r="R80" s="159"/>
      <c r="S80" s="159"/>
    </row>
    <row r="81" spans="1:19" x14ac:dyDescent="0.2">
      <c r="A81" s="1312"/>
      <c r="B81" s="1312"/>
      <c r="C81" s="2482" t="s">
        <v>669</v>
      </c>
      <c r="D81" s="2482"/>
      <c r="E81" s="2482"/>
      <c r="F81" s="1313"/>
      <c r="G81" s="2482" t="s">
        <v>670</v>
      </c>
      <c r="H81" s="2482"/>
      <c r="I81" s="2482"/>
      <c r="J81" s="2482"/>
      <c r="K81" s="1313"/>
      <c r="L81" s="159"/>
      <c r="M81" s="159"/>
      <c r="N81" s="159"/>
      <c r="O81" s="159"/>
      <c r="P81" s="159"/>
      <c r="Q81" s="159"/>
      <c r="R81" s="159"/>
      <c r="S81" s="159"/>
    </row>
    <row r="82" spans="1:19" x14ac:dyDescent="0.2">
      <c r="A82" s="1312"/>
      <c r="B82" s="1312"/>
      <c r="C82" s="1313"/>
      <c r="D82" s="1313"/>
      <c r="E82" s="1313"/>
      <c r="F82" s="1313"/>
      <c r="G82" s="1313"/>
      <c r="H82" s="1313"/>
      <c r="I82" s="1313"/>
      <c r="J82" s="1313"/>
      <c r="K82" s="1313"/>
      <c r="L82" s="159"/>
      <c r="M82" s="159"/>
      <c r="N82" s="159"/>
      <c r="O82" s="159"/>
      <c r="P82" s="159"/>
      <c r="Q82" s="159"/>
      <c r="R82" s="159"/>
      <c r="S82" s="159"/>
    </row>
    <row r="83" spans="1:19" x14ac:dyDescent="0.2">
      <c r="A83" s="1312"/>
      <c r="B83" s="1312"/>
      <c r="C83" s="1313"/>
      <c r="D83" s="1313"/>
      <c r="E83" s="1313"/>
      <c r="F83" s="1313"/>
      <c r="G83" s="1313"/>
      <c r="H83" s="1313"/>
      <c r="I83" s="1313"/>
      <c r="J83" s="1313"/>
      <c r="K83" s="1313"/>
    </row>
  </sheetData>
  <sheetProtection algorithmName="SHA-512" hashValue="wWDpVN+HjdDWorgIpAN6FOb8O2fSny48ta9ABe7mqIXYdwgT3WOmB1tcbMCqzuRI3VM0/yFqLtUWSoJdbnLFzw==" saltValue="x47wyToONfNDjNXRPcS1OQ==" spinCount="100000" sheet="1" objects="1" scenarios="1" autoFilter="0"/>
  <mergeCells count="55">
    <mergeCell ref="C54:E54"/>
    <mergeCell ref="I54:K54"/>
    <mergeCell ref="O54:Q54"/>
    <mergeCell ref="C65:E65"/>
    <mergeCell ref="I65:K65"/>
    <mergeCell ref="M65:O65"/>
    <mergeCell ref="Q65:S65"/>
    <mergeCell ref="C63:E63"/>
    <mergeCell ref="I63:K63"/>
    <mergeCell ref="M63:O63"/>
    <mergeCell ref="Q63:S63"/>
    <mergeCell ref="C64:E64"/>
    <mergeCell ref="I64:K64"/>
    <mergeCell ref="M64:O64"/>
    <mergeCell ref="Q64:S64"/>
    <mergeCell ref="C55:E55"/>
    <mergeCell ref="I55:K55"/>
    <mergeCell ref="O55:Q55"/>
    <mergeCell ref="C36:E36"/>
    <mergeCell ref="I36:K36"/>
    <mergeCell ref="O36:Q36"/>
    <mergeCell ref="C52:E52"/>
    <mergeCell ref="I52:K52"/>
    <mergeCell ref="O52:Q52"/>
    <mergeCell ref="C53:E53"/>
    <mergeCell ref="I53:K53"/>
    <mergeCell ref="O53:Q53"/>
    <mergeCell ref="C50:E50"/>
    <mergeCell ref="I50:K50"/>
    <mergeCell ref="O50:Q50"/>
    <mergeCell ref="C51:E51"/>
    <mergeCell ref="I51:K51"/>
    <mergeCell ref="C79:E79"/>
    <mergeCell ref="C81:E81"/>
    <mergeCell ref="G81:J81"/>
    <mergeCell ref="C80:E80"/>
    <mergeCell ref="G80:J80"/>
    <mergeCell ref="O51:Q51"/>
    <mergeCell ref="C34:E34"/>
    <mergeCell ref="I34:K34"/>
    <mergeCell ref="O34:Q34"/>
    <mergeCell ref="C35:E35"/>
    <mergeCell ref="I35:K35"/>
    <mergeCell ref="O35:Q35"/>
    <mergeCell ref="C32:E32"/>
    <mergeCell ref="I32:K32"/>
    <mergeCell ref="O32:Q32"/>
    <mergeCell ref="C33:E33"/>
    <mergeCell ref="I33:K33"/>
    <mergeCell ref="O33:Q33"/>
    <mergeCell ref="S1:S3"/>
    <mergeCell ref="N7:Q7"/>
    <mergeCell ref="N8:Q8"/>
    <mergeCell ref="N9:Q9"/>
    <mergeCell ref="N10:Q10"/>
  </mergeCells>
  <conditionalFormatting sqref="S1:T3">
    <cfRule type="cellIs" dxfId="150" priority="7" stopIfTrue="1" operator="equal">
      <formula>"na"</formula>
    </cfRule>
  </conditionalFormatting>
  <conditionalFormatting sqref="T15">
    <cfRule type="containsText" dxfId="149" priority="6" stopIfTrue="1" operator="containsText" text="Answer Missing">
      <formula>NOT(ISERROR(SEARCH("Answer Missing",T15)))</formula>
    </cfRule>
  </conditionalFormatting>
  <conditionalFormatting sqref="T25:T26">
    <cfRule type="containsText" dxfId="148" priority="5" stopIfTrue="1" operator="containsText" text="Answer Missing">
      <formula>NOT(ISERROR(SEARCH("Answer Missing",T25)))</formula>
    </cfRule>
  </conditionalFormatting>
  <conditionalFormatting sqref="T44">
    <cfRule type="containsText" dxfId="147" priority="4" stopIfTrue="1" operator="containsText" text="Answer Missing">
      <formula>NOT(ISERROR(SEARCH("Answer Missing",T44)))</formula>
    </cfRule>
  </conditionalFormatting>
  <conditionalFormatting sqref="T58">
    <cfRule type="containsText" dxfId="146" priority="1" stopIfTrue="1" operator="containsText" text="Answer Missing">
      <formula>NOT(ISERROR(SEARCH("Answer Missing",T58)))</formula>
    </cfRule>
  </conditionalFormatting>
  <dataValidations count="1">
    <dataValidation type="list" allowBlank="1" showInputMessage="1" showErrorMessage="1" sqref="M32:M36 M50:M55" xr:uid="{35C47201-C00D-4286-9324-B51FE6CB0AF5}">
      <formula1>"Acquisition, Retirement, Cost"</formula1>
    </dataValidation>
  </dataValidations>
  <hyperlinks>
    <hyperlink ref="C1:L1" location="Index!A1" display="Index!A1" xr:uid="{D426925A-BA57-468F-9B85-CFCE9887AD49}"/>
  </hyperlinks>
  <pageMargins left="0.6" right="0.6" top="0.5" bottom="0.5" header="0.3" footer="0.3"/>
  <pageSetup scale="67" orientation="portrait" r:id="rId1"/>
  <rowBreaks count="1" manualBreakCount="1">
    <brk id="50" min="1" max="16" man="1"/>
  </rowBreaks>
  <ignoredErrors>
    <ignoredError sqref="M73"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pageSetUpPr fitToPage="1"/>
  </sheetPr>
  <dimension ref="A1:V62"/>
  <sheetViews>
    <sheetView showGridLines="0" zoomScaleNormal="100" zoomScaleSheetLayoutView="100" workbookViewId="0">
      <selection activeCell="K30" sqref="K30"/>
    </sheetView>
  </sheetViews>
  <sheetFormatPr defaultColWidth="8" defaultRowHeight="12.75" x14ac:dyDescent="0.2"/>
  <cols>
    <col min="1" max="1" width="0.28515625" style="525" customWidth="1"/>
    <col min="2" max="2" width="13" style="525" customWidth="1"/>
    <col min="3" max="3" width="3.5703125" style="525" customWidth="1"/>
    <col min="4" max="4" width="13" style="525" customWidth="1"/>
    <col min="5" max="5" width="12.85546875" style="525" customWidth="1"/>
    <col min="6" max="6" width="7" style="525" customWidth="1"/>
    <col min="7" max="7" width="20.42578125" style="525" customWidth="1"/>
    <col min="8" max="8" width="1.5703125" style="525" customWidth="1"/>
    <col min="9" max="9" width="14" style="525" customWidth="1"/>
    <col min="10" max="10" width="1.5703125" style="525" customWidth="1"/>
    <col min="11" max="11" width="14.5703125" style="525" customWidth="1"/>
    <col min="12" max="12" width="1.5703125" style="525" customWidth="1"/>
    <col min="13" max="13" width="20.5703125" style="525" customWidth="1"/>
    <col min="14" max="14" width="1.5703125" style="525" customWidth="1"/>
    <col min="15" max="15" width="21.28515625" style="525" customWidth="1"/>
    <col min="16" max="16" width="1.5703125" style="525" customWidth="1"/>
    <col min="17" max="17" width="21" style="525" customWidth="1"/>
    <col min="18" max="18" width="4.5703125" style="525" customWidth="1"/>
    <col min="19" max="20" width="14.42578125" style="525" customWidth="1"/>
    <col min="21" max="21" width="14.42578125" style="1453" customWidth="1"/>
    <col min="22" max="22" width="14.42578125" style="1450" customWidth="1"/>
    <col min="23" max="234" width="14.42578125" style="525" customWidth="1"/>
    <col min="235" max="16384" width="8" style="525"/>
  </cols>
  <sheetData>
    <row r="1" spans="2:22" s="272" customFormat="1" ht="15" customHeight="1" x14ac:dyDescent="0.25">
      <c r="B1" s="2487" t="str">
        <f>+Index!$A$1</f>
        <v xml:space="preserve">                                                               Office of the State Controller                                                                </v>
      </c>
      <c r="C1" s="2487"/>
      <c r="D1" s="2487"/>
      <c r="E1" s="2487"/>
      <c r="F1" s="2487"/>
      <c r="G1" s="2487"/>
      <c r="H1" s="2487"/>
      <c r="I1" s="2487"/>
      <c r="J1" s="2487"/>
      <c r="K1" s="2487"/>
      <c r="L1" s="2487"/>
      <c r="M1" s="2487"/>
      <c r="N1" s="2487"/>
      <c r="O1" s="2487"/>
      <c r="P1" s="2487"/>
      <c r="Q1" s="2487"/>
      <c r="R1" s="2456" t="str">
        <f>IF(Index!$B$24="na","NA","")</f>
        <v/>
      </c>
      <c r="S1" s="522"/>
      <c r="T1" s="522"/>
      <c r="U1" s="1454"/>
    </row>
    <row r="2" spans="2:22" s="272" customFormat="1" ht="15" customHeight="1" x14ac:dyDescent="0.25">
      <c r="B2" s="2488" t="str">
        <f>+Index!$A$2</f>
        <v>2023 ACFR Worksheets</v>
      </c>
      <c r="C2" s="2488"/>
      <c r="D2" s="2488"/>
      <c r="E2" s="2488"/>
      <c r="F2" s="2488"/>
      <c r="G2" s="2488"/>
      <c r="H2" s="2488"/>
      <c r="I2" s="2488"/>
      <c r="J2" s="2488"/>
      <c r="K2" s="2488"/>
      <c r="L2" s="2488"/>
      <c r="M2" s="2488"/>
      <c r="N2" s="2488"/>
      <c r="O2" s="2488"/>
      <c r="P2" s="2488"/>
      <c r="Q2" s="2488"/>
      <c r="R2" s="2456"/>
      <c r="S2" s="522"/>
      <c r="T2" s="522"/>
      <c r="U2" s="1454"/>
    </row>
    <row r="3" spans="2:22" s="272" customFormat="1" ht="15" customHeight="1" x14ac:dyDescent="0.25">
      <c r="B3" s="2488" t="s">
        <v>671</v>
      </c>
      <c r="C3" s="2488"/>
      <c r="D3" s="2488"/>
      <c r="E3" s="2488"/>
      <c r="F3" s="2488"/>
      <c r="G3" s="2488"/>
      <c r="H3" s="2488"/>
      <c r="I3" s="2488"/>
      <c r="J3" s="2488"/>
      <c r="K3" s="2488"/>
      <c r="L3" s="2488"/>
      <c r="M3" s="2488"/>
      <c r="N3" s="2488"/>
      <c r="O3" s="2488"/>
      <c r="P3" s="2488"/>
      <c r="Q3" s="2488"/>
      <c r="R3" s="2456"/>
      <c r="S3" s="522"/>
      <c r="T3" s="522"/>
      <c r="U3" s="1454"/>
    </row>
    <row r="4" spans="2:22" s="272" customFormat="1" ht="15" customHeight="1" x14ac:dyDescent="0.3">
      <c r="B4" s="523"/>
      <c r="C4" s="523"/>
      <c r="D4" s="523"/>
      <c r="E4" s="523"/>
      <c r="F4" s="273"/>
      <c r="G4" s="273"/>
      <c r="H4" s="273"/>
      <c r="I4" s="430" t="s">
        <v>672</v>
      </c>
      <c r="J4" s="273"/>
      <c r="K4" s="273"/>
      <c r="L4" s="273"/>
      <c r="N4" s="273"/>
      <c r="P4" s="273"/>
      <c r="Q4" s="524"/>
      <c r="R4" s="273"/>
      <c r="S4" s="522"/>
      <c r="T4" s="522"/>
      <c r="U4" s="1454"/>
    </row>
    <row r="5" spans="2:22" ht="15" customHeight="1" x14ac:dyDescent="0.2">
      <c r="B5" s="1450"/>
      <c r="C5" s="1450"/>
      <c r="D5" s="1723"/>
      <c r="E5" s="1450"/>
      <c r="F5" s="1450"/>
      <c r="G5" s="1450" t="s">
        <v>317</v>
      </c>
      <c r="H5" s="1450"/>
      <c r="I5" s="2489" t="str">
        <f>+Index!$E$10</f>
        <v>01</v>
      </c>
      <c r="J5" s="2489"/>
      <c r="K5" s="2489"/>
      <c r="L5" s="2489"/>
      <c r="M5" s="2489"/>
      <c r="N5" s="2489"/>
      <c r="O5" s="2489"/>
      <c r="P5" s="2489"/>
      <c r="Q5" s="2489"/>
      <c r="R5" s="1724"/>
      <c r="S5" s="1450"/>
      <c r="T5" s="1724"/>
      <c r="U5" s="1455"/>
    </row>
    <row r="6" spans="2:22" ht="15" customHeight="1" x14ac:dyDescent="0.2">
      <c r="B6" s="1439" t="s">
        <v>566</v>
      </c>
      <c r="C6" s="289"/>
      <c r="D6" s="1531" t="s">
        <v>673</v>
      </c>
      <c r="E6" s="1450"/>
      <c r="F6" s="1450"/>
      <c r="G6" s="1450" t="s">
        <v>318</v>
      </c>
      <c r="H6" s="1450"/>
      <c r="I6" s="2486" t="str">
        <f>+Index!$E$11</f>
        <v>North Carolina General Assembly</v>
      </c>
      <c r="J6" s="2486"/>
      <c r="K6" s="2486"/>
      <c r="L6" s="2486"/>
      <c r="M6" s="2486"/>
      <c r="N6" s="2486"/>
      <c r="O6" s="2486"/>
      <c r="P6" s="2486"/>
      <c r="Q6" s="2486"/>
      <c r="R6" s="1711"/>
      <c r="S6" s="1711"/>
      <c r="T6" s="1711"/>
      <c r="U6" s="1456"/>
    </row>
    <row r="7" spans="2:22" ht="15" customHeight="1" x14ac:dyDescent="0.2">
      <c r="B7" s="1450" t="s">
        <v>568</v>
      </c>
      <c r="C7" s="1450"/>
      <c r="D7" s="1725"/>
      <c r="E7" s="1450"/>
      <c r="F7" s="1450"/>
      <c r="G7" s="1450" t="s">
        <v>319</v>
      </c>
      <c r="H7" s="1450"/>
      <c r="I7" s="2480" t="str">
        <f>CONCATENATE(Index!$E$12," ",Index!$E$14)</f>
        <v xml:space="preserve"> </v>
      </c>
      <c r="J7" s="2480"/>
      <c r="K7" s="2480"/>
      <c r="L7" s="2480"/>
      <c r="M7" s="2480"/>
      <c r="N7" s="2480"/>
      <c r="O7" s="2480"/>
      <c r="P7" s="2480"/>
      <c r="Q7" s="2480"/>
      <c r="R7" s="1450"/>
      <c r="S7" s="1450"/>
      <c r="T7" s="1450"/>
    </row>
    <row r="8" spans="2:22" ht="15" customHeight="1" x14ac:dyDescent="0.2">
      <c r="B8" s="1450"/>
      <c r="C8" s="1450"/>
      <c r="D8" s="433"/>
      <c r="E8" s="1450"/>
      <c r="F8" s="1450"/>
      <c r="G8" s="1450" t="s">
        <v>71</v>
      </c>
      <c r="H8" s="1450"/>
      <c r="I8" s="2490">
        <f>+Index!$E$13</f>
        <v>0</v>
      </c>
      <c r="J8" s="2490"/>
      <c r="K8" s="2490"/>
      <c r="L8" s="2490"/>
      <c r="M8" s="2490"/>
      <c r="N8" s="2490"/>
      <c r="O8" s="2490"/>
      <c r="P8" s="2490"/>
      <c r="Q8" s="2490"/>
      <c r="R8" s="1450"/>
      <c r="S8" s="1450"/>
      <c r="T8" s="1450"/>
    </row>
    <row r="9" spans="2:22" ht="15" customHeight="1" thickBot="1" x14ac:dyDescent="0.25">
      <c r="B9" s="1726"/>
      <c r="C9" s="1726"/>
      <c r="D9" s="1726"/>
      <c r="E9" s="1726"/>
      <c r="F9" s="1726"/>
      <c r="G9" s="1726"/>
      <c r="H9" s="1726"/>
      <c r="I9" s="1726"/>
      <c r="J9" s="1726"/>
      <c r="K9" s="1726"/>
      <c r="L9" s="1726"/>
      <c r="M9" s="1726"/>
      <c r="N9" s="1726"/>
      <c r="O9" s="1726"/>
      <c r="P9" s="1726"/>
      <c r="Q9" s="1726"/>
      <c r="R9" s="1450"/>
      <c r="S9" s="1450"/>
      <c r="T9" s="1450"/>
    </row>
    <row r="10" spans="2:22" s="1450" customFormat="1" ht="12" customHeight="1" x14ac:dyDescent="0.2">
      <c r="B10" s="752" t="s">
        <v>674</v>
      </c>
      <c r="C10" s="1451"/>
      <c r="D10" s="1451"/>
      <c r="E10" s="1451"/>
      <c r="F10" s="1451"/>
      <c r="I10" s="1452" t="s">
        <v>585</v>
      </c>
      <c r="J10" s="1452"/>
      <c r="K10" s="1452" t="s">
        <v>586</v>
      </c>
      <c r="L10" s="1452"/>
      <c r="M10" s="1452" t="s">
        <v>588</v>
      </c>
      <c r="N10" s="1452"/>
      <c r="O10" s="1452" t="s">
        <v>590</v>
      </c>
      <c r="U10" s="1453"/>
    </row>
    <row r="11" spans="2:22" s="274" customFormat="1" ht="15" customHeight="1" x14ac:dyDescent="0.2">
      <c r="G11" s="275" t="s">
        <v>675</v>
      </c>
      <c r="I11" s="275"/>
      <c r="K11" s="275"/>
      <c r="M11" s="275"/>
      <c r="O11" s="275"/>
      <c r="P11" s="1450"/>
      <c r="Q11" s="275" t="s">
        <v>675</v>
      </c>
      <c r="R11" s="1450"/>
      <c r="S11" s="1450"/>
      <c r="T11" s="1450"/>
      <c r="U11" s="1457"/>
    </row>
    <row r="12" spans="2:22" s="274" customFormat="1" ht="15" customHeight="1" x14ac:dyDescent="0.2">
      <c r="G12" s="276" t="s">
        <v>676</v>
      </c>
      <c r="I12" s="276"/>
      <c r="K12" s="276"/>
      <c r="M12" s="276" t="s">
        <v>675</v>
      </c>
      <c r="O12" s="276" t="s">
        <v>675</v>
      </c>
      <c r="P12" s="1450"/>
      <c r="Q12" s="276" t="s">
        <v>676</v>
      </c>
      <c r="R12" s="1450"/>
      <c r="S12" s="1450"/>
      <c r="T12" s="1450"/>
      <c r="U12" s="1457"/>
    </row>
    <row r="13" spans="2:22" s="274" customFormat="1" ht="15" customHeight="1" x14ac:dyDescent="0.2">
      <c r="G13" s="276" t="s">
        <v>508</v>
      </c>
      <c r="I13" s="276" t="s">
        <v>677</v>
      </c>
      <c r="K13" s="276" t="s">
        <v>678</v>
      </c>
      <c r="M13" s="276" t="s">
        <v>676</v>
      </c>
      <c r="O13" s="276" t="s">
        <v>676</v>
      </c>
      <c r="P13" s="1450"/>
      <c r="Q13" s="65" t="s">
        <v>508</v>
      </c>
      <c r="R13" s="1450"/>
      <c r="S13" s="1450"/>
      <c r="T13" s="1450"/>
      <c r="U13" s="1457"/>
    </row>
    <row r="14" spans="2:22" s="274" customFormat="1" ht="15" customHeight="1" x14ac:dyDescent="0.35">
      <c r="B14" s="277" t="s">
        <v>580</v>
      </c>
      <c r="G14" s="68" t="str">
        <f>+TEXT(Data!$A$3,"mmmm d, yyyy")</f>
        <v>July 1, 2022</v>
      </c>
      <c r="I14" s="278" t="s">
        <v>581</v>
      </c>
      <c r="K14" s="279" t="s">
        <v>679</v>
      </c>
      <c r="M14" s="278" t="s">
        <v>680</v>
      </c>
      <c r="O14" s="279" t="s">
        <v>681</v>
      </c>
      <c r="P14" s="1450"/>
      <c r="Q14" s="67" t="str">
        <f>TEXT(Data!$A$2,"mmmm d, yyyy")</f>
        <v>June 30, 2023</v>
      </c>
      <c r="R14" s="280"/>
      <c r="S14" s="1450"/>
      <c r="T14" s="1450"/>
      <c r="U14" s="1457"/>
    </row>
    <row r="15" spans="2:22" s="274" customFormat="1" ht="15" hidden="1" customHeight="1" x14ac:dyDescent="0.35">
      <c r="G15" s="281" t="s">
        <v>682</v>
      </c>
      <c r="I15" s="281" t="s">
        <v>683</v>
      </c>
      <c r="K15" s="274" t="s">
        <v>684</v>
      </c>
      <c r="M15" s="281" t="s">
        <v>685</v>
      </c>
      <c r="O15" s="274" t="s">
        <v>82</v>
      </c>
      <c r="P15" s="1450"/>
      <c r="Q15" s="147" t="s">
        <v>686</v>
      </c>
      <c r="R15" s="280"/>
      <c r="S15" s="1450"/>
      <c r="T15" s="1450"/>
      <c r="U15" s="1457"/>
    </row>
    <row r="16" spans="2:22" ht="21.75" customHeight="1" x14ac:dyDescent="0.2">
      <c r="B16" s="517" t="s">
        <v>611</v>
      </c>
      <c r="C16" s="282"/>
      <c r="D16" s="282"/>
      <c r="E16" s="282"/>
      <c r="F16" s="1450"/>
      <c r="G16" s="1719"/>
      <c r="H16" s="1727"/>
      <c r="I16" s="1719">
        <v>0</v>
      </c>
      <c r="J16" s="1727"/>
      <c r="K16" s="1727"/>
      <c r="L16" s="1727"/>
      <c r="M16" s="1719">
        <v>0</v>
      </c>
      <c r="N16" s="1727"/>
      <c r="O16" s="1719">
        <f>+G16-M16</f>
        <v>0</v>
      </c>
      <c r="P16" s="1450"/>
      <c r="Q16" s="1719">
        <f>+M16-O16</f>
        <v>0</v>
      </c>
      <c r="R16" s="1728"/>
      <c r="S16" s="1450"/>
      <c r="T16" s="1450"/>
      <c r="V16" s="1458" t="str">
        <f>IF(D6="General Government","Gen Gov",
IF(D6="Primary and secondary education","Prim Sec Ed",
IF(D6="Higher Education","Higher Ed",
IF(D6="Higher education student aid","Higher Ed stu aid",
IF(D6="Health and human services","HHS",
IF(D6="Economic development","Econ Dev",
IF(D6="Environment and natural resources","ENR",
IF(D6="Public safety","Public Safety",
IF(D6="Transportation","Trans",
IF(D6="Highway construction/preservation","Highway Const",
IF(D6="Highway maintenance","Highway Const",
IF(D6="Highway maintenance","Highway Const",
IF(D6="Agriculture","Agric",
IF(D6="Capital projects/repairs and renovations","CapProjectsReno","No Function"))))))))))))))</f>
        <v>No Function</v>
      </c>
    </row>
    <row r="17" spans="1:21" ht="21.75" customHeight="1" x14ac:dyDescent="0.2">
      <c r="A17" s="1450">
        <v>4</v>
      </c>
      <c r="B17" s="2477" t="s">
        <v>612</v>
      </c>
      <c r="C17" s="2477"/>
      <c r="D17" s="2477"/>
      <c r="E17" s="2477"/>
      <c r="F17" s="1450"/>
      <c r="G17" s="896" t="str">
        <f>IFERROR(HLOOKUP($I$5,PriorYr905!$E$265:$AH$283,5,FALSE),"")</f>
        <v/>
      </c>
      <c r="H17" s="1727"/>
      <c r="I17" s="896"/>
      <c r="J17" s="1727"/>
      <c r="K17" s="1729"/>
      <c r="L17" s="1727"/>
      <c r="M17" s="896"/>
      <c r="N17" s="1727"/>
      <c r="O17" s="896"/>
      <c r="P17" s="1727"/>
      <c r="Q17" s="1717">
        <f t="shared" ref="Q17:Q30" si="0">SUM(G17:P17)</f>
        <v>0</v>
      </c>
      <c r="R17" s="1728"/>
      <c r="S17" s="1450"/>
      <c r="T17" s="1450"/>
      <c r="U17" s="1458">
        <v>12791000</v>
      </c>
    </row>
    <row r="18" spans="1:21" ht="21.75" customHeight="1" x14ac:dyDescent="0.2">
      <c r="A18" s="1450">
        <v>5</v>
      </c>
      <c r="B18" s="2477" t="s">
        <v>613</v>
      </c>
      <c r="C18" s="2477"/>
      <c r="D18" s="2477"/>
      <c r="E18" s="2477"/>
      <c r="F18" s="1450"/>
      <c r="G18" s="896" t="str">
        <f>IFERROR(HLOOKUP($I$5,PriorYr905!$E$265:$AH$283,6,FALSE),"")</f>
        <v/>
      </c>
      <c r="H18" s="1727"/>
      <c r="I18" s="896"/>
      <c r="J18" s="1727"/>
      <c r="K18" s="1730"/>
      <c r="L18" s="1727"/>
      <c r="M18" s="896"/>
      <c r="N18" s="1727"/>
      <c r="O18" s="896"/>
      <c r="P18" s="1727"/>
      <c r="Q18" s="1717">
        <f t="shared" si="0"/>
        <v>0</v>
      </c>
      <c r="R18" s="1728"/>
      <c r="S18" s="1450"/>
      <c r="T18" s="1450"/>
      <c r="U18" s="1458">
        <v>12793600</v>
      </c>
    </row>
    <row r="19" spans="1:21" ht="21.75" customHeight="1" x14ac:dyDescent="0.2">
      <c r="A19" s="1450">
        <v>6</v>
      </c>
      <c r="B19" s="2477" t="s">
        <v>614</v>
      </c>
      <c r="C19" s="2477"/>
      <c r="D19" s="2477"/>
      <c r="E19" s="2477"/>
      <c r="F19" s="1450"/>
      <c r="G19" s="896" t="str">
        <f>IFERROR(HLOOKUP($I$5,PriorYr905!$E$265:$AH$283,7,FALSE),"")</f>
        <v/>
      </c>
      <c r="H19" s="1727"/>
      <c r="I19" s="896"/>
      <c r="J19" s="1727"/>
      <c r="K19" s="1730"/>
      <c r="L19" s="1727"/>
      <c r="M19" s="896"/>
      <c r="N19" s="1727"/>
      <c r="O19" s="896"/>
      <c r="P19" s="1727"/>
      <c r="Q19" s="1717">
        <f t="shared" si="0"/>
        <v>0</v>
      </c>
      <c r="R19" s="1728"/>
      <c r="S19" s="1450"/>
      <c r="T19" s="1450"/>
      <c r="U19" s="1458">
        <v>12794000</v>
      </c>
    </row>
    <row r="20" spans="1:21" ht="21.75" customHeight="1" x14ac:dyDescent="0.2">
      <c r="A20" s="1450">
        <v>7</v>
      </c>
      <c r="B20" s="2477" t="s">
        <v>615</v>
      </c>
      <c r="C20" s="2477"/>
      <c r="D20" s="2477"/>
      <c r="E20" s="2477"/>
      <c r="F20" s="1450"/>
      <c r="G20" s="896" t="str">
        <f>IFERROR(HLOOKUP($I$5,PriorYr905!$E$265:$AH$283,8,FALSE),"")</f>
        <v/>
      </c>
      <c r="H20" s="1727"/>
      <c r="I20" s="896"/>
      <c r="J20" s="1727"/>
      <c r="K20" s="1730"/>
      <c r="L20" s="1727"/>
      <c r="M20" s="896"/>
      <c r="N20" s="1727"/>
      <c r="O20" s="896"/>
      <c r="P20" s="1727"/>
      <c r="Q20" s="1717">
        <f t="shared" si="0"/>
        <v>0</v>
      </c>
      <c r="R20" s="1728"/>
      <c r="S20" s="1450"/>
      <c r="T20" s="1450"/>
      <c r="U20" s="1458">
        <v>12792000</v>
      </c>
    </row>
    <row r="21" spans="1:21" ht="21.75" customHeight="1" x14ac:dyDescent="0.2">
      <c r="A21" s="1450">
        <v>8</v>
      </c>
      <c r="B21" s="2477" t="s">
        <v>616</v>
      </c>
      <c r="C21" s="2477"/>
      <c r="D21" s="2477"/>
      <c r="E21" s="2477"/>
      <c r="F21" s="1450"/>
      <c r="G21" s="896"/>
      <c r="H21" s="1727"/>
      <c r="I21" s="1718"/>
      <c r="J21" s="1727"/>
      <c r="K21" s="1730"/>
      <c r="L21" s="1727"/>
      <c r="M21" s="1718"/>
      <c r="N21" s="1727"/>
      <c r="O21" s="1718"/>
      <c r="P21" s="1727"/>
      <c r="Q21" s="1717">
        <f t="shared" si="0"/>
        <v>0</v>
      </c>
      <c r="R21" s="1450"/>
      <c r="S21" s="1450"/>
      <c r="T21" s="1450"/>
      <c r="U21" s="1458">
        <v>12790000</v>
      </c>
    </row>
    <row r="22" spans="1:21" ht="21.75" customHeight="1" x14ac:dyDescent="0.2">
      <c r="A22" s="1014" t="s">
        <v>617</v>
      </c>
      <c r="B22" s="2222" t="s">
        <v>687</v>
      </c>
      <c r="C22" s="2222"/>
      <c r="D22" s="2222"/>
      <c r="E22" s="2222"/>
      <c r="F22" s="1450"/>
      <c r="G22" s="896"/>
      <c r="H22" s="1727"/>
      <c r="I22" s="896"/>
      <c r="J22" s="1727"/>
      <c r="K22" s="1730"/>
      <c r="L22" s="1727"/>
      <c r="M22" s="896"/>
      <c r="N22" s="1727"/>
      <c r="O22" s="896"/>
      <c r="P22" s="1727"/>
      <c r="Q22" s="1717">
        <f t="shared" si="0"/>
        <v>0</v>
      </c>
      <c r="R22" s="1450"/>
      <c r="S22" s="1450"/>
      <c r="T22" s="1450"/>
      <c r="U22" s="1538">
        <v>12790001</v>
      </c>
    </row>
    <row r="23" spans="1:21" ht="21.75" customHeight="1" x14ac:dyDescent="0.2">
      <c r="A23" s="1450">
        <v>9</v>
      </c>
      <c r="B23" s="2222" t="s">
        <v>688</v>
      </c>
      <c r="C23" s="2222"/>
      <c r="D23" s="2222"/>
      <c r="E23" s="2222"/>
      <c r="F23" s="1450"/>
      <c r="G23" s="896" t="str">
        <f>IFERROR(HLOOKUP($I$5,PriorYr905!$E$265:$AH$283,15,FALSE),"")</f>
        <v/>
      </c>
      <c r="H23" s="1727"/>
      <c r="I23" s="896"/>
      <c r="J23" s="1727"/>
      <c r="K23" s="1730"/>
      <c r="L23" s="1727"/>
      <c r="M23" s="896"/>
      <c r="N23" s="1727"/>
      <c r="O23" s="896"/>
      <c r="P23" s="1727"/>
      <c r="Q23" s="1717">
        <f t="shared" si="0"/>
        <v>0</v>
      </c>
      <c r="R23" s="1450"/>
      <c r="S23" s="1450"/>
      <c r="T23" s="1450"/>
      <c r="U23" s="1458">
        <v>12795200</v>
      </c>
    </row>
    <row r="24" spans="1:21" ht="21.75" customHeight="1" x14ac:dyDescent="0.2">
      <c r="A24" s="1450">
        <v>10</v>
      </c>
      <c r="B24" s="2222" t="s">
        <v>689</v>
      </c>
      <c r="C24" s="2222"/>
      <c r="D24" s="2222"/>
      <c r="E24" s="2222"/>
      <c r="F24" s="1450"/>
      <c r="G24" s="896" t="str">
        <f>IFERROR(HLOOKUP($I$5,PriorYr905!$E$265:$AH$283,16,FALSE),"")</f>
        <v/>
      </c>
      <c r="H24" s="1727"/>
      <c r="I24" s="896"/>
      <c r="J24" s="1727"/>
      <c r="K24" s="1729"/>
      <c r="L24" s="1727"/>
      <c r="M24" s="896"/>
      <c r="N24" s="1727"/>
      <c r="O24" s="896"/>
      <c r="P24" s="1727"/>
      <c r="Q24" s="1717">
        <f t="shared" si="0"/>
        <v>0</v>
      </c>
      <c r="R24" s="1450"/>
      <c r="S24" s="1450"/>
      <c r="T24" s="1450"/>
      <c r="U24" s="1458">
        <v>12795100</v>
      </c>
    </row>
    <row r="25" spans="1:21" ht="21.75" customHeight="1" x14ac:dyDescent="0.2">
      <c r="A25" s="1450">
        <v>11</v>
      </c>
      <c r="B25" s="2477" t="s">
        <v>621</v>
      </c>
      <c r="C25" s="2477"/>
      <c r="D25" s="2477"/>
      <c r="E25" s="2477"/>
      <c r="F25" s="1450"/>
      <c r="G25" s="896" t="str">
        <f>IFERROR(HLOOKUP($I$5,PriorYr905!$E$265:$AH$283,17,FALSE),"")</f>
        <v/>
      </c>
      <c r="H25" s="1727"/>
      <c r="I25" s="896"/>
      <c r="J25" s="1727"/>
      <c r="K25" s="1729"/>
      <c r="L25" s="1727"/>
      <c r="M25" s="896"/>
      <c r="N25" s="1727"/>
      <c r="O25" s="896"/>
      <c r="P25" s="1727"/>
      <c r="Q25" s="1717">
        <f t="shared" si="0"/>
        <v>0</v>
      </c>
      <c r="R25" s="1728"/>
      <c r="S25" s="1450"/>
      <c r="T25" s="1450"/>
      <c r="U25" s="1458">
        <v>12795000</v>
      </c>
    </row>
    <row r="26" spans="1:21" ht="21.75" customHeight="1" x14ac:dyDescent="0.2">
      <c r="A26" s="1450"/>
      <c r="B26" s="517" t="s">
        <v>622</v>
      </c>
      <c r="C26" s="2222"/>
      <c r="D26" s="2222"/>
      <c r="E26" s="2222"/>
      <c r="F26" s="1450"/>
      <c r="G26" s="1720"/>
      <c r="H26" s="1727"/>
      <c r="I26" s="1720"/>
      <c r="J26" s="1727"/>
      <c r="K26" s="1731"/>
      <c r="L26" s="1727"/>
      <c r="M26" s="1720"/>
      <c r="N26" s="1727"/>
      <c r="O26" s="1720"/>
      <c r="P26" s="1727"/>
      <c r="Q26" s="1719"/>
      <c r="R26" s="1728"/>
      <c r="S26" s="1450"/>
      <c r="T26" s="1450"/>
      <c r="U26" s="1458"/>
    </row>
    <row r="27" spans="1:21" ht="21.75" customHeight="1" x14ac:dyDescent="0.2">
      <c r="A27" s="1450">
        <v>12</v>
      </c>
      <c r="B27" s="2222" t="s">
        <v>623</v>
      </c>
      <c r="C27" s="2222"/>
      <c r="D27" s="2222"/>
      <c r="E27" s="2222"/>
      <c r="F27" s="1450"/>
      <c r="G27" s="896" t="str">
        <f>IFERROR(HLOOKUP($I$5,PriorYr905!$E$265:$AH$283,9,FALSE),"")</f>
        <v/>
      </c>
      <c r="H27" s="1727"/>
      <c r="I27" s="896"/>
      <c r="J27" s="1727"/>
      <c r="K27" s="1729"/>
      <c r="L27" s="1727"/>
      <c r="M27" s="896"/>
      <c r="N27" s="1727"/>
      <c r="O27" s="896"/>
      <c r="P27" s="1727"/>
      <c r="Q27" s="1717">
        <f t="shared" si="0"/>
        <v>0</v>
      </c>
      <c r="R27" s="1728"/>
      <c r="S27" s="1570"/>
      <c r="T27" s="1450"/>
      <c r="U27" s="1458">
        <v>12797000</v>
      </c>
    </row>
    <row r="28" spans="1:21" ht="21.75" customHeight="1" x14ac:dyDescent="0.2">
      <c r="A28" s="1450">
        <v>13</v>
      </c>
      <c r="B28" s="2477" t="s">
        <v>624</v>
      </c>
      <c r="C28" s="2477"/>
      <c r="D28" s="2477"/>
      <c r="E28" s="2477"/>
      <c r="F28" s="1450"/>
      <c r="G28" s="896" t="str">
        <f>IFERROR(HLOOKUP($I$5,PriorYr905!$E$265:$AH$283,10,FALSE),"")</f>
        <v/>
      </c>
      <c r="H28" s="1727"/>
      <c r="I28" s="896"/>
      <c r="J28" s="1727"/>
      <c r="K28" s="1729"/>
      <c r="L28" s="1727"/>
      <c r="M28" s="896"/>
      <c r="N28" s="1727"/>
      <c r="O28" s="896"/>
      <c r="P28" s="1727"/>
      <c r="Q28" s="1717">
        <f t="shared" si="0"/>
        <v>0</v>
      </c>
      <c r="R28" s="1728"/>
      <c r="S28" s="1570"/>
      <c r="T28" s="1450"/>
      <c r="U28" s="1458">
        <v>12797100</v>
      </c>
    </row>
    <row r="29" spans="1:21" ht="21.75" customHeight="1" x14ac:dyDescent="0.2">
      <c r="A29" s="1450">
        <v>14</v>
      </c>
      <c r="B29" s="2477" t="s">
        <v>625</v>
      </c>
      <c r="C29" s="2477"/>
      <c r="D29" s="2477"/>
      <c r="E29" s="2477"/>
      <c r="F29" s="1450"/>
      <c r="G29" s="896" t="str">
        <f>IFERROR(HLOOKUP($I$5,PriorYr905!$E$265:$AH$283,11,FALSE),"")</f>
        <v/>
      </c>
      <c r="H29" s="1727"/>
      <c r="I29" s="896"/>
      <c r="J29" s="1727"/>
      <c r="K29" s="1729"/>
      <c r="L29" s="1727"/>
      <c r="M29" s="896"/>
      <c r="N29" s="1727"/>
      <c r="O29" s="896"/>
      <c r="P29" s="1727"/>
      <c r="Q29" s="1717">
        <f t="shared" si="0"/>
        <v>0</v>
      </c>
      <c r="R29" s="1728"/>
      <c r="S29" s="1570"/>
      <c r="T29" s="1450"/>
      <c r="U29" s="1458">
        <v>12797200</v>
      </c>
    </row>
    <row r="30" spans="1:21" ht="21.75" customHeight="1" x14ac:dyDescent="0.2">
      <c r="A30" s="1450">
        <v>15</v>
      </c>
      <c r="B30" s="2477" t="s">
        <v>626</v>
      </c>
      <c r="C30" s="2477"/>
      <c r="D30" s="2477"/>
      <c r="E30" s="2477"/>
      <c r="F30" s="1450"/>
      <c r="G30" s="1720" t="str">
        <f>IFERROR(HLOOKUP($I$5,PriorYr905!$E$265:$AH$283,12,FALSE),"")</f>
        <v/>
      </c>
      <c r="H30" s="1727"/>
      <c r="I30" s="2026"/>
      <c r="J30" s="1727"/>
      <c r="K30" s="2027"/>
      <c r="L30" s="1727"/>
      <c r="M30" s="2026"/>
      <c r="N30" s="1727"/>
      <c r="O30" s="2026"/>
      <c r="P30" s="1727"/>
      <c r="Q30" s="1719">
        <f t="shared" si="0"/>
        <v>0</v>
      </c>
      <c r="R30" s="1728"/>
      <c r="S30" s="1570"/>
      <c r="T30" s="1450"/>
      <c r="U30" s="1458">
        <v>12797300</v>
      </c>
    </row>
    <row r="31" spans="1:21" ht="21.75" customHeight="1" x14ac:dyDescent="0.2">
      <c r="A31" s="1450"/>
      <c r="B31" s="517" t="s">
        <v>627</v>
      </c>
      <c r="C31" s="2222"/>
      <c r="D31" s="2222"/>
      <c r="E31" s="2222"/>
      <c r="F31" s="1450"/>
      <c r="G31" s="1720"/>
      <c r="H31" s="1727"/>
      <c r="I31" s="2026"/>
      <c r="J31" s="1727"/>
      <c r="K31" s="2027"/>
      <c r="L31" s="1727"/>
      <c r="M31" s="2026"/>
      <c r="N31" s="1727"/>
      <c r="O31" s="2026"/>
      <c r="P31" s="1727"/>
      <c r="Q31" s="1719"/>
      <c r="R31" s="1728"/>
      <c r="S31" s="1570"/>
      <c r="T31" s="1450"/>
      <c r="U31" s="1458"/>
    </row>
    <row r="32" spans="1:21" ht="21.75" customHeight="1" x14ac:dyDescent="0.2">
      <c r="A32" s="1450"/>
      <c r="B32" s="2222" t="s">
        <v>628</v>
      </c>
      <c r="C32" s="2222"/>
      <c r="D32" s="2222"/>
      <c r="E32" s="2222"/>
      <c r="F32" s="1450"/>
      <c r="G32" s="1999" t="str">
        <f>IFERROR(HLOOKUP($I$5,PriorYr905!$E$265:$AH$283,12,FALSE),"")</f>
        <v/>
      </c>
      <c r="H32" s="1727"/>
      <c r="I32" s="2105"/>
      <c r="J32" s="1727"/>
      <c r="K32" s="2000"/>
      <c r="L32" s="1727"/>
      <c r="M32" s="1999">
        <v>0</v>
      </c>
      <c r="N32" s="1727"/>
      <c r="O32" s="1999">
        <v>0</v>
      </c>
      <c r="P32" s="1727"/>
      <c r="Q32" s="2001">
        <f>SUM(G32:P32)</f>
        <v>0</v>
      </c>
      <c r="R32" s="1728"/>
      <c r="S32" s="1571" t="s">
        <v>629</v>
      </c>
      <c r="T32" s="1450"/>
      <c r="U32" s="1458">
        <v>12797400</v>
      </c>
    </row>
    <row r="33" spans="1:21" ht="21.75" customHeight="1" x14ac:dyDescent="0.2">
      <c r="A33" s="1450"/>
      <c r="B33" s="2222" t="s">
        <v>630</v>
      </c>
      <c r="C33" s="2222"/>
      <c r="D33" s="2222"/>
      <c r="E33" s="2222"/>
      <c r="F33" s="1450"/>
      <c r="G33" s="1999" t="str">
        <f>IFERROR(HLOOKUP($I$5,PriorYr905!$E$265:$AH$283,12,FALSE),"")</f>
        <v/>
      </c>
      <c r="H33" s="1727"/>
      <c r="I33" s="2105"/>
      <c r="J33" s="1727"/>
      <c r="K33" s="1731"/>
      <c r="L33" s="1727"/>
      <c r="M33" s="1720">
        <v>0</v>
      </c>
      <c r="N33" s="1727"/>
      <c r="O33" s="1720">
        <v>0</v>
      </c>
      <c r="P33" s="1727"/>
      <c r="Q33" s="2001">
        <f>SUM(G33:P33)</f>
        <v>0</v>
      </c>
      <c r="R33" s="1728"/>
      <c r="S33" s="1571" t="s">
        <v>629</v>
      </c>
      <c r="T33" s="1450"/>
      <c r="U33" s="1458">
        <v>12797500</v>
      </c>
    </row>
    <row r="34" spans="1:21" ht="21.75" customHeight="1" thickBot="1" x14ac:dyDescent="0.25">
      <c r="A34" s="1450"/>
      <c r="B34" s="517" t="s">
        <v>690</v>
      </c>
      <c r="C34" s="282"/>
      <c r="D34" s="282"/>
      <c r="E34" s="282"/>
      <c r="F34" s="1450"/>
      <c r="G34" s="1721">
        <f>SUM(G17:G33)</f>
        <v>0</v>
      </c>
      <c r="H34" s="1727"/>
      <c r="I34" s="1721">
        <f>SUM(I17:I33)</f>
        <v>0</v>
      </c>
      <c r="J34" s="1727"/>
      <c r="K34" s="1721">
        <f>SUM(K17:K33)</f>
        <v>0</v>
      </c>
      <c r="L34" s="1727"/>
      <c r="M34" s="1721">
        <f>SUM(M17:M33)</f>
        <v>0</v>
      </c>
      <c r="N34" s="1727"/>
      <c r="O34" s="1721">
        <f>SUM(O17:O33)</f>
        <v>0</v>
      </c>
      <c r="P34" s="1727"/>
      <c r="Q34" s="1721">
        <f>SUM(Q17:Q33)</f>
        <v>0</v>
      </c>
      <c r="R34" s="1728"/>
      <c r="S34" s="1450"/>
      <c r="T34" s="1450">
        <f>SUM(I17:I30)</f>
        <v>0</v>
      </c>
    </row>
    <row r="35" spans="1:21" ht="13.5" thickTop="1" x14ac:dyDescent="0.2">
      <c r="A35" s="1450"/>
      <c r="B35" s="1732" t="s">
        <v>50</v>
      </c>
      <c r="C35" s="1732"/>
      <c r="D35" s="1732"/>
      <c r="E35" s="1732"/>
      <c r="F35" s="1450"/>
      <c r="G35" s="1450"/>
      <c r="H35" s="1450"/>
      <c r="I35" s="895" t="str">
        <f>IF(T34&gt;0,"Worksheet 430BTA must be completed"," ")</f>
        <v xml:space="preserve"> </v>
      </c>
      <c r="J35" s="1450"/>
      <c r="K35" s="1450"/>
      <c r="L35" s="1450"/>
      <c r="M35" s="1450"/>
      <c r="N35" s="1450"/>
      <c r="O35" s="1450"/>
      <c r="P35" s="1450"/>
      <c r="Q35" s="69"/>
      <c r="R35" s="1450"/>
      <c r="S35" s="1450"/>
      <c r="T35" s="1450"/>
    </row>
    <row r="36" spans="1:21" ht="15" customHeight="1" x14ac:dyDescent="0.2">
      <c r="A36" s="1450"/>
      <c r="B36" s="529" t="s">
        <v>691</v>
      </c>
      <c r="C36" s="529"/>
      <c r="D36" s="529"/>
      <c r="E36" s="529"/>
      <c r="F36" s="529"/>
      <c r="G36" s="529"/>
      <c r="H36" s="529"/>
      <c r="I36" s="529"/>
      <c r="J36" s="529"/>
      <c r="K36" s="529"/>
      <c r="L36" s="529"/>
      <c r="M36" s="529"/>
      <c r="N36" s="529"/>
      <c r="O36" s="529"/>
      <c r="P36" s="529"/>
      <c r="Q36" s="529"/>
      <c r="R36" s="1450"/>
      <c r="S36" s="1450"/>
      <c r="T36" s="1450"/>
    </row>
    <row r="37" spans="1:21" x14ac:dyDescent="0.2">
      <c r="A37" s="1450"/>
      <c r="B37" s="529" t="s">
        <v>692</v>
      </c>
      <c r="C37" s="529"/>
      <c r="D37" s="529"/>
      <c r="E37" s="529"/>
      <c r="F37" s="529"/>
      <c r="G37" s="529"/>
      <c r="H37" s="529"/>
      <c r="I37" s="529"/>
      <c r="J37" s="529"/>
      <c r="K37" s="529"/>
      <c r="L37" s="529"/>
      <c r="M37" s="529"/>
      <c r="N37" s="529"/>
      <c r="O37" s="529"/>
      <c r="P37" s="529"/>
      <c r="Q37" s="529"/>
      <c r="R37" s="1450"/>
      <c r="S37" s="1450"/>
      <c r="T37" s="1450"/>
    </row>
    <row r="38" spans="1:21" ht="12.75" customHeight="1" x14ac:dyDescent="0.2">
      <c r="A38" s="445" t="str">
        <f ca="1">MID(CELL("filename",A1),FIND("]",CELL("filename",A1))+1,256)</f>
        <v>210</v>
      </c>
      <c r="B38" s="791" t="s">
        <v>693</v>
      </c>
      <c r="C38" s="521"/>
      <c r="D38" s="791"/>
      <c r="E38" s="791"/>
      <c r="F38" s="791"/>
      <c r="G38" s="791"/>
      <c r="H38" s="791"/>
      <c r="I38" s="791"/>
      <c r="J38" s="791"/>
      <c r="K38" s="791"/>
      <c r="L38" s="791"/>
      <c r="M38" s="791"/>
      <c r="N38" s="791"/>
      <c r="O38" s="791"/>
      <c r="P38" s="791"/>
      <c r="Q38" s="791"/>
      <c r="R38" s="1450"/>
      <c r="S38" s="1450"/>
      <c r="T38" s="1450"/>
    </row>
    <row r="39" spans="1:21" ht="6.75" customHeight="1" x14ac:dyDescent="0.2">
      <c r="A39" s="445"/>
      <c r="B39" s="1450"/>
      <c r="C39" s="445"/>
      <c r="D39" s="1450"/>
      <c r="E39" s="1450"/>
      <c r="F39" s="1450"/>
      <c r="G39" s="1450"/>
      <c r="H39" s="1450"/>
      <c r="I39" s="1450"/>
      <c r="J39" s="1450"/>
      <c r="K39" s="1450"/>
      <c r="L39" s="1450"/>
      <c r="M39" s="1450"/>
      <c r="N39" s="1450"/>
      <c r="O39" s="1450"/>
      <c r="P39" s="1450"/>
      <c r="Q39" s="1450"/>
      <c r="R39" s="1450"/>
      <c r="S39" s="1450"/>
      <c r="T39" s="1450"/>
    </row>
    <row r="40" spans="1:21" s="529" customFormat="1" x14ac:dyDescent="0.2">
      <c r="B40" s="529" t="s">
        <v>694</v>
      </c>
      <c r="U40" s="1459"/>
    </row>
    <row r="41" spans="1:21" s="529" customFormat="1" ht="12.75" customHeight="1" x14ac:dyDescent="0.25">
      <c r="A41" s="530"/>
      <c r="B41" s="531" t="s">
        <v>695</v>
      </c>
      <c r="C41" s="530"/>
      <c r="Q41" s="585"/>
      <c r="U41" s="1459"/>
    </row>
    <row r="42" spans="1:21" s="529" customFormat="1" ht="12.75" customHeight="1" x14ac:dyDescent="0.25">
      <c r="A42" s="530"/>
      <c r="B42" s="791" t="s">
        <v>693</v>
      </c>
      <c r="C42" s="530"/>
      <c r="Q42" s="585"/>
      <c r="U42" s="1459"/>
    </row>
    <row r="43" spans="1:21" s="529" customFormat="1" ht="6" customHeight="1" x14ac:dyDescent="0.25">
      <c r="A43" s="530"/>
      <c r="B43" s="531"/>
      <c r="C43" s="530"/>
      <c r="Q43" s="585"/>
      <c r="U43" s="1459"/>
    </row>
    <row r="44" spans="1:21" s="529" customFormat="1" ht="12.75" customHeight="1" x14ac:dyDescent="0.25">
      <c r="A44" s="530"/>
      <c r="B44" s="531" t="s">
        <v>696</v>
      </c>
      <c r="C44" s="530"/>
      <c r="Q44" s="585"/>
      <c r="U44" s="1459"/>
    </row>
    <row r="45" spans="1:21" ht="20.100000000000001" customHeight="1" x14ac:dyDescent="0.25">
      <c r="A45" s="530"/>
      <c r="B45" s="445" t="s">
        <v>636</v>
      </c>
      <c r="C45" s="445"/>
      <c r="D45" s="1450"/>
      <c r="E45" s="1450"/>
      <c r="F45" s="1450"/>
      <c r="G45" s="1450"/>
      <c r="H45" s="1450"/>
      <c r="I45" s="1450"/>
      <c r="J45" s="1450"/>
      <c r="K45" s="1450"/>
      <c r="L45" s="1450"/>
      <c r="M45" s="1450"/>
      <c r="N45" s="1450"/>
      <c r="O45" s="1450"/>
      <c r="P45" s="1450"/>
      <c r="Q45" s="1450"/>
      <c r="R45" s="1450"/>
      <c r="S45" s="1450"/>
      <c r="T45" s="1450"/>
    </row>
    <row r="46" spans="1:21" ht="20.100000000000001" customHeight="1" x14ac:dyDescent="0.25">
      <c r="A46" s="530" t="s">
        <v>380</v>
      </c>
      <c r="B46" s="445" t="str">
        <f t="shared" ref="B46:B55" ca="1" si="1">IF(ISNA(INDEX(ErrorTable,MATCH($A$38&amp;$A46&amp;FALSE,ErrorKey,0),6)),"",INDEX(ErrorTable,MATCH($A$38&amp;$A46&amp;FALSE,ErrorKey,0),6))</f>
        <v>GASB number is blank.</v>
      </c>
      <c r="C46" s="445"/>
      <c r="D46" s="1450"/>
      <c r="E46" s="1450"/>
      <c r="F46" s="1450"/>
      <c r="G46" s="1450"/>
      <c r="H46" s="1450"/>
      <c r="I46" s="1450"/>
      <c r="J46" s="1450"/>
      <c r="K46" s="1450"/>
      <c r="L46" s="1450"/>
      <c r="M46" s="1450"/>
      <c r="N46" s="1450"/>
      <c r="O46" s="1450"/>
      <c r="P46" s="1450"/>
      <c r="Q46" s="1450"/>
      <c r="R46" s="1450"/>
      <c r="S46" s="1450"/>
      <c r="T46" s="1450"/>
    </row>
    <row r="47" spans="1:21" ht="20.100000000000001" customHeight="1" x14ac:dyDescent="0.25">
      <c r="A47" s="530" t="s">
        <v>381</v>
      </c>
      <c r="B47" s="445" t="str">
        <f t="shared" ca="1" si="1"/>
        <v/>
      </c>
      <c r="C47" s="445"/>
      <c r="D47" s="1450"/>
      <c r="E47" s="1450"/>
      <c r="F47" s="1450"/>
      <c r="G47" s="1450"/>
      <c r="H47" s="1450"/>
      <c r="I47" s="1450"/>
      <c r="J47" s="1450"/>
      <c r="K47" s="1450"/>
      <c r="L47" s="1450"/>
      <c r="M47" s="1450"/>
      <c r="N47" s="1450"/>
      <c r="O47" s="1450"/>
      <c r="P47" s="1450"/>
      <c r="Q47" s="1450"/>
      <c r="R47" s="1450"/>
      <c r="S47" s="1450"/>
      <c r="T47" s="1450"/>
    </row>
    <row r="48" spans="1:21" ht="20.100000000000001" customHeight="1" x14ac:dyDescent="0.25">
      <c r="A48" s="530" t="s">
        <v>382</v>
      </c>
      <c r="B48" s="445" t="str">
        <f t="shared" ca="1" si="1"/>
        <v/>
      </c>
      <c r="C48" s="445"/>
      <c r="D48" s="1450"/>
      <c r="E48" s="1450"/>
      <c r="F48" s="1450"/>
      <c r="G48" s="1450"/>
      <c r="H48" s="1450"/>
      <c r="I48" s="1450"/>
      <c r="J48" s="1450"/>
      <c r="K48" s="1450"/>
      <c r="L48" s="1450"/>
      <c r="M48" s="1450"/>
      <c r="N48" s="1450"/>
      <c r="O48" s="1450"/>
      <c r="P48" s="1450"/>
      <c r="Q48" s="1450"/>
      <c r="R48" s="1450"/>
      <c r="S48" s="1450"/>
      <c r="T48" s="1450"/>
    </row>
    <row r="49" spans="1:20" ht="20.100000000000001" customHeight="1" x14ac:dyDescent="0.2">
      <c r="A49" s="445" t="s">
        <v>383</v>
      </c>
      <c r="B49" s="445" t="str">
        <f t="shared" ca="1" si="1"/>
        <v/>
      </c>
      <c r="C49" s="445"/>
      <c r="D49" s="1450"/>
      <c r="E49" s="1450"/>
      <c r="F49" s="1450"/>
      <c r="G49" s="1450"/>
      <c r="H49" s="1450"/>
      <c r="I49" s="1450"/>
      <c r="J49" s="1450"/>
      <c r="K49" s="1450"/>
      <c r="L49" s="1450"/>
      <c r="M49" s="1450"/>
      <c r="N49" s="1450"/>
      <c r="O49" s="1450"/>
      <c r="P49" s="1450"/>
      <c r="Q49" s="1450"/>
      <c r="R49" s="1450"/>
      <c r="S49" s="1450"/>
      <c r="T49" s="1450"/>
    </row>
    <row r="50" spans="1:20" ht="20.100000000000001" customHeight="1" x14ac:dyDescent="0.2">
      <c r="A50" s="445" t="s">
        <v>384</v>
      </c>
      <c r="B50" s="445" t="str">
        <f t="shared" ca="1" si="1"/>
        <v/>
      </c>
      <c r="C50" s="445"/>
      <c r="D50" s="1450"/>
      <c r="E50" s="1450"/>
      <c r="F50" s="1450"/>
      <c r="G50" s="1450"/>
      <c r="H50" s="1450"/>
      <c r="I50" s="1450"/>
      <c r="J50" s="1450"/>
      <c r="K50" s="1450"/>
      <c r="L50" s="1450"/>
      <c r="M50" s="1450"/>
      <c r="N50" s="1450"/>
      <c r="O50" s="1450"/>
      <c r="P50" s="1450"/>
      <c r="Q50" s="1450"/>
      <c r="R50" s="1450"/>
      <c r="S50" s="1450"/>
      <c r="T50" s="1450"/>
    </row>
    <row r="51" spans="1:20" ht="20.100000000000001" customHeight="1" x14ac:dyDescent="0.2">
      <c r="A51" s="445" t="s">
        <v>385</v>
      </c>
      <c r="B51" s="445" t="str">
        <f t="shared" ca="1" si="1"/>
        <v/>
      </c>
      <c r="C51" s="445"/>
      <c r="D51" s="1450"/>
      <c r="E51" s="1450"/>
      <c r="F51" s="1450"/>
      <c r="G51" s="1450"/>
      <c r="H51" s="1450"/>
      <c r="I51" s="1450"/>
      <c r="J51" s="1450"/>
      <c r="K51" s="1450"/>
      <c r="L51" s="1450"/>
      <c r="M51" s="1450"/>
      <c r="N51" s="1450"/>
      <c r="O51" s="1450"/>
      <c r="P51" s="1450"/>
      <c r="Q51" s="1450"/>
      <c r="R51" s="1450"/>
      <c r="S51" s="1450"/>
      <c r="T51" s="1450"/>
    </row>
    <row r="52" spans="1:20" ht="20.100000000000001" customHeight="1" x14ac:dyDescent="0.2">
      <c r="A52" s="445" t="s">
        <v>386</v>
      </c>
      <c r="B52" s="445" t="str">
        <f t="shared" ca="1" si="1"/>
        <v/>
      </c>
      <c r="C52" s="1450"/>
      <c r="D52" s="1450"/>
      <c r="E52" s="1450"/>
      <c r="F52" s="1450"/>
      <c r="G52" s="1450"/>
      <c r="H52" s="1450"/>
      <c r="I52" s="1450"/>
      <c r="J52" s="1450"/>
      <c r="K52" s="1450"/>
      <c r="L52" s="1450"/>
      <c r="M52" s="1450"/>
      <c r="N52" s="1450"/>
      <c r="O52" s="1450"/>
      <c r="P52" s="1450"/>
      <c r="Q52" s="1450"/>
      <c r="R52" s="1450"/>
      <c r="S52" s="1450"/>
      <c r="T52" s="1450"/>
    </row>
    <row r="53" spans="1:20" ht="20.100000000000001" customHeight="1" x14ac:dyDescent="0.2">
      <c r="A53" s="445" t="s">
        <v>387</v>
      </c>
      <c r="B53" s="445" t="str">
        <f t="shared" ca="1" si="1"/>
        <v/>
      </c>
      <c r="C53" s="1450"/>
      <c r="D53" s="1450"/>
      <c r="E53" s="1450"/>
      <c r="F53" s="1450"/>
      <c r="G53" s="1450"/>
      <c r="H53" s="1450"/>
      <c r="I53" s="1450"/>
      <c r="J53" s="1450"/>
      <c r="K53" s="1450"/>
      <c r="L53" s="1450"/>
      <c r="M53" s="1450"/>
      <c r="N53" s="1450"/>
      <c r="O53" s="1450"/>
      <c r="P53" s="1450"/>
      <c r="Q53" s="1450"/>
      <c r="R53" s="1450"/>
      <c r="S53" s="283"/>
      <c r="T53" s="283"/>
    </row>
    <row r="54" spans="1:20" ht="20.100000000000001" customHeight="1" x14ac:dyDescent="0.2">
      <c r="A54" s="445" t="s">
        <v>388</v>
      </c>
      <c r="B54" s="445" t="str">
        <f t="shared" ca="1" si="1"/>
        <v/>
      </c>
      <c r="C54" s="1450"/>
      <c r="D54" s="1450"/>
      <c r="E54" s="1450"/>
      <c r="F54" s="1450"/>
      <c r="G54" s="1450"/>
      <c r="H54" s="1450"/>
      <c r="I54" s="1450"/>
      <c r="J54" s="1450"/>
      <c r="K54" s="1450"/>
      <c r="L54" s="1450"/>
      <c r="M54" s="1450"/>
      <c r="N54" s="1450"/>
      <c r="O54" s="1450"/>
      <c r="P54" s="1450"/>
      <c r="Q54" s="1450"/>
      <c r="R54" s="1450"/>
      <c r="S54" s="283"/>
      <c r="T54" s="283"/>
    </row>
    <row r="55" spans="1:20" ht="20.100000000000001" customHeight="1" x14ac:dyDescent="0.2">
      <c r="A55" s="445" t="s">
        <v>389</v>
      </c>
      <c r="B55" s="445" t="str">
        <f t="shared" ca="1" si="1"/>
        <v/>
      </c>
      <c r="C55" s="1450"/>
      <c r="D55" s="1450"/>
      <c r="E55" s="1450"/>
      <c r="F55" s="1450"/>
      <c r="G55" s="1450"/>
      <c r="H55" s="1450"/>
      <c r="I55" s="1450"/>
      <c r="J55" s="1450"/>
      <c r="K55" s="1450"/>
      <c r="L55" s="1450"/>
      <c r="M55" s="1450"/>
      <c r="N55" s="1450"/>
      <c r="O55" s="1450"/>
      <c r="P55" s="1450"/>
      <c r="Q55" s="1450"/>
      <c r="R55" s="1450"/>
      <c r="S55" s="283"/>
      <c r="T55" s="283"/>
    </row>
    <row r="56" spans="1:20" ht="20.100000000000001" customHeight="1" x14ac:dyDescent="0.2">
      <c r="A56" s="1450"/>
      <c r="B56" s="1450"/>
      <c r="C56" s="1450"/>
      <c r="D56" s="1450"/>
      <c r="E56" s="1450"/>
      <c r="F56" s="1450"/>
      <c r="G56" s="1450"/>
      <c r="H56" s="1450"/>
      <c r="I56" s="1450"/>
      <c r="J56" s="1450"/>
      <c r="K56" s="1450"/>
      <c r="L56" s="1450"/>
      <c r="M56" s="1450"/>
      <c r="N56" s="1450"/>
      <c r="O56" s="1450"/>
      <c r="P56" s="1450"/>
      <c r="Q56" s="1450"/>
      <c r="R56" s="1450"/>
      <c r="S56" s="283"/>
      <c r="T56" s="283"/>
    </row>
    <row r="57" spans="1:20" x14ac:dyDescent="0.2">
      <c r="A57" s="1450"/>
      <c r="B57" s="1450"/>
      <c r="C57" s="1450"/>
      <c r="D57" s="1450"/>
      <c r="E57" s="1450"/>
      <c r="F57" s="1450"/>
      <c r="G57" s="1450"/>
      <c r="H57" s="1450"/>
      <c r="I57" s="1450"/>
      <c r="J57" s="1450"/>
      <c r="K57" s="1450"/>
      <c r="L57" s="1450"/>
      <c r="M57" s="1450"/>
      <c r="N57" s="1450"/>
      <c r="O57" s="1450"/>
      <c r="P57" s="1450"/>
      <c r="Q57" s="1450"/>
      <c r="R57" s="1450"/>
      <c r="S57" s="283"/>
      <c r="T57" s="283"/>
    </row>
    <row r="58" spans="1:20" x14ac:dyDescent="0.2">
      <c r="A58" s="1450"/>
      <c r="B58" s="1450"/>
      <c r="C58" s="1450"/>
      <c r="D58" s="1450"/>
      <c r="E58" s="1450"/>
      <c r="F58" s="1450"/>
      <c r="G58" s="1450"/>
      <c r="H58" s="1450"/>
      <c r="I58" s="1450"/>
      <c r="J58" s="1450"/>
      <c r="K58" s="1450"/>
      <c r="L58" s="1450"/>
      <c r="M58" s="1450"/>
      <c r="N58" s="1450"/>
      <c r="O58" s="1450"/>
      <c r="P58" s="1450"/>
      <c r="Q58" s="1450"/>
      <c r="R58" s="1450"/>
      <c r="S58" s="283"/>
      <c r="T58" s="283"/>
    </row>
    <row r="59" spans="1:20" x14ac:dyDescent="0.2">
      <c r="A59" s="1450"/>
      <c r="B59" s="1450"/>
      <c r="C59" s="1450"/>
      <c r="D59" s="1450"/>
      <c r="E59" s="1450"/>
      <c r="F59" s="1450"/>
      <c r="G59" s="1450"/>
      <c r="H59" s="1450"/>
      <c r="I59" s="1450"/>
      <c r="J59" s="1450"/>
      <c r="K59" s="1450"/>
      <c r="L59" s="1450"/>
      <c r="M59" s="1450"/>
      <c r="N59" s="1450"/>
      <c r="O59" s="1450"/>
      <c r="P59" s="1450"/>
      <c r="Q59" s="1450"/>
      <c r="R59" s="1450"/>
      <c r="S59" s="283"/>
      <c r="T59" s="283"/>
    </row>
    <row r="60" spans="1:20" x14ac:dyDescent="0.2">
      <c r="A60" s="1450"/>
      <c r="B60" s="1450"/>
      <c r="C60" s="1450"/>
      <c r="D60" s="1450"/>
      <c r="E60" s="1450"/>
      <c r="F60" s="1450"/>
      <c r="G60" s="1450"/>
      <c r="H60" s="1450"/>
      <c r="I60" s="1450"/>
      <c r="J60" s="1450"/>
      <c r="K60" s="1450"/>
      <c r="L60" s="1450"/>
      <c r="M60" s="1450"/>
      <c r="N60" s="1450"/>
      <c r="O60" s="1450"/>
      <c r="P60" s="1450"/>
      <c r="Q60" s="1450"/>
      <c r="R60" s="1450"/>
      <c r="S60" s="283"/>
      <c r="T60" s="283"/>
    </row>
    <row r="61" spans="1:20" x14ac:dyDescent="0.2">
      <c r="A61" s="1450"/>
      <c r="B61" s="1450"/>
      <c r="C61" s="1450"/>
      <c r="D61" s="1450"/>
      <c r="E61" s="1450"/>
      <c r="F61" s="1450"/>
      <c r="G61" s="1450"/>
      <c r="H61" s="1450"/>
      <c r="I61" s="1450"/>
      <c r="J61" s="1450"/>
      <c r="K61" s="1450"/>
      <c r="L61" s="1450"/>
      <c r="M61" s="1450"/>
      <c r="N61" s="1450"/>
      <c r="O61" s="1450"/>
      <c r="P61" s="1450"/>
      <c r="Q61" s="1450"/>
      <c r="R61" s="1450"/>
      <c r="S61" s="283"/>
      <c r="T61" s="283"/>
    </row>
    <row r="62" spans="1:20" x14ac:dyDescent="0.2">
      <c r="A62" s="1450"/>
      <c r="B62" s="1450"/>
      <c r="C62" s="1450"/>
      <c r="D62" s="1450"/>
      <c r="E62" s="1450"/>
      <c r="F62" s="1450"/>
      <c r="G62" s="1450"/>
      <c r="H62" s="1450"/>
      <c r="I62" s="1450"/>
      <c r="J62" s="1450"/>
      <c r="K62" s="1450"/>
      <c r="L62" s="1450"/>
      <c r="M62" s="1450"/>
      <c r="N62" s="1450"/>
      <c r="O62" s="1450"/>
      <c r="P62" s="1450"/>
      <c r="Q62" s="1450"/>
      <c r="R62" s="1450"/>
      <c r="S62" s="283"/>
      <c r="T62" s="283"/>
    </row>
  </sheetData>
  <sheetProtection algorithmName="SHA-512" hashValue="XhgjkXnflXt+oi1+n+uDQV0cC5oKWVhJcqrKLsTsBW16ZzFYmKPm2PSO6PyTRtUw2SeZLzTO6GFjPATS3KvE7Q==" saltValue="5C2cdvgHdQEUrRKtFrVRZA==" spinCount="100000" sheet="1" objects="1" scenarios="1" autoFilter="0"/>
  <customSheetViews>
    <customSheetView guid="{9FCFC836-1CA5-48BF-958D-24D2EA94B219}" showGridLines="0" fitToPage="1" hiddenRows="1" hiddenColumns="1" topLeftCell="B1">
      <selection activeCell="B12" sqref="B12"/>
      <pageMargins left="0" right="0" top="0" bottom="0" header="0" footer="0"/>
      <printOptions horizontalCentered="1"/>
      <pageSetup pageOrder="overThenDown" orientation="landscape" r:id="rId1"/>
      <headerFooter alignWithMargins="0">
        <oddFooter>&amp;R&amp;A</oddFooter>
      </headerFooter>
    </customSheetView>
    <customSheetView guid="{B08879A4-635B-4C39-9937-AC7883D562FC}" showGridLines="0" fitToPage="1" hiddenRows="1" hiddenColumns="1" topLeftCell="B1">
      <selection activeCell="B12" sqref="B12"/>
      <pageMargins left="0" right="0" top="0" bottom="0" header="0" footer="0"/>
      <printOptions horizontalCentered="1"/>
      <pageSetup pageOrder="overThenDown" orientation="landscape" r:id="rId2"/>
      <headerFooter alignWithMargins="0">
        <oddFooter>&amp;R&amp;A</oddFooter>
      </headerFooter>
    </customSheetView>
  </customSheetViews>
  <mergeCells count="17">
    <mergeCell ref="B20:E20"/>
    <mergeCell ref="I6:Q6"/>
    <mergeCell ref="B1:Q1"/>
    <mergeCell ref="R1:R3"/>
    <mergeCell ref="B2:Q2"/>
    <mergeCell ref="B3:Q3"/>
    <mergeCell ref="I5:Q5"/>
    <mergeCell ref="I7:Q7"/>
    <mergeCell ref="I8:Q8"/>
    <mergeCell ref="B17:E17"/>
    <mergeCell ref="B18:E18"/>
    <mergeCell ref="B19:E19"/>
    <mergeCell ref="B28:E28"/>
    <mergeCell ref="B29:E29"/>
    <mergeCell ref="B30:E30"/>
    <mergeCell ref="B21:E21"/>
    <mergeCell ref="B25:E25"/>
  </mergeCells>
  <conditionalFormatting sqref="R1:R3">
    <cfRule type="cellIs" dxfId="145" priority="1" stopIfTrue="1" operator="equal">
      <formula>"na"</formula>
    </cfRule>
  </conditionalFormatting>
  <dataValidations count="4">
    <dataValidation type="textLength" operator="equal" allowBlank="1" showInputMessage="1" showErrorMessage="1" errorTitle="Invalid data!" error="GASB number must be 4 digits." promptTitle="Capital Assets GASB Number" prompt="For primary government governmental fund types, the GASB fund number for Capital Assets should be 5100." sqref="D7:D8" xr:uid="{00000000-0002-0000-0800-000002000000}">
      <formula1>4</formula1>
    </dataValidation>
    <dataValidation type="list" allowBlank="1" showInputMessage="1" showErrorMessage="1" sqref="D6" xr:uid="{5D7D52F9-666A-4CAB-A197-363F9AB0828B}">
      <formula1>"No Function,General government,Primary and secondary education, Higher education, Health and human services,Economic development, Environment and natural resources, Public safety, Transportation, Agriculture"</formula1>
    </dataValidation>
    <dataValidation type="decimal" operator="lessThanOrEqual" allowBlank="1" showErrorMessage="1" errorTitle="Invalid data!" error="Amount must be negative." sqref="O17:O31" xr:uid="{00000000-0002-0000-0800-000000000000}">
      <formula1>0</formula1>
    </dataValidation>
    <dataValidation type="decimal" operator="greaterThanOrEqual" allowBlank="1" showInputMessage="1" showErrorMessage="1" errorTitle="Invalid data!" error="Amount must be positive." sqref="M17:M31 I32:I33" xr:uid="{00000000-0002-0000-0800-000001000000}">
      <formula1>0</formula1>
    </dataValidation>
  </dataValidations>
  <hyperlinks>
    <hyperlink ref="B1:Q1" location="Index!A1" display="Index!A1" xr:uid="{00000000-0004-0000-0800-000000000000}"/>
  </hyperlinks>
  <pageMargins left="0.6" right="0.6" top="0.5" bottom="0.5" header="0.3" footer="0.3"/>
  <pageSetup scale="75" fitToHeight="0" orientation="landscape" r:id="rId3"/>
  <ignoredErrors>
    <ignoredError sqref="G17:G20 G23:G30" unlockedFormula="1"/>
    <ignoredError sqref="T34" formulaRange="1"/>
  </ignoredErrors>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8"/>
  <dimension ref="A1:AA74"/>
  <sheetViews>
    <sheetView showGridLines="0" zoomScaleNormal="100" zoomScaleSheetLayoutView="100" workbookViewId="0">
      <selection activeCell="Q27" sqref="Q27"/>
    </sheetView>
  </sheetViews>
  <sheetFormatPr defaultColWidth="9.42578125" defaultRowHeight="11.25" x14ac:dyDescent="0.2"/>
  <cols>
    <col min="1" max="1" width="3" style="28" customWidth="1"/>
    <col min="2" max="2" width="11.5703125" style="28" customWidth="1"/>
    <col min="3" max="3" width="2.5703125" style="28" customWidth="1"/>
    <col min="4" max="4" width="10.5703125" style="28" customWidth="1"/>
    <col min="5" max="5" width="2.5703125" style="28" customWidth="1"/>
    <col min="6" max="6" width="4.5703125" style="28" customWidth="1"/>
    <col min="7" max="7" width="2.5703125" style="28" customWidth="1"/>
    <col min="8" max="8" width="4.42578125" style="28" customWidth="1"/>
    <col min="9" max="9" width="14.5703125" style="28" customWidth="1"/>
    <col min="10" max="10" width="1.42578125" style="28" customWidth="1"/>
    <col min="11" max="11" width="8.42578125" style="28" customWidth="1"/>
    <col min="12" max="12" width="6.42578125" style="28" customWidth="1"/>
    <col min="13" max="13" width="15.5703125" style="28" customWidth="1"/>
    <col min="14" max="14" width="4.5703125" style="28" customWidth="1"/>
    <col min="15" max="16384" width="9.42578125" style="28"/>
  </cols>
  <sheetData>
    <row r="1" spans="1:27" s="29" customFormat="1" ht="15" customHeight="1" x14ac:dyDescent="0.25">
      <c r="A1" s="2455" t="str">
        <f>+Index!$A$1</f>
        <v xml:space="preserve">                                                               Office of the State Controller                                                                </v>
      </c>
      <c r="B1" s="2455"/>
      <c r="C1" s="2455"/>
      <c r="D1" s="2455"/>
      <c r="E1" s="2455"/>
      <c r="F1" s="2455"/>
      <c r="G1" s="2455"/>
      <c r="H1" s="2455"/>
      <c r="I1" s="2455"/>
      <c r="J1" s="2455"/>
      <c r="K1" s="2455"/>
      <c r="L1" s="2455"/>
      <c r="M1" s="2455"/>
      <c r="N1" s="2456" t="str">
        <f>IF(Index!$B$25="na","NA","")</f>
        <v/>
      </c>
      <c r="AA1" s="30"/>
    </row>
    <row r="2" spans="1:27" s="29" customFormat="1" ht="15" customHeight="1" x14ac:dyDescent="0.25">
      <c r="A2" s="2493" t="str">
        <f>+Index!$A$2</f>
        <v>2023 ACFR Worksheets</v>
      </c>
      <c r="B2" s="2493"/>
      <c r="C2" s="2493"/>
      <c r="D2" s="2493"/>
      <c r="E2" s="2493"/>
      <c r="F2" s="2493"/>
      <c r="G2" s="2493"/>
      <c r="H2" s="2493"/>
      <c r="I2" s="2493"/>
      <c r="J2" s="2493"/>
      <c r="K2" s="2493"/>
      <c r="L2" s="2493"/>
      <c r="M2" s="2493"/>
      <c r="N2" s="2456"/>
    </row>
    <row r="3" spans="1:27" s="29" customFormat="1" ht="15" customHeight="1" x14ac:dyDescent="0.25">
      <c r="A3" s="2493" t="s">
        <v>697</v>
      </c>
      <c r="B3" s="2493"/>
      <c r="C3" s="2493"/>
      <c r="D3" s="2493"/>
      <c r="E3" s="2493"/>
      <c r="F3" s="2493"/>
      <c r="G3" s="2493"/>
      <c r="H3" s="2493"/>
      <c r="I3" s="2493"/>
      <c r="J3" s="2493"/>
      <c r="K3" s="2493"/>
      <c r="L3" s="2493"/>
      <c r="M3" s="2493"/>
      <c r="N3" s="2456"/>
    </row>
    <row r="4" spans="1:27" s="89" customFormat="1" ht="15" customHeight="1" x14ac:dyDescent="0.2">
      <c r="A4" s="160"/>
      <c r="B4" s="160"/>
      <c r="C4" s="160"/>
      <c r="D4" s="160"/>
      <c r="E4" s="160"/>
      <c r="F4" s="160"/>
      <c r="G4" s="160"/>
      <c r="H4" s="2260"/>
      <c r="I4" s="160"/>
      <c r="J4" s="160"/>
      <c r="K4" s="160"/>
      <c r="L4" s="160"/>
      <c r="M4" s="160"/>
      <c r="N4" s="160"/>
      <c r="O4" s="160"/>
      <c r="P4" s="160"/>
      <c r="Q4" s="160"/>
      <c r="R4" s="160"/>
      <c r="S4" s="160"/>
      <c r="T4" s="160"/>
      <c r="U4" s="160"/>
      <c r="V4" s="160"/>
      <c r="W4" s="160"/>
      <c r="X4" s="160"/>
      <c r="Y4" s="160"/>
      <c r="Z4" s="160"/>
      <c r="AA4" s="160"/>
    </row>
    <row r="5" spans="1:27" s="89" customFormat="1" ht="15" customHeight="1" x14ac:dyDescent="0.2">
      <c r="A5" s="160"/>
      <c r="B5" s="160"/>
      <c r="C5" s="160"/>
      <c r="D5" s="2260"/>
      <c r="E5" s="160"/>
      <c r="F5" s="160"/>
      <c r="G5" s="160"/>
      <c r="H5" s="160"/>
      <c r="I5" s="1733" t="s">
        <v>317</v>
      </c>
      <c r="J5" s="2492" t="str">
        <f>+Index!$E$10</f>
        <v>01</v>
      </c>
      <c r="K5" s="2492"/>
      <c r="L5" s="2492"/>
      <c r="M5" s="2492"/>
      <c r="N5" s="160"/>
      <c r="O5" s="160"/>
      <c r="P5" s="160"/>
      <c r="Q5" s="160"/>
      <c r="R5" s="160"/>
      <c r="S5" s="160"/>
      <c r="T5" s="160"/>
      <c r="U5" s="160"/>
      <c r="V5" s="160"/>
      <c r="W5" s="160"/>
      <c r="X5" s="160"/>
      <c r="Y5" s="160"/>
      <c r="Z5" s="160"/>
      <c r="AA5" s="160"/>
    </row>
    <row r="6" spans="1:27" s="89" customFormat="1" ht="15" customHeight="1" x14ac:dyDescent="0.2">
      <c r="A6" s="160"/>
      <c r="B6" s="160"/>
      <c r="C6" s="160"/>
      <c r="D6" s="160"/>
      <c r="E6" s="160"/>
      <c r="F6" s="160"/>
      <c r="G6" s="160"/>
      <c r="H6" s="160"/>
      <c r="I6" s="1733" t="s">
        <v>318</v>
      </c>
      <c r="J6" s="2492" t="str">
        <f>+Index!$E$11</f>
        <v>North Carolina General Assembly</v>
      </c>
      <c r="K6" s="2492"/>
      <c r="L6" s="2492"/>
      <c r="M6" s="2492"/>
      <c r="N6" s="160"/>
      <c r="O6" s="160"/>
      <c r="P6" s="160"/>
      <c r="Q6" s="160"/>
      <c r="R6" s="160"/>
      <c r="S6" s="160"/>
      <c r="T6" s="160"/>
      <c r="U6" s="160"/>
      <c r="V6" s="160"/>
      <c r="W6" s="160"/>
      <c r="X6" s="160"/>
      <c r="Y6" s="160"/>
      <c r="Z6" s="160"/>
      <c r="AA6" s="160"/>
    </row>
    <row r="7" spans="1:27" s="89" customFormat="1" ht="15" customHeight="1" x14ac:dyDescent="0.2">
      <c r="A7" s="160" t="s">
        <v>568</v>
      </c>
      <c r="B7" s="160"/>
      <c r="C7" s="160"/>
      <c r="D7" s="2255" t="s">
        <v>698</v>
      </c>
      <c r="E7" s="1734"/>
      <c r="F7" s="160"/>
      <c r="G7" s="160"/>
      <c r="H7" s="160"/>
      <c r="I7" s="1733" t="s">
        <v>319</v>
      </c>
      <c r="J7" s="2494" t="str">
        <f>CONCATENATE(Index!$E$12," ",Index!$E$14)</f>
        <v xml:space="preserve"> </v>
      </c>
      <c r="K7" s="2494"/>
      <c r="L7" s="2494"/>
      <c r="M7" s="2494"/>
      <c r="N7" s="160"/>
      <c r="O7" s="160"/>
      <c r="P7" s="160"/>
      <c r="Q7" s="160"/>
      <c r="R7" s="160"/>
      <c r="S7" s="160"/>
      <c r="T7" s="160"/>
      <c r="U7" s="160"/>
      <c r="V7" s="160"/>
      <c r="W7" s="160"/>
      <c r="X7" s="160"/>
      <c r="Y7" s="160"/>
      <c r="Z7" s="160"/>
      <c r="AA7" s="160"/>
    </row>
    <row r="8" spans="1:27" s="89" customFormat="1" ht="15" customHeight="1" x14ac:dyDescent="0.2">
      <c r="A8" s="160"/>
      <c r="B8" s="160"/>
      <c r="C8" s="160"/>
      <c r="D8" s="2260"/>
      <c r="E8" s="160"/>
      <c r="F8" s="160"/>
      <c r="G8" s="160"/>
      <c r="H8" s="160"/>
      <c r="I8" s="1733" t="s">
        <v>71</v>
      </c>
      <c r="J8" s="2494">
        <f>+Index!$E$13</f>
        <v>0</v>
      </c>
      <c r="K8" s="2494"/>
      <c r="L8" s="2494"/>
      <c r="M8" s="2494"/>
      <c r="N8" s="160"/>
      <c r="O8" s="160"/>
      <c r="P8" s="160"/>
      <c r="Q8" s="160"/>
      <c r="R8" s="160"/>
      <c r="S8" s="160"/>
      <c r="T8" s="160"/>
      <c r="U8" s="160"/>
      <c r="V8" s="160"/>
      <c r="W8" s="160"/>
      <c r="X8" s="160"/>
      <c r="Y8" s="160"/>
      <c r="Z8" s="160"/>
      <c r="AA8" s="160"/>
    </row>
    <row r="9" spans="1:27" s="89" customFormat="1" ht="6" customHeight="1" thickBot="1" x14ac:dyDescent="0.25">
      <c r="A9" s="1735"/>
      <c r="B9" s="1735"/>
      <c r="C9" s="1735"/>
      <c r="D9" s="1735"/>
      <c r="E9" s="1735"/>
      <c r="F9" s="1735"/>
      <c r="G9" s="1735"/>
      <c r="H9" s="1735"/>
      <c r="I9" s="1735"/>
      <c r="J9" s="1735"/>
      <c r="K9" s="1735"/>
      <c r="L9" s="1735"/>
      <c r="M9" s="1735"/>
      <c r="N9" s="160"/>
      <c r="O9" s="160"/>
      <c r="P9" s="160"/>
      <c r="Q9" s="160"/>
      <c r="R9" s="160"/>
      <c r="S9" s="160"/>
      <c r="T9" s="160"/>
      <c r="U9" s="160"/>
      <c r="V9" s="160"/>
      <c r="W9" s="160"/>
      <c r="X9" s="160"/>
      <c r="Y9" s="160"/>
      <c r="Z9" s="160"/>
      <c r="AA9" s="160"/>
    </row>
    <row r="10" spans="1:27" s="89" customFormat="1" ht="11.1" customHeight="1" x14ac:dyDescent="0.2">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row>
    <row r="11" spans="1:27" s="89" customFormat="1" ht="15" customHeight="1" x14ac:dyDescent="0.2">
      <c r="A11" s="306" t="s">
        <v>699</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row>
    <row r="12" spans="1:27" s="89" customFormat="1" ht="12.75" customHeight="1" x14ac:dyDescent="0.2">
      <c r="A12" s="306" t="s">
        <v>700</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row>
    <row r="13" spans="1:27" s="89" customFormat="1" ht="9" customHeight="1" x14ac:dyDescent="0.2">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row>
    <row r="14" spans="1:27" s="89" customFormat="1" ht="12.75" customHeight="1" x14ac:dyDescent="0.2">
      <c r="A14" s="2495" t="s">
        <v>701</v>
      </c>
      <c r="B14" s="2383"/>
      <c r="C14" s="2383"/>
      <c r="D14" s="2383"/>
      <c r="E14" s="2383"/>
      <c r="F14" s="2383"/>
      <c r="G14" s="2383"/>
      <c r="H14" s="2383"/>
      <c r="I14" s="2383"/>
      <c r="J14" s="2383"/>
      <c r="K14" s="2383"/>
      <c r="L14" s="2383"/>
      <c r="M14" s="2383"/>
      <c r="N14" s="160"/>
      <c r="O14" s="160"/>
      <c r="P14" s="160"/>
      <c r="Q14" s="160"/>
      <c r="R14" s="160"/>
      <c r="S14" s="160"/>
      <c r="T14" s="160"/>
      <c r="U14" s="160"/>
      <c r="V14" s="160"/>
      <c r="W14" s="160"/>
      <c r="X14" s="160"/>
      <c r="Y14" s="160"/>
      <c r="Z14" s="160"/>
      <c r="AA14" s="160"/>
    </row>
    <row r="15" spans="1:27" s="89" customFormat="1" ht="12.75" customHeight="1" x14ac:dyDescent="0.2">
      <c r="A15" s="2495" t="s">
        <v>702</v>
      </c>
      <c r="B15" s="2383"/>
      <c r="C15" s="2383"/>
      <c r="D15" s="2383"/>
      <c r="E15" s="2383"/>
      <c r="F15" s="2383"/>
      <c r="G15" s="2383"/>
      <c r="H15" s="2383"/>
      <c r="I15" s="2383"/>
      <c r="J15" s="2383"/>
      <c r="K15" s="2383"/>
      <c r="L15" s="2383"/>
      <c r="M15" s="2383"/>
      <c r="N15" s="160"/>
      <c r="O15" s="160"/>
      <c r="P15" s="160"/>
      <c r="Q15" s="160"/>
      <c r="R15" s="160"/>
      <c r="S15" s="160"/>
      <c r="T15" s="160"/>
      <c r="U15" s="160"/>
      <c r="V15" s="160"/>
      <c r="W15" s="160"/>
      <c r="X15" s="160"/>
      <c r="Y15" s="160"/>
      <c r="Z15" s="160"/>
      <c r="AA15" s="160"/>
    </row>
    <row r="16" spans="1:27" s="89" customFormat="1" ht="12.75" customHeight="1" x14ac:dyDescent="0.2">
      <c r="A16" s="2496" t="s">
        <v>703</v>
      </c>
      <c r="B16" s="2383"/>
      <c r="C16" s="2383"/>
      <c r="D16" s="2383"/>
      <c r="E16" s="2383"/>
      <c r="F16" s="2383"/>
      <c r="G16" s="2383"/>
      <c r="H16" s="2383"/>
      <c r="I16" s="2383"/>
      <c r="J16" s="2383"/>
      <c r="K16" s="2383"/>
      <c r="L16" s="2383"/>
      <c r="M16" s="2383"/>
      <c r="N16" s="160"/>
      <c r="O16" s="160"/>
      <c r="P16" s="160"/>
      <c r="Q16" s="160"/>
      <c r="R16" s="160"/>
      <c r="S16" s="160"/>
      <c r="T16" s="160"/>
      <c r="U16" s="160"/>
      <c r="V16" s="160"/>
      <c r="W16" s="160"/>
      <c r="X16" s="160"/>
      <c r="Y16" s="160"/>
      <c r="Z16" s="160"/>
      <c r="AA16" s="160"/>
    </row>
    <row r="17" spans="1:13" s="89" customFormat="1" ht="12.75" customHeight="1" x14ac:dyDescent="0.2">
      <c r="A17" s="2491" t="s">
        <v>704</v>
      </c>
      <c r="B17" s="2491"/>
      <c r="C17" s="2491"/>
      <c r="D17" s="2491"/>
      <c r="E17" s="2257"/>
      <c r="F17" s="2257"/>
      <c r="G17" s="2257"/>
      <c r="H17" s="2257"/>
      <c r="I17" s="2257"/>
      <c r="J17" s="2257"/>
      <c r="K17" s="2257"/>
      <c r="L17" s="2257"/>
      <c r="M17" s="2257"/>
    </row>
    <row r="18" spans="1:13" s="89" customFormat="1" ht="8.1" customHeight="1" x14ac:dyDescent="0.2">
      <c r="A18" s="2227"/>
      <c r="B18" s="2257"/>
      <c r="C18" s="2257"/>
      <c r="D18" s="2257"/>
      <c r="E18" s="2257"/>
      <c r="F18" s="2257"/>
      <c r="G18" s="2257"/>
      <c r="H18" s="2257"/>
      <c r="I18" s="2257"/>
      <c r="J18" s="2257"/>
      <c r="K18" s="2257"/>
      <c r="L18" s="2257"/>
      <c r="M18" s="2257"/>
    </row>
    <row r="19" spans="1:13" s="89" customFormat="1" ht="12.75" customHeight="1" x14ac:dyDescent="0.2">
      <c r="A19" s="160" t="s">
        <v>705</v>
      </c>
      <c r="B19" s="160"/>
      <c r="C19" s="2257"/>
      <c r="D19" s="2257"/>
      <c r="E19" s="2257"/>
      <c r="F19" s="2257"/>
      <c r="G19" s="2257"/>
      <c r="H19" s="2257"/>
      <c r="I19" s="2257"/>
      <c r="J19" s="2257"/>
      <c r="K19" s="2257"/>
      <c r="L19" s="2257"/>
      <c r="M19" s="2257"/>
    </row>
    <row r="20" spans="1:13" s="89" customFormat="1" ht="12.75" customHeight="1" x14ac:dyDescent="0.2">
      <c r="A20" s="160" t="s">
        <v>706</v>
      </c>
      <c r="B20" s="160"/>
      <c r="C20" s="2257"/>
      <c r="D20" s="2257"/>
      <c r="E20" s="2257"/>
      <c r="F20" s="2257"/>
      <c r="G20" s="2257"/>
      <c r="H20" s="2257"/>
      <c r="I20" s="2257"/>
      <c r="J20" s="2257"/>
      <c r="K20" s="2257"/>
      <c r="L20" s="2257"/>
      <c r="M20" s="2257"/>
    </row>
    <row r="21" spans="1:13" s="89" customFormat="1" ht="8.1" customHeight="1" x14ac:dyDescent="0.2">
      <c r="A21" s="160"/>
      <c r="B21" s="160"/>
      <c r="C21" s="160"/>
      <c r="D21" s="160"/>
      <c r="E21" s="160"/>
      <c r="F21" s="160"/>
      <c r="G21" s="160"/>
      <c r="H21" s="160"/>
      <c r="I21" s="160"/>
      <c r="J21" s="160"/>
      <c r="K21" s="160"/>
      <c r="L21" s="160"/>
      <c r="M21" s="160"/>
    </row>
    <row r="22" spans="1:13" s="89" customFormat="1" ht="12.75" customHeight="1" x14ac:dyDescent="0.2">
      <c r="A22" s="160" t="s">
        <v>707</v>
      </c>
      <c r="B22" s="160"/>
      <c r="C22" s="160"/>
      <c r="D22" s="160"/>
      <c r="E22" s="160"/>
      <c r="F22" s="160"/>
      <c r="G22" s="160"/>
      <c r="H22" s="160"/>
      <c r="I22" s="160"/>
      <c r="J22" s="160"/>
      <c r="K22" s="160"/>
      <c r="L22" s="160"/>
      <c r="M22" s="160"/>
    </row>
    <row r="23" spans="1:13" s="89" customFormat="1" ht="12.75" customHeight="1" x14ac:dyDescent="0.2">
      <c r="A23" s="160"/>
      <c r="B23" s="160"/>
      <c r="C23" s="160"/>
      <c r="D23" s="160"/>
      <c r="E23" s="160"/>
      <c r="F23" s="160"/>
      <c r="G23" s="160"/>
      <c r="H23" s="160"/>
      <c r="I23" s="160"/>
      <c r="J23" s="160"/>
      <c r="K23" s="160"/>
      <c r="L23" s="160"/>
      <c r="M23" s="160"/>
    </row>
    <row r="24" spans="1:13" s="89" customFormat="1" ht="6" customHeight="1" x14ac:dyDescent="0.2">
      <c r="A24" s="160"/>
      <c r="B24" s="160"/>
      <c r="C24" s="160"/>
      <c r="D24" s="160"/>
      <c r="E24" s="160"/>
      <c r="F24" s="160"/>
      <c r="G24" s="160"/>
      <c r="H24" s="160"/>
      <c r="I24" s="160"/>
      <c r="J24" s="160"/>
      <c r="K24" s="160"/>
      <c r="L24" s="160"/>
      <c r="M24" s="160"/>
    </row>
    <row r="25" spans="1:13" s="89" customFormat="1" ht="12.75" customHeight="1" x14ac:dyDescent="0.2">
      <c r="A25" s="1642" t="s">
        <v>708</v>
      </c>
      <c r="B25" s="921" t="s">
        <v>709</v>
      </c>
      <c r="C25" s="1736"/>
      <c r="D25" s="921"/>
      <c r="E25" s="921"/>
      <c r="F25" s="921"/>
      <c r="G25" s="921"/>
      <c r="H25" s="921"/>
      <c r="I25" s="921"/>
      <c r="J25" s="921"/>
      <c r="K25" s="921"/>
      <c r="L25" s="160"/>
      <c r="M25" s="160"/>
    </row>
    <row r="26" spans="1:13" s="89" customFormat="1" ht="4.3499999999999996" customHeight="1" x14ac:dyDescent="0.2">
      <c r="A26" s="1642"/>
      <c r="B26" s="308"/>
      <c r="C26" s="160"/>
      <c r="D26" s="160"/>
      <c r="E26" s="160"/>
      <c r="F26" s="160"/>
      <c r="G26" s="160"/>
      <c r="H26" s="160"/>
      <c r="I26" s="160"/>
      <c r="J26" s="160"/>
      <c r="K26" s="2260"/>
      <c r="L26" s="90"/>
      <c r="M26" s="160"/>
    </row>
    <row r="27" spans="1:13" s="89" customFormat="1" ht="12.75" customHeight="1" x14ac:dyDescent="0.2">
      <c r="A27" s="1642" t="s">
        <v>710</v>
      </c>
      <c r="B27" s="160" t="s">
        <v>711</v>
      </c>
      <c r="C27" s="921"/>
      <c r="D27" s="160"/>
      <c r="E27" s="160"/>
      <c r="F27" s="160"/>
      <c r="G27" s="160"/>
      <c r="H27" s="160"/>
      <c r="I27" s="160"/>
      <c r="J27" s="160"/>
      <c r="K27" s="2260"/>
      <c r="L27" s="90"/>
      <c r="M27" s="160"/>
    </row>
    <row r="28" spans="1:13" s="89" customFormat="1" ht="12.75" customHeight="1" x14ac:dyDescent="0.2">
      <c r="A28" s="1642"/>
      <c r="B28" s="160" t="s">
        <v>712</v>
      </c>
      <c r="C28" s="921"/>
      <c r="D28" s="160"/>
      <c r="E28" s="160"/>
      <c r="F28" s="160"/>
      <c r="G28" s="160"/>
      <c r="H28" s="160"/>
      <c r="I28" s="160"/>
      <c r="J28" s="160"/>
      <c r="K28" s="2260"/>
      <c r="L28" s="90"/>
      <c r="M28" s="160"/>
    </row>
    <row r="29" spans="1:13" s="89" customFormat="1" ht="12.75" customHeight="1" x14ac:dyDescent="0.2">
      <c r="A29" s="1642"/>
      <c r="B29" s="160" t="s">
        <v>713</v>
      </c>
      <c r="C29" s="921"/>
      <c r="D29" s="160"/>
      <c r="E29" s="160"/>
      <c r="F29" s="160"/>
      <c r="G29" s="160"/>
      <c r="H29" s="160"/>
      <c r="I29" s="160"/>
      <c r="J29" s="160"/>
      <c r="K29" s="2260"/>
      <c r="L29" s="90"/>
      <c r="M29" s="1410"/>
    </row>
    <row r="30" spans="1:13" s="89" customFormat="1" ht="6" customHeight="1" x14ac:dyDescent="0.2">
      <c r="A30" s="2228"/>
      <c r="B30" s="921"/>
      <c r="C30" s="1736"/>
      <c r="D30" s="921"/>
      <c r="E30" s="921"/>
      <c r="F30" s="921"/>
      <c r="G30" s="921"/>
      <c r="H30" s="921"/>
      <c r="I30" s="921"/>
      <c r="J30" s="921"/>
      <c r="K30" s="921"/>
      <c r="L30" s="160"/>
      <c r="M30" s="160"/>
    </row>
    <row r="31" spans="1:13" s="89" customFormat="1" ht="12" customHeight="1" x14ac:dyDescent="0.2">
      <c r="A31" s="1642" t="s">
        <v>714</v>
      </c>
      <c r="B31" s="921" t="s">
        <v>715</v>
      </c>
      <c r="C31" s="1736"/>
      <c r="D31" s="921"/>
      <c r="E31" s="921"/>
      <c r="F31" s="921"/>
      <c r="G31" s="921"/>
      <c r="H31" s="921"/>
      <c r="I31" s="921"/>
      <c r="J31" s="921"/>
      <c r="K31" s="921"/>
      <c r="L31" s="160"/>
      <c r="M31" s="160"/>
    </row>
    <row r="32" spans="1:13" s="89" customFormat="1" ht="12.6" customHeight="1" x14ac:dyDescent="0.2">
      <c r="A32" s="1642"/>
      <c r="B32" s="1643" t="s">
        <v>716</v>
      </c>
      <c r="C32" s="1736"/>
      <c r="D32" s="921"/>
      <c r="E32" s="921"/>
      <c r="F32" s="921"/>
      <c r="G32" s="921"/>
      <c r="H32" s="921"/>
      <c r="I32" s="921"/>
      <c r="J32" s="921"/>
      <c r="K32" s="921"/>
      <c r="L32" s="160"/>
      <c r="M32" s="160"/>
    </row>
    <row r="33" spans="1:13" s="89" customFormat="1" ht="12.6" customHeight="1" x14ac:dyDescent="0.2">
      <c r="A33" s="1642"/>
      <c r="B33" s="1643"/>
      <c r="C33" s="1736"/>
      <c r="D33" s="921"/>
      <c r="E33" s="921"/>
      <c r="F33" s="921"/>
      <c r="G33" s="921"/>
      <c r="H33" s="921"/>
      <c r="I33" s="921"/>
      <c r="J33" s="921"/>
      <c r="K33" s="921"/>
      <c r="L33" s="160"/>
      <c r="M33" s="160"/>
    </row>
    <row r="34" spans="1:13" s="89" customFormat="1" ht="16.899999999999999" customHeight="1" x14ac:dyDescent="0.2">
      <c r="A34" s="2082" t="s">
        <v>717</v>
      </c>
      <c r="B34" s="921" t="s">
        <v>718</v>
      </c>
      <c r="C34" s="1736"/>
      <c r="D34" s="921"/>
      <c r="E34" s="921"/>
      <c r="F34" s="921"/>
      <c r="G34" s="921"/>
      <c r="H34" s="921"/>
      <c r="I34" s="921"/>
      <c r="J34" s="921"/>
      <c r="K34" s="921"/>
      <c r="L34" s="160"/>
      <c r="M34" s="160"/>
    </row>
    <row r="35" spans="1:13" s="89" customFormat="1" ht="13.9" customHeight="1" x14ac:dyDescent="0.2">
      <c r="A35" s="2081"/>
      <c r="B35" s="2081" t="s">
        <v>719</v>
      </c>
      <c r="C35" s="1736"/>
      <c r="D35" s="921"/>
      <c r="E35" s="921"/>
      <c r="F35" s="921"/>
      <c r="G35" s="921"/>
      <c r="H35" s="921"/>
      <c r="I35" s="921"/>
      <c r="J35" s="921"/>
      <c r="K35" s="921"/>
      <c r="L35" s="160"/>
      <c r="M35" s="160"/>
    </row>
    <row r="36" spans="1:13" s="89" customFormat="1" ht="6" customHeight="1" x14ac:dyDescent="0.2">
      <c r="A36" s="2228"/>
      <c r="B36" s="921"/>
      <c r="C36" s="1736"/>
      <c r="D36" s="921"/>
      <c r="E36" s="921"/>
      <c r="F36" s="921"/>
      <c r="G36" s="921"/>
      <c r="H36" s="921"/>
      <c r="I36" s="921"/>
      <c r="J36" s="921"/>
      <c r="K36" s="921"/>
      <c r="L36" s="160"/>
      <c r="M36" s="160"/>
    </row>
    <row r="37" spans="1:13" s="89" customFormat="1" ht="12.75" customHeight="1" x14ac:dyDescent="0.2">
      <c r="A37" s="307" t="s">
        <v>720</v>
      </c>
      <c r="B37" s="921"/>
      <c r="C37" s="1736"/>
      <c r="D37" s="921"/>
      <c r="E37" s="921"/>
      <c r="F37" s="921"/>
      <c r="G37" s="921"/>
      <c r="H37" s="921"/>
      <c r="I37" s="921"/>
      <c r="J37" s="921"/>
      <c r="K37" s="921"/>
      <c r="L37" s="160"/>
      <c r="M37" s="160"/>
    </row>
    <row r="38" spans="1:13" s="89" customFormat="1" ht="4.3499999999999996" customHeight="1" x14ac:dyDescent="0.2">
      <c r="A38" s="1643"/>
      <c r="B38" s="921"/>
      <c r="C38" s="1736"/>
      <c r="D38" s="921"/>
      <c r="E38" s="921"/>
      <c r="F38" s="921"/>
      <c r="G38" s="921"/>
      <c r="H38" s="921"/>
      <c r="I38" s="921"/>
      <c r="J38" s="921"/>
      <c r="K38" s="921"/>
      <c r="L38" s="160"/>
      <c r="M38" s="160"/>
    </row>
    <row r="39" spans="1:13" s="89" customFormat="1" ht="13.35" customHeight="1" x14ac:dyDescent="0.2">
      <c r="A39" s="1642" t="s">
        <v>721</v>
      </c>
      <c r="B39" s="921" t="s">
        <v>722</v>
      </c>
      <c r="C39" s="1736"/>
      <c r="D39" s="921"/>
      <c r="E39" s="921"/>
      <c r="F39" s="921"/>
      <c r="G39" s="921"/>
      <c r="H39" s="921"/>
      <c r="I39" s="921"/>
      <c r="J39" s="921"/>
      <c r="K39" s="921"/>
      <c r="L39" s="160"/>
      <c r="M39" s="1737"/>
    </row>
    <row r="40" spans="1:13" s="89" customFormat="1" ht="13.35" customHeight="1" x14ac:dyDescent="0.2">
      <c r="A40" s="1642"/>
      <c r="B40" s="309" t="s">
        <v>723</v>
      </c>
      <c r="C40" s="1736"/>
      <c r="D40" s="921"/>
      <c r="E40" s="921"/>
      <c r="F40" s="921"/>
      <c r="G40" s="921"/>
      <c r="H40" s="921"/>
      <c r="I40" s="921"/>
      <c r="J40" s="921"/>
      <c r="K40" s="921"/>
      <c r="L40" s="160"/>
      <c r="M40" s="1738"/>
    </row>
    <row r="41" spans="1:13" s="89" customFormat="1" ht="13.5" customHeight="1" x14ac:dyDescent="0.2">
      <c r="A41" s="1642"/>
      <c r="B41" s="921" t="s">
        <v>724</v>
      </c>
      <c r="C41" s="1736"/>
      <c r="D41" s="921"/>
      <c r="E41" s="921"/>
      <c r="F41" s="921"/>
      <c r="G41" s="921"/>
      <c r="H41" s="921"/>
      <c r="I41" s="921"/>
      <c r="J41" s="921"/>
      <c r="K41" s="921"/>
      <c r="L41" s="160"/>
      <c r="M41" s="1739"/>
    </row>
    <row r="42" spans="1:13" s="89" customFormat="1" ht="14.1" customHeight="1" thickBot="1" x14ac:dyDescent="0.25">
      <c r="A42" s="1642"/>
      <c r="B42" s="921" t="s">
        <v>725</v>
      </c>
      <c r="C42" s="1736"/>
      <c r="D42" s="921"/>
      <c r="E42" s="921"/>
      <c r="F42" s="921"/>
      <c r="G42" s="921"/>
      <c r="H42" s="921"/>
      <c r="I42" s="921"/>
      <c r="J42" s="921"/>
      <c r="K42" s="921"/>
      <c r="L42" s="160"/>
      <c r="M42" s="1740">
        <f>M40+M41</f>
        <v>0</v>
      </c>
    </row>
    <row r="43" spans="1:13" s="89" customFormat="1" ht="4.3499999999999996" customHeight="1" thickTop="1" x14ac:dyDescent="0.2">
      <c r="A43" s="1642"/>
      <c r="B43" s="921"/>
      <c r="C43" s="1736"/>
      <c r="D43" s="921"/>
      <c r="E43" s="921"/>
      <c r="F43" s="921"/>
      <c r="G43" s="921"/>
      <c r="H43" s="921"/>
      <c r="I43" s="921"/>
      <c r="J43" s="921"/>
      <c r="K43" s="921"/>
      <c r="L43" s="160"/>
      <c r="M43" s="160"/>
    </row>
    <row r="44" spans="1:13" s="89" customFormat="1" ht="12.75" customHeight="1" x14ac:dyDescent="0.2">
      <c r="A44" s="1642" t="s">
        <v>726</v>
      </c>
      <c r="B44" s="921" t="s">
        <v>727</v>
      </c>
      <c r="C44" s="1736"/>
      <c r="D44" s="921"/>
      <c r="E44" s="921"/>
      <c r="F44" s="921"/>
      <c r="G44" s="921"/>
      <c r="H44" s="921"/>
      <c r="I44" s="921"/>
      <c r="J44" s="921"/>
      <c r="K44" s="921"/>
      <c r="L44" s="160"/>
      <c r="M44" s="160"/>
    </row>
    <row r="45" spans="1:13" s="89" customFormat="1" ht="12.75" customHeight="1" x14ac:dyDescent="0.2">
      <c r="A45" s="1642"/>
      <c r="B45" s="1643" t="s">
        <v>728</v>
      </c>
      <c r="C45" s="1736"/>
      <c r="D45" s="921"/>
      <c r="E45" s="921"/>
      <c r="F45" s="921"/>
      <c r="G45" s="921"/>
      <c r="H45" s="921"/>
      <c r="I45" s="921"/>
      <c r="J45" s="921"/>
      <c r="K45" s="921"/>
      <c r="L45" s="160"/>
      <c r="M45" s="1738"/>
    </row>
    <row r="46" spans="1:13" s="89" customFormat="1" ht="6" customHeight="1" x14ac:dyDescent="0.2">
      <c r="A46" s="1642"/>
      <c r="B46" s="1741"/>
      <c r="C46" s="1736"/>
      <c r="D46" s="921"/>
      <c r="E46" s="921"/>
      <c r="F46" s="921"/>
      <c r="G46" s="921"/>
      <c r="H46" s="921"/>
      <c r="I46" s="921"/>
      <c r="J46" s="921"/>
      <c r="K46" s="921"/>
      <c r="L46" s="160"/>
      <c r="M46" s="160"/>
    </row>
    <row r="47" spans="1:13" s="89" customFormat="1" ht="6" customHeight="1" x14ac:dyDescent="0.2">
      <c r="A47" s="1642"/>
      <c r="B47" s="1741"/>
      <c r="C47" s="1736"/>
      <c r="D47" s="921"/>
      <c r="E47" s="921"/>
      <c r="F47" s="921"/>
      <c r="G47" s="921"/>
      <c r="H47" s="921"/>
      <c r="I47" s="921"/>
      <c r="J47" s="921"/>
      <c r="K47" s="921"/>
      <c r="L47" s="160"/>
      <c r="M47" s="160"/>
    </row>
    <row r="48" spans="1:13" s="89" customFormat="1" ht="6" customHeight="1" x14ac:dyDescent="0.2">
      <c r="A48" s="1642"/>
      <c r="B48" s="1741"/>
      <c r="C48" s="1736"/>
      <c r="D48" s="921"/>
      <c r="E48" s="921"/>
      <c r="F48" s="921"/>
      <c r="G48" s="921"/>
      <c r="H48" s="921"/>
      <c r="I48" s="921"/>
      <c r="J48" s="921"/>
      <c r="K48" s="921"/>
      <c r="L48" s="160"/>
      <c r="M48" s="160"/>
    </row>
    <row r="49" spans="1:14" s="89" customFormat="1" ht="12.75" customHeight="1" x14ac:dyDescent="0.2">
      <c r="A49" s="310" t="s">
        <v>729</v>
      </c>
      <c r="B49" s="160"/>
      <c r="C49" s="1736"/>
      <c r="D49" s="921"/>
      <c r="E49" s="921"/>
      <c r="F49" s="921"/>
      <c r="G49" s="921"/>
      <c r="H49" s="921"/>
      <c r="I49" s="921"/>
      <c r="J49" s="921"/>
      <c r="K49" s="921"/>
      <c r="L49" s="160"/>
      <c r="M49" s="160"/>
      <c r="N49" s="160"/>
    </row>
    <row r="50" spans="1:14" s="89" customFormat="1" ht="4.3499999999999996" customHeight="1" x14ac:dyDescent="0.2">
      <c r="A50" s="1742"/>
      <c r="B50" s="921"/>
      <c r="C50" s="1736"/>
      <c r="D50" s="921"/>
      <c r="E50" s="921"/>
      <c r="F50" s="921"/>
      <c r="G50" s="921"/>
      <c r="H50" s="921"/>
      <c r="I50" s="921"/>
      <c r="J50" s="921"/>
      <c r="K50" s="921"/>
      <c r="L50" s="160"/>
      <c r="M50" s="160"/>
      <c r="N50" s="160"/>
    </row>
    <row r="51" spans="1:14" s="89" customFormat="1" ht="13.35" customHeight="1" x14ac:dyDescent="0.2">
      <c r="A51" s="1642" t="s">
        <v>730</v>
      </c>
      <c r="B51" s="921" t="s">
        <v>731</v>
      </c>
      <c r="C51" s="1736"/>
      <c r="D51" s="921"/>
      <c r="E51" s="921"/>
      <c r="F51" s="921"/>
      <c r="G51" s="921"/>
      <c r="H51" s="921"/>
      <c r="I51" s="921"/>
      <c r="J51" s="921"/>
      <c r="K51" s="921"/>
      <c r="L51" s="160"/>
      <c r="M51" s="1737"/>
      <c r="N51" s="160"/>
    </row>
    <row r="52" spans="1:14" s="89" customFormat="1" ht="13.35" customHeight="1" x14ac:dyDescent="0.2">
      <c r="A52" s="1642"/>
      <c r="B52" s="309" t="s">
        <v>732</v>
      </c>
      <c r="C52" s="1736"/>
      <c r="D52" s="921"/>
      <c r="E52" s="921"/>
      <c r="F52" s="921"/>
      <c r="G52" s="921"/>
      <c r="H52" s="921"/>
      <c r="I52" s="921"/>
      <c r="J52" s="921"/>
      <c r="K52" s="921"/>
      <c r="L52" s="160"/>
      <c r="M52" s="1738"/>
      <c r="N52" s="160"/>
    </row>
    <row r="53" spans="1:14" s="89" customFormat="1" ht="13.5" customHeight="1" x14ac:dyDescent="0.2">
      <c r="A53" s="1642"/>
      <c r="B53" s="921" t="s">
        <v>733</v>
      </c>
      <c r="C53" s="1736"/>
      <c r="D53" s="921"/>
      <c r="E53" s="921"/>
      <c r="F53" s="921"/>
      <c r="G53" s="921"/>
      <c r="H53" s="921"/>
      <c r="I53" s="921"/>
      <c r="J53" s="921"/>
      <c r="K53" s="921"/>
      <c r="L53" s="160"/>
      <c r="M53" s="1743"/>
      <c r="N53" s="160"/>
    </row>
    <row r="54" spans="1:14" s="89" customFormat="1" ht="13.5" customHeight="1" x14ac:dyDescent="0.2">
      <c r="A54" s="1642"/>
      <c r="B54" s="921" t="s">
        <v>734</v>
      </c>
      <c r="C54" s="1736"/>
      <c r="D54" s="921"/>
      <c r="E54" s="921"/>
      <c r="F54" s="921"/>
      <c r="G54" s="921"/>
      <c r="H54" s="921"/>
      <c r="I54" s="921"/>
      <c r="J54" s="921"/>
      <c r="K54" s="921"/>
      <c r="L54" s="160"/>
      <c r="M54" s="1743"/>
      <c r="N54" s="160"/>
    </row>
    <row r="55" spans="1:14" s="89" customFormat="1" ht="14.1" customHeight="1" thickBot="1" x14ac:dyDescent="0.25">
      <c r="A55" s="1642"/>
      <c r="B55" s="1643" t="s">
        <v>735</v>
      </c>
      <c r="C55" s="1736"/>
      <c r="D55" s="921"/>
      <c r="E55" s="921"/>
      <c r="F55" s="921"/>
      <c r="G55" s="921"/>
      <c r="H55" s="921"/>
      <c r="I55" s="921"/>
      <c r="J55" s="921"/>
      <c r="K55" s="921"/>
      <c r="L55" s="160"/>
      <c r="M55" s="1740">
        <f>M52+M54</f>
        <v>0</v>
      </c>
      <c r="N55" s="1737"/>
    </row>
    <row r="56" spans="1:14" s="89" customFormat="1" ht="4.3499999999999996" customHeight="1" thickTop="1" x14ac:dyDescent="0.2">
      <c r="A56" s="1742"/>
      <c r="B56" s="921"/>
      <c r="C56" s="1736"/>
      <c r="D56" s="921"/>
      <c r="E56" s="921"/>
      <c r="F56" s="921"/>
      <c r="G56" s="921"/>
      <c r="H56" s="921"/>
      <c r="I56" s="921"/>
      <c r="J56" s="921"/>
      <c r="K56" s="921"/>
      <c r="L56" s="160"/>
      <c r="M56" s="160"/>
      <c r="N56" s="160"/>
    </row>
    <row r="57" spans="1:14" s="89" customFormat="1" ht="12.75" customHeight="1" x14ac:dyDescent="0.2">
      <c r="A57" s="1642" t="s">
        <v>736</v>
      </c>
      <c r="B57" s="921" t="s">
        <v>737</v>
      </c>
      <c r="C57" s="921"/>
      <c r="D57" s="921"/>
      <c r="E57" s="921"/>
      <c r="F57" s="921"/>
      <c r="G57" s="921"/>
      <c r="H57" s="921"/>
      <c r="I57" s="921"/>
      <c r="J57" s="921"/>
      <c r="K57" s="921"/>
      <c r="L57" s="160"/>
      <c r="M57" s="160"/>
      <c r="N57" s="160"/>
    </row>
    <row r="58" spans="1:14" s="89" customFormat="1" ht="12.75" customHeight="1" x14ac:dyDescent="0.2">
      <c r="A58" s="921"/>
      <c r="B58" s="1741" t="s">
        <v>738</v>
      </c>
      <c r="C58" s="921"/>
      <c r="D58" s="921"/>
      <c r="E58" s="921"/>
      <c r="F58" s="921"/>
      <c r="G58" s="921"/>
      <c r="H58" s="921"/>
      <c r="I58" s="921"/>
      <c r="J58" s="921"/>
      <c r="K58" s="921"/>
      <c r="L58" s="160"/>
      <c r="M58" s="1738"/>
      <c r="N58" s="160"/>
    </row>
    <row r="59" spans="1:14" s="89" customFormat="1" ht="4.3499999999999996" customHeight="1" x14ac:dyDescent="0.2">
      <c r="A59" s="921"/>
      <c r="B59" s="1741"/>
      <c r="C59" s="921"/>
      <c r="D59" s="921"/>
      <c r="E59" s="921"/>
      <c r="F59" s="921"/>
      <c r="G59" s="921"/>
      <c r="H59" s="921"/>
      <c r="I59" s="921"/>
      <c r="J59" s="921"/>
      <c r="K59" s="921"/>
      <c r="L59" s="160"/>
      <c r="M59" s="160"/>
      <c r="N59" s="160"/>
    </row>
    <row r="60" spans="1:14" s="89" customFormat="1" ht="12.75" customHeight="1" x14ac:dyDescent="0.2">
      <c r="A60" s="1644" t="s">
        <v>739</v>
      </c>
      <c r="B60" s="921" t="s">
        <v>737</v>
      </c>
      <c r="C60" s="921"/>
      <c r="D60" s="921"/>
      <c r="E60" s="921"/>
      <c r="F60" s="921"/>
      <c r="G60" s="921"/>
      <c r="H60" s="921"/>
      <c r="I60" s="921"/>
      <c r="J60" s="921"/>
      <c r="K60" s="921"/>
      <c r="L60" s="160"/>
      <c r="M60" s="160"/>
      <c r="N60" s="160"/>
    </row>
    <row r="61" spans="1:14" s="89" customFormat="1" ht="12.75" customHeight="1" x14ac:dyDescent="0.2">
      <c r="A61" s="921"/>
      <c r="B61" s="1741" t="s">
        <v>740</v>
      </c>
      <c r="C61" s="921"/>
      <c r="D61" s="921"/>
      <c r="E61" s="921"/>
      <c r="F61" s="921"/>
      <c r="G61" s="921"/>
      <c r="H61" s="921"/>
      <c r="I61" s="921"/>
      <c r="J61" s="921"/>
      <c r="K61" s="921"/>
      <c r="L61" s="160"/>
      <c r="M61" s="1738"/>
      <c r="N61" s="160"/>
    </row>
    <row r="62" spans="1:14" s="89" customFormat="1" ht="12.75" customHeight="1" x14ac:dyDescent="0.2">
      <c r="A62" s="921"/>
      <c r="B62" s="1741"/>
      <c r="C62" s="921"/>
      <c r="D62" s="921"/>
      <c r="E62" s="921"/>
      <c r="F62" s="921"/>
      <c r="G62" s="921"/>
      <c r="H62" s="921"/>
      <c r="I62" s="921"/>
      <c r="J62" s="921"/>
      <c r="K62" s="921"/>
      <c r="L62" s="160"/>
      <c r="M62" s="1743"/>
      <c r="N62" s="160"/>
    </row>
    <row r="63" spans="1:14" s="89" customFormat="1" ht="12.75" customHeight="1" x14ac:dyDescent="0.2">
      <c r="A63" s="921"/>
      <c r="B63" s="1741"/>
      <c r="C63" s="921"/>
      <c r="D63" s="921"/>
      <c r="E63" s="921"/>
      <c r="F63" s="921"/>
      <c r="G63" s="921"/>
      <c r="H63" s="921"/>
      <c r="I63" s="921"/>
      <c r="J63" s="921"/>
      <c r="K63" s="921"/>
      <c r="L63" s="160"/>
      <c r="M63" s="1743"/>
      <c r="N63" s="160"/>
    </row>
    <row r="64" spans="1:14" s="89" customFormat="1" ht="10.35" customHeight="1" x14ac:dyDescent="0.2">
      <c r="A64" s="921"/>
      <c r="B64" s="160"/>
      <c r="C64" s="921"/>
      <c r="D64" s="921"/>
      <c r="E64" s="921"/>
      <c r="F64" s="921"/>
      <c r="G64" s="921"/>
      <c r="H64" s="921"/>
      <c r="I64" s="921"/>
      <c r="J64" s="921"/>
      <c r="K64" s="921"/>
      <c r="L64" s="160"/>
      <c r="M64" s="160"/>
      <c r="N64" s="160"/>
    </row>
    <row r="65" spans="1:14" s="89" customFormat="1" ht="12.75" customHeight="1" x14ac:dyDescent="0.2">
      <c r="A65" s="921"/>
      <c r="B65" s="160"/>
      <c r="C65" s="921"/>
      <c r="D65" s="921"/>
      <c r="E65" s="921"/>
      <c r="F65" s="921"/>
      <c r="G65" s="921"/>
      <c r="H65" s="921"/>
      <c r="I65" s="921"/>
      <c r="J65" s="921"/>
      <c r="K65" s="921"/>
      <c r="L65" s="160"/>
      <c r="M65" s="160"/>
      <c r="N65" s="160"/>
    </row>
    <row r="66" spans="1:14" s="89" customFormat="1" ht="12.75" customHeight="1" x14ac:dyDescent="0.2">
      <c r="A66" s="921"/>
      <c r="B66" s="160"/>
      <c r="C66" s="921"/>
      <c r="D66" s="921"/>
      <c r="E66" s="921"/>
      <c r="F66" s="921"/>
      <c r="G66" s="921"/>
      <c r="H66" s="921"/>
      <c r="I66" s="921"/>
      <c r="J66" s="921"/>
      <c r="K66" s="921"/>
      <c r="L66" s="160"/>
      <c r="M66" s="160"/>
      <c r="N66" s="160"/>
    </row>
    <row r="67" spans="1:14" s="89" customFormat="1" ht="12.75" customHeight="1" x14ac:dyDescent="0.2">
      <c r="A67" s="921"/>
      <c r="B67" s="160"/>
      <c r="C67" s="921"/>
      <c r="D67" s="921"/>
      <c r="E67" s="921"/>
      <c r="F67" s="921"/>
      <c r="G67" s="921"/>
      <c r="H67" s="921"/>
      <c r="I67" s="921"/>
      <c r="J67" s="921"/>
      <c r="K67" s="921"/>
      <c r="L67" s="160"/>
      <c r="M67" s="160"/>
      <c r="N67" s="160"/>
    </row>
    <row r="68" spans="1:14" s="89" customFormat="1" ht="12.75" customHeight="1" x14ac:dyDescent="0.2">
      <c r="A68" s="921"/>
      <c r="B68" s="160"/>
      <c r="C68" s="921"/>
      <c r="D68" s="921"/>
      <c r="E68" s="921"/>
      <c r="F68" s="921"/>
      <c r="G68" s="921"/>
      <c r="H68" s="921"/>
      <c r="I68" s="921"/>
      <c r="J68" s="921"/>
      <c r="K68" s="921"/>
      <c r="L68" s="160"/>
      <c r="M68" s="160"/>
      <c r="N68" s="160"/>
    </row>
    <row r="69" spans="1:14" s="89" customFormat="1" ht="12.75" customHeight="1" x14ac:dyDescent="0.2">
      <c r="A69" s="921"/>
      <c r="B69" s="160"/>
      <c r="C69" s="921"/>
      <c r="D69" s="921"/>
      <c r="E69" s="921"/>
      <c r="F69" s="921"/>
      <c r="G69" s="921"/>
      <c r="H69" s="921"/>
      <c r="I69" s="921"/>
      <c r="J69" s="921"/>
      <c r="K69" s="921"/>
      <c r="L69" s="160"/>
      <c r="M69" s="160"/>
      <c r="N69" s="160"/>
    </row>
    <row r="70" spans="1:14" s="89" customFormat="1" ht="12.75" customHeight="1" x14ac:dyDescent="0.2">
      <c r="A70" s="921"/>
      <c r="B70" s="160"/>
      <c r="C70" s="921"/>
      <c r="D70" s="921"/>
      <c r="E70" s="921"/>
      <c r="F70" s="921"/>
      <c r="G70" s="921"/>
      <c r="H70" s="921"/>
      <c r="I70" s="921"/>
      <c r="J70" s="921"/>
      <c r="K70" s="921"/>
      <c r="L70" s="160"/>
      <c r="M70" s="160"/>
      <c r="N70" s="160"/>
    </row>
    <row r="71" spans="1:14" s="89" customFormat="1" ht="12.75" customHeight="1" x14ac:dyDescent="0.2">
      <c r="A71" s="310" t="s">
        <v>741</v>
      </c>
      <c r="B71" s="160"/>
      <c r="C71" s="921"/>
      <c r="D71" s="921"/>
      <c r="E71" s="921"/>
      <c r="F71" s="921"/>
      <c r="G71" s="921"/>
      <c r="H71" s="921"/>
      <c r="I71" s="921"/>
      <c r="J71" s="921"/>
      <c r="K71" s="921"/>
      <c r="L71" s="160"/>
      <c r="M71" s="160"/>
      <c r="N71" s="160"/>
    </row>
    <row r="72" spans="1:14" s="89" customFormat="1" ht="12.75" customHeight="1" x14ac:dyDescent="0.2">
      <c r="A72" s="160" t="s">
        <v>742</v>
      </c>
      <c r="B72" s="160"/>
      <c r="C72" s="160"/>
      <c r="D72" s="160"/>
      <c r="E72" s="160"/>
      <c r="F72" s="160"/>
      <c r="G72" s="160"/>
      <c r="H72" s="160"/>
      <c r="I72" s="160"/>
      <c r="J72" s="160"/>
      <c r="K72" s="160"/>
      <c r="L72" s="160"/>
      <c r="M72" s="160"/>
      <c r="N72" s="160"/>
    </row>
    <row r="73" spans="1:14" s="89" customFormat="1" ht="12.75" customHeight="1" x14ac:dyDescent="0.2">
      <c r="A73" s="159" t="s">
        <v>743</v>
      </c>
      <c r="B73" s="160"/>
      <c r="C73" s="160"/>
      <c r="D73" s="160"/>
      <c r="E73" s="160"/>
      <c r="F73" s="160"/>
      <c r="G73" s="160"/>
      <c r="H73" s="160"/>
      <c r="I73" s="160"/>
      <c r="J73" s="160"/>
      <c r="K73" s="90"/>
      <c r="L73" s="160"/>
      <c r="M73" s="160"/>
      <c r="N73" s="160"/>
    </row>
    <row r="74" spans="1:14" s="89" customFormat="1" ht="12.75" customHeight="1" x14ac:dyDescent="0.2">
      <c r="A74" s="160"/>
      <c r="B74" s="160"/>
      <c r="C74" s="160"/>
      <c r="D74" s="160"/>
      <c r="E74" s="160"/>
      <c r="F74" s="160"/>
      <c r="G74" s="160"/>
      <c r="H74" s="160"/>
      <c r="I74" s="160"/>
      <c r="J74" s="160"/>
      <c r="K74" s="160"/>
      <c r="L74" s="160"/>
      <c r="M74" s="160"/>
      <c r="N74" s="160"/>
    </row>
  </sheetData>
  <sheetProtection algorithmName="SHA-512" hashValue="fe+nT24mmxT/Hh99Rbq1E3w/z3p2ak4y7vWwlqHF3dghhUagcelMs5qgHSLfvqdPigs3alCwiPQPaQ6+W+MNeQ==" saltValue="yWRPzSo4IVnM+4hyWjXLnw==" spinCount="100000" sheet="1" objects="1" scenarios="1" autoFilter="0"/>
  <customSheetViews>
    <customSheetView guid="{9FCFC836-1CA5-48BF-958D-24D2EA94B219}" showGridLines="0" fitToPage="1">
      <selection sqref="A1:M1"/>
      <pageMargins left="0" right="0" top="0" bottom="0" header="0" footer="0"/>
      <pageSetup scale="89" orientation="portrait" r:id="rId1"/>
      <headerFooter alignWithMargins="0">
        <oddFooter>&amp;R&amp;A</oddFooter>
      </headerFooter>
    </customSheetView>
    <customSheetView guid="{B08879A4-635B-4C39-9937-AC7883D562FC}" showGridLines="0" fitToPage="1">
      <selection sqref="A1:M1"/>
      <pageMargins left="0" right="0" top="0" bottom="0" header="0" footer="0"/>
      <pageSetup scale="89" orientation="portrait" r:id="rId2"/>
      <headerFooter alignWithMargins="0">
        <oddFooter>&amp;R&amp;A</oddFooter>
      </headerFooter>
    </customSheetView>
  </customSheetViews>
  <mergeCells count="12">
    <mergeCell ref="A17:D17"/>
    <mergeCell ref="N1:N3"/>
    <mergeCell ref="J5:M5"/>
    <mergeCell ref="J6:M6"/>
    <mergeCell ref="A1:M1"/>
    <mergeCell ref="A2:M2"/>
    <mergeCell ref="A3:M3"/>
    <mergeCell ref="J7:M7"/>
    <mergeCell ref="A14:M14"/>
    <mergeCell ref="A15:M15"/>
    <mergeCell ref="A16:M16"/>
    <mergeCell ref="J8:M8"/>
  </mergeCells>
  <phoneticPr fontId="16" type="noConversion"/>
  <conditionalFormatting sqref="N1:N3">
    <cfRule type="cellIs" dxfId="144" priority="1" stopIfTrue="1" operator="equal">
      <formula>"na"</formula>
    </cfRule>
  </conditionalFormatting>
  <hyperlinks>
    <hyperlink ref="A1:M1" location="Index!A1" display="Index!A1" xr:uid="{00000000-0004-0000-0900-000000000000}"/>
    <hyperlink ref="A17:D17" r:id="rId3" display="NC OSC Policy 102.13" xr:uid="{00000000-0004-0000-0900-000001000000}"/>
  </hyperlinks>
  <pageMargins left="0.6" right="0.6" top="0.5" bottom="0.5" header="0.3" footer="0.3"/>
  <pageSetup scale="85" orientation="portrait" r:id="rId4"/>
  <ignoredErrors>
    <ignoredError sqref="A50 A41:A43 A25:A31 A38 A53 A55:A56 A45 A58:A59" numberStoredAsText="1"/>
  </ignoredError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O134"/>
  <sheetViews>
    <sheetView showGridLines="0" zoomScaleNormal="100" workbookViewId="0"/>
  </sheetViews>
  <sheetFormatPr defaultRowHeight="12.75" x14ac:dyDescent="0.2"/>
  <cols>
    <col min="1" max="2" width="1.5703125" customWidth="1"/>
    <col min="3" max="3" width="11" customWidth="1"/>
    <col min="4" max="4" width="40.42578125" customWidth="1"/>
    <col min="5" max="5" width="2.42578125" customWidth="1"/>
    <col min="6" max="6" width="12.5703125" customWidth="1"/>
    <col min="7" max="7" width="16.42578125" customWidth="1"/>
    <col min="8" max="8" width="4.5703125" customWidth="1"/>
    <col min="9" max="9" width="1.5703125" customWidth="1"/>
    <col min="10" max="10" width="6.42578125" bestFit="1" customWidth="1"/>
    <col min="11" max="11" width="12.42578125" style="1463" bestFit="1" customWidth="1"/>
    <col min="12" max="12" width="24.85546875" style="1461" customWidth="1"/>
    <col min="13" max="13" width="20.5703125" style="1463" customWidth="1"/>
    <col min="14" max="15" width="9.140625" style="1463"/>
  </cols>
  <sheetData>
    <row r="1" spans="1:15" s="71" customFormat="1" ht="15" customHeight="1" x14ac:dyDescent="0.25">
      <c r="B1" s="2455" t="str">
        <f>+Index!$A$1</f>
        <v xml:space="preserve">                                                               Office of the State Controller                                                                </v>
      </c>
      <c r="C1" s="2455"/>
      <c r="D1" s="2455"/>
      <c r="E1" s="2455"/>
      <c r="F1" s="2455"/>
      <c r="G1" s="2455"/>
      <c r="H1" s="2456" t="str">
        <f>IF(Index!$B$26="na","NA","")</f>
        <v/>
      </c>
      <c r="I1" s="72"/>
      <c r="K1" s="1460"/>
      <c r="L1" s="1461"/>
      <c r="M1" s="1460"/>
      <c r="N1" s="1460"/>
      <c r="O1" s="1460"/>
    </row>
    <row r="2" spans="1:15" s="71" customFormat="1" ht="15" customHeight="1" x14ac:dyDescent="0.25">
      <c r="B2" s="2457" t="str">
        <f>+Index!$A$2</f>
        <v>2023 ACFR Worksheets</v>
      </c>
      <c r="C2" s="2457"/>
      <c r="D2" s="2457"/>
      <c r="E2" s="2457"/>
      <c r="F2" s="2457"/>
      <c r="G2" s="2457"/>
      <c r="H2" s="2456"/>
      <c r="I2" s="72"/>
      <c r="K2" s="1460"/>
      <c r="L2" s="1461"/>
      <c r="M2" s="1460"/>
      <c r="N2" s="1460"/>
      <c r="O2" s="1460"/>
    </row>
    <row r="3" spans="1:15" s="71" customFormat="1" ht="15" customHeight="1" x14ac:dyDescent="0.25">
      <c r="B3" s="2457" t="s">
        <v>744</v>
      </c>
      <c r="C3" s="2457"/>
      <c r="D3" s="2457"/>
      <c r="E3" s="2457"/>
      <c r="F3" s="2457"/>
      <c r="G3" s="2457"/>
      <c r="H3" s="2456"/>
      <c r="I3" s="72"/>
      <c r="K3" s="1460"/>
      <c r="L3" s="1461"/>
      <c r="M3" s="1460"/>
      <c r="N3" s="1460"/>
      <c r="O3" s="1460"/>
    </row>
    <row r="4" spans="1:15" s="71" customFormat="1" ht="15" customHeight="1" x14ac:dyDescent="0.25">
      <c r="B4" s="2216"/>
      <c r="C4" s="2216"/>
      <c r="D4" s="2216"/>
      <c r="E4" s="2216"/>
      <c r="F4" s="73"/>
      <c r="G4" s="2216"/>
      <c r="H4" s="2215"/>
      <c r="I4" s="72"/>
      <c r="K4" s="1460"/>
      <c r="L4" s="1461"/>
      <c r="M4" s="1460"/>
      <c r="N4" s="1460"/>
      <c r="O4" s="1460"/>
    </row>
    <row r="5" spans="1:15" s="86" customFormat="1" ht="15" customHeight="1" x14ac:dyDescent="0.2">
      <c r="A5" s="27" t="s">
        <v>317</v>
      </c>
      <c r="B5" s="27"/>
      <c r="C5" s="27"/>
      <c r="D5" s="1698" t="str">
        <f>+Index!$E$10</f>
        <v>01</v>
      </c>
      <c r="E5" s="27"/>
      <c r="F5" s="27"/>
      <c r="G5" s="27"/>
      <c r="H5" s="378"/>
      <c r="I5" s="1695"/>
      <c r="J5" s="27"/>
      <c r="K5" s="1462"/>
      <c r="L5" s="1461"/>
      <c r="M5" s="1462"/>
      <c r="N5" s="1462"/>
      <c r="O5" s="1462"/>
    </row>
    <row r="6" spans="1:15" s="86" customFormat="1" ht="15" customHeight="1" x14ac:dyDescent="0.2">
      <c r="A6" s="27" t="s">
        <v>318</v>
      </c>
      <c r="B6" s="27"/>
      <c r="C6" s="27"/>
      <c r="D6" s="1698" t="str">
        <f>+Index!$E$11</f>
        <v>North Carolina General Assembly</v>
      </c>
      <c r="E6" s="27"/>
      <c r="F6" s="27"/>
      <c r="G6" s="27"/>
      <c r="H6" s="27"/>
      <c r="I6" s="27"/>
      <c r="J6" s="27"/>
      <c r="K6" s="1462"/>
      <c r="L6" s="1461"/>
      <c r="M6" s="1462"/>
      <c r="N6" s="1462"/>
      <c r="O6" s="1462"/>
    </row>
    <row r="7" spans="1:15" s="86" customFormat="1" ht="15" customHeight="1" x14ac:dyDescent="0.2">
      <c r="A7" s="27" t="s">
        <v>319</v>
      </c>
      <c r="B7" s="27"/>
      <c r="C7" s="27"/>
      <c r="D7" s="1699" t="str">
        <f>CONCATENATE(Index!$E$12," ",Index!$E$14)</f>
        <v xml:space="preserve"> </v>
      </c>
      <c r="E7" s="27"/>
      <c r="F7" s="27"/>
      <c r="G7" s="27"/>
      <c r="H7" s="27"/>
      <c r="I7" s="27"/>
      <c r="J7" s="27"/>
      <c r="K7" s="1462"/>
      <c r="L7" s="1461"/>
      <c r="M7" s="1462"/>
      <c r="N7" s="1462"/>
      <c r="O7" s="1462"/>
    </row>
    <row r="8" spans="1:15" s="86" customFormat="1" ht="15" customHeight="1" x14ac:dyDescent="0.2">
      <c r="A8" s="27" t="s">
        <v>71</v>
      </c>
      <c r="B8" s="27"/>
      <c r="C8" s="27"/>
      <c r="D8" s="1699">
        <f>+Index!$E$13</f>
        <v>0</v>
      </c>
      <c r="E8" s="27"/>
      <c r="F8" s="27"/>
      <c r="G8" s="27"/>
      <c r="H8" s="27"/>
      <c r="I8" s="27"/>
      <c r="J8" s="27"/>
      <c r="K8" s="1462"/>
      <c r="L8" s="1461"/>
      <c r="M8" s="1462"/>
      <c r="N8" s="1462"/>
      <c r="O8" s="1462"/>
    </row>
    <row r="9" spans="1:15" s="86" customFormat="1" ht="7.5" customHeight="1" thickBot="1" x14ac:dyDescent="0.25">
      <c r="A9" s="1702"/>
      <c r="B9" s="1702"/>
      <c r="C9" s="1702"/>
      <c r="D9" s="1702"/>
      <c r="E9" s="1702"/>
      <c r="F9" s="1702"/>
      <c r="G9" s="1702"/>
      <c r="H9" s="27"/>
      <c r="I9" s="27"/>
      <c r="J9" s="27"/>
      <c r="K9" s="1462"/>
      <c r="L9" s="1461"/>
      <c r="M9" s="1462"/>
      <c r="N9" s="1462"/>
      <c r="O9" s="1462"/>
    </row>
    <row r="10" spans="1:15" x14ac:dyDescent="0.2">
      <c r="A10" s="314" t="s">
        <v>745</v>
      </c>
    </row>
    <row r="11" spans="1:15" x14ac:dyDescent="0.2">
      <c r="A11" s="831" t="s">
        <v>746</v>
      </c>
    </row>
    <row r="12" spans="1:15" x14ac:dyDescent="0.2">
      <c r="A12" s="831" t="s">
        <v>393</v>
      </c>
    </row>
    <row r="13" spans="1:15" x14ac:dyDescent="0.2">
      <c r="A13" s="831"/>
      <c r="K13" s="1463" t="s">
        <v>747</v>
      </c>
      <c r="L13" s="1463" t="s">
        <v>748</v>
      </c>
      <c r="M13" s="1463" t="s">
        <v>749</v>
      </c>
      <c r="N13" s="1463" t="s">
        <v>750</v>
      </c>
      <c r="O13" s="1463" t="s">
        <v>751</v>
      </c>
    </row>
    <row r="14" spans="1:15" s="191" customFormat="1" ht="12" x14ac:dyDescent="0.2">
      <c r="A14" s="1744" t="s">
        <v>752</v>
      </c>
      <c r="B14" s="187"/>
      <c r="C14" s="187"/>
      <c r="D14" s="187"/>
      <c r="K14" s="1461"/>
      <c r="L14" s="1461"/>
      <c r="M14" s="1461"/>
      <c r="N14" s="1461"/>
      <c r="O14" s="1461"/>
    </row>
    <row r="15" spans="1:15" s="191" customFormat="1" ht="12" x14ac:dyDescent="0.2">
      <c r="A15" s="211" t="s">
        <v>394</v>
      </c>
      <c r="B15" s="187"/>
      <c r="C15" s="187"/>
      <c r="D15" s="187"/>
      <c r="K15" s="1461"/>
      <c r="L15" s="1461"/>
      <c r="M15" s="1461"/>
      <c r="N15" s="1461"/>
      <c r="O15" s="1461"/>
    </row>
    <row r="16" spans="1:15" s="191" customFormat="1" ht="12" x14ac:dyDescent="0.2">
      <c r="A16" s="187"/>
      <c r="B16" s="376" t="s">
        <v>410</v>
      </c>
      <c r="C16" s="187"/>
      <c r="D16" s="187"/>
      <c r="K16" s="1461"/>
      <c r="L16" s="1461"/>
      <c r="M16" s="1461"/>
      <c r="N16" s="1461"/>
      <c r="O16" s="1461"/>
    </row>
    <row r="17" spans="1:15" s="191" customFormat="1" ht="12" x14ac:dyDescent="0.2">
      <c r="A17" s="187"/>
      <c r="B17" s="187"/>
      <c r="C17" s="187" t="s">
        <v>753</v>
      </c>
      <c r="D17" s="187"/>
      <c r="G17" s="379"/>
      <c r="K17" s="1461" t="s">
        <v>754</v>
      </c>
      <c r="L17" s="1461" t="s">
        <v>753</v>
      </c>
      <c r="M17" s="1461" t="s">
        <v>410</v>
      </c>
      <c r="N17" s="1461" t="s">
        <v>755</v>
      </c>
      <c r="O17" s="1461" t="s">
        <v>756</v>
      </c>
    </row>
    <row r="18" spans="1:15" s="191" customFormat="1" ht="12" x14ac:dyDescent="0.2">
      <c r="A18" s="187"/>
      <c r="B18" s="187"/>
      <c r="C18" s="187" t="s">
        <v>757</v>
      </c>
      <c r="D18" s="187"/>
      <c r="G18" s="379"/>
      <c r="K18" s="1461" t="s">
        <v>754</v>
      </c>
      <c r="L18" s="1461" t="s">
        <v>757</v>
      </c>
      <c r="M18" s="1461" t="s">
        <v>410</v>
      </c>
      <c r="N18" s="1461" t="s">
        <v>755</v>
      </c>
      <c r="O18" s="1461" t="s">
        <v>756</v>
      </c>
    </row>
    <row r="19" spans="1:15" s="191" customFormat="1" ht="12" x14ac:dyDescent="0.2">
      <c r="A19" s="187"/>
      <c r="B19" s="187"/>
      <c r="C19" s="187" t="s">
        <v>758</v>
      </c>
      <c r="D19" s="187"/>
      <c r="G19" s="379"/>
      <c r="K19" s="1461" t="s">
        <v>754</v>
      </c>
      <c r="L19" s="1461" t="s">
        <v>758</v>
      </c>
      <c r="M19" s="1461" t="s">
        <v>410</v>
      </c>
      <c r="N19" s="1461" t="s">
        <v>755</v>
      </c>
      <c r="O19" s="1461" t="s">
        <v>756</v>
      </c>
    </row>
    <row r="20" spans="1:15" s="191" customFormat="1" ht="12" x14ac:dyDescent="0.2">
      <c r="A20" s="187"/>
      <c r="B20" s="187"/>
      <c r="C20" s="187" t="s">
        <v>759</v>
      </c>
      <c r="D20" s="187"/>
      <c r="G20" s="379"/>
      <c r="K20" s="1461" t="s">
        <v>754</v>
      </c>
      <c r="L20" s="1461" t="s">
        <v>760</v>
      </c>
      <c r="M20" s="1461" t="s">
        <v>410</v>
      </c>
      <c r="N20" s="1461" t="s">
        <v>755</v>
      </c>
      <c r="O20" s="1461" t="s">
        <v>756</v>
      </c>
    </row>
    <row r="21" spans="1:15" s="191" customFormat="1" ht="7.35" customHeight="1" x14ac:dyDescent="0.2">
      <c r="A21" s="187"/>
      <c r="B21" s="187"/>
      <c r="C21" s="187"/>
      <c r="D21" s="187"/>
      <c r="G21" s="187"/>
      <c r="K21" s="1461"/>
      <c r="L21" s="1461"/>
      <c r="M21" s="1461"/>
      <c r="N21" s="1461"/>
      <c r="O21" s="1461"/>
    </row>
    <row r="22" spans="1:15" s="191" customFormat="1" ht="12" x14ac:dyDescent="0.2">
      <c r="A22" s="211" t="s">
        <v>454</v>
      </c>
      <c r="B22" s="187"/>
      <c r="C22" s="187"/>
      <c r="D22" s="187"/>
      <c r="G22" s="187"/>
      <c r="K22" s="1461"/>
      <c r="L22" s="1461"/>
      <c r="M22" s="1461"/>
      <c r="N22" s="1461"/>
      <c r="O22" s="1461"/>
    </row>
    <row r="23" spans="1:15" s="191" customFormat="1" ht="12" x14ac:dyDescent="0.2">
      <c r="A23" s="211"/>
      <c r="B23" s="187"/>
      <c r="C23" s="187" t="s">
        <v>761</v>
      </c>
      <c r="D23" s="187"/>
      <c r="G23" s="379"/>
      <c r="K23" s="1461" t="s">
        <v>754</v>
      </c>
      <c r="L23" s="1461" t="s">
        <v>761</v>
      </c>
      <c r="M23" s="1461" t="s">
        <v>762</v>
      </c>
      <c r="N23" s="1461" t="s">
        <v>763</v>
      </c>
      <c r="O23" s="1461" t="s">
        <v>756</v>
      </c>
    </row>
    <row r="24" spans="1:15" s="191" customFormat="1" ht="12" x14ac:dyDescent="0.2">
      <c r="A24" s="211"/>
      <c r="B24" s="187"/>
      <c r="C24" s="187" t="s">
        <v>764</v>
      </c>
      <c r="D24" s="187"/>
      <c r="G24" s="379"/>
      <c r="K24" s="1461" t="s">
        <v>754</v>
      </c>
      <c r="L24" s="1461" t="s">
        <v>764</v>
      </c>
      <c r="M24" s="1461" t="s">
        <v>762</v>
      </c>
      <c r="N24" s="1461" t="s">
        <v>763</v>
      </c>
      <c r="O24" s="1461" t="s">
        <v>756</v>
      </c>
    </row>
    <row r="25" spans="1:15" s="191" customFormat="1" ht="7.35" customHeight="1" x14ac:dyDescent="0.2">
      <c r="A25" s="187"/>
      <c r="B25" s="187"/>
      <c r="C25" s="187"/>
      <c r="D25" s="187"/>
      <c r="G25" s="187"/>
      <c r="K25" s="1461"/>
      <c r="L25" s="1461"/>
      <c r="M25" s="1461"/>
      <c r="N25" s="1461"/>
      <c r="O25" s="1461"/>
    </row>
    <row r="26" spans="1:15" s="191" customFormat="1" ht="12" x14ac:dyDescent="0.2">
      <c r="A26" s="211" t="s">
        <v>405</v>
      </c>
      <c r="B26" s="187"/>
      <c r="C26" s="187"/>
      <c r="D26" s="187"/>
      <c r="G26" s="187"/>
      <c r="K26" s="1461"/>
      <c r="L26" s="1461"/>
      <c r="M26" s="1461"/>
      <c r="N26" s="1461"/>
      <c r="O26" s="1461"/>
    </row>
    <row r="27" spans="1:15" s="191" customFormat="1" ht="12" x14ac:dyDescent="0.2">
      <c r="A27" s="211"/>
      <c r="B27" s="376" t="s">
        <v>411</v>
      </c>
      <c r="C27" s="187"/>
      <c r="D27" s="187"/>
      <c r="G27" s="187"/>
      <c r="K27" s="1461"/>
      <c r="L27" s="1461"/>
      <c r="M27" s="1461"/>
      <c r="N27" s="1461"/>
      <c r="O27" s="1461"/>
    </row>
    <row r="28" spans="1:15" s="191" customFormat="1" ht="12" x14ac:dyDescent="0.2">
      <c r="A28" s="211"/>
      <c r="B28" s="376"/>
      <c r="C28" s="187" t="s">
        <v>765</v>
      </c>
      <c r="D28" s="187"/>
      <c r="G28" s="379"/>
      <c r="K28" s="1461" t="s">
        <v>754</v>
      </c>
      <c r="L28" s="1461" t="s">
        <v>765</v>
      </c>
      <c r="M28" s="1461" t="s">
        <v>411</v>
      </c>
      <c r="N28" s="1461" t="s">
        <v>766</v>
      </c>
      <c r="O28" s="1461" t="s">
        <v>756</v>
      </c>
    </row>
    <row r="29" spans="1:15" s="191" customFormat="1" ht="12" x14ac:dyDescent="0.2">
      <c r="A29" s="211"/>
      <c r="B29" s="376"/>
      <c r="C29" s="187" t="s">
        <v>767</v>
      </c>
      <c r="D29" s="187"/>
      <c r="G29" s="379"/>
      <c r="K29" s="1461" t="s">
        <v>754</v>
      </c>
      <c r="L29" s="1461" t="s">
        <v>767</v>
      </c>
      <c r="M29" s="1461" t="s">
        <v>411</v>
      </c>
      <c r="N29" s="1461" t="s">
        <v>766</v>
      </c>
      <c r="O29" s="1461" t="s">
        <v>756</v>
      </c>
    </row>
    <row r="30" spans="1:15" s="191" customFormat="1" ht="12" x14ac:dyDescent="0.2">
      <c r="A30" s="211"/>
      <c r="B30" s="376"/>
      <c r="C30" s="187" t="s">
        <v>768</v>
      </c>
      <c r="D30" s="187"/>
      <c r="G30" s="379"/>
      <c r="K30" s="1461" t="s">
        <v>754</v>
      </c>
      <c r="L30" s="1461" t="s">
        <v>768</v>
      </c>
      <c r="M30" s="1461" t="s">
        <v>411</v>
      </c>
      <c r="N30" s="1461" t="s">
        <v>766</v>
      </c>
      <c r="O30" s="1461" t="s">
        <v>756</v>
      </c>
    </row>
    <row r="31" spans="1:15" s="191" customFormat="1" ht="12" x14ac:dyDescent="0.2">
      <c r="A31" s="211"/>
      <c r="B31" s="376"/>
      <c r="C31" s="187" t="s">
        <v>769</v>
      </c>
      <c r="D31" s="187"/>
      <c r="G31" s="379"/>
      <c r="K31" s="1461" t="s">
        <v>754</v>
      </c>
      <c r="L31" s="1461" t="s">
        <v>769</v>
      </c>
      <c r="M31" s="1461" t="s">
        <v>411</v>
      </c>
      <c r="N31" s="1461" t="s">
        <v>766</v>
      </c>
      <c r="O31" s="1461" t="s">
        <v>756</v>
      </c>
    </row>
    <row r="32" spans="1:15" s="191" customFormat="1" ht="12" x14ac:dyDescent="0.2">
      <c r="A32" s="211"/>
      <c r="B32" s="376"/>
      <c r="C32" s="187" t="s">
        <v>770</v>
      </c>
      <c r="D32" s="187"/>
      <c r="G32" s="379"/>
      <c r="K32" s="1461" t="s">
        <v>754</v>
      </c>
      <c r="L32" s="1461" t="s">
        <v>770</v>
      </c>
      <c r="M32" s="1461" t="s">
        <v>411</v>
      </c>
      <c r="N32" s="1461" t="s">
        <v>766</v>
      </c>
      <c r="O32" s="1461" t="s">
        <v>756</v>
      </c>
    </row>
    <row r="33" spans="1:15" s="191" customFormat="1" ht="12" x14ac:dyDescent="0.2">
      <c r="A33" s="211"/>
      <c r="B33" s="376"/>
      <c r="C33" s="187" t="s">
        <v>771</v>
      </c>
      <c r="D33" s="187"/>
      <c r="G33" s="379"/>
      <c r="K33" s="1461" t="s">
        <v>754</v>
      </c>
      <c r="L33" s="1461" t="s">
        <v>771</v>
      </c>
      <c r="M33" s="1461" t="s">
        <v>411</v>
      </c>
      <c r="N33" s="1461" t="s">
        <v>766</v>
      </c>
      <c r="O33" s="1461" t="s">
        <v>756</v>
      </c>
    </row>
    <row r="34" spans="1:15" s="191" customFormat="1" ht="12" x14ac:dyDescent="0.2">
      <c r="A34" s="211"/>
      <c r="B34" s="376"/>
      <c r="C34" s="187" t="s">
        <v>772</v>
      </c>
      <c r="D34" s="187"/>
      <c r="G34" s="379"/>
      <c r="K34" s="1461" t="s">
        <v>754</v>
      </c>
      <c r="L34" s="1461" t="s">
        <v>772</v>
      </c>
      <c r="M34" s="1461" t="s">
        <v>411</v>
      </c>
      <c r="N34" s="1461" t="s">
        <v>766</v>
      </c>
      <c r="O34" s="1461" t="s">
        <v>756</v>
      </c>
    </row>
    <row r="35" spans="1:15" s="191" customFormat="1" ht="12" x14ac:dyDescent="0.2">
      <c r="A35" s="211"/>
      <c r="B35" s="376"/>
      <c r="C35" s="187" t="s">
        <v>773</v>
      </c>
      <c r="D35" s="187"/>
      <c r="G35" s="379"/>
      <c r="K35" s="1461" t="s">
        <v>754</v>
      </c>
      <c r="L35" s="1461" t="s">
        <v>773</v>
      </c>
      <c r="M35" s="1461" t="s">
        <v>411</v>
      </c>
      <c r="N35" s="1461" t="s">
        <v>766</v>
      </c>
      <c r="O35" s="1461" t="s">
        <v>756</v>
      </c>
    </row>
    <row r="36" spans="1:15" s="191" customFormat="1" ht="12" x14ac:dyDescent="0.2">
      <c r="A36" s="211"/>
      <c r="B36" s="376"/>
      <c r="C36" s="187" t="s">
        <v>774</v>
      </c>
      <c r="D36" s="187"/>
      <c r="G36" s="379"/>
      <c r="K36" s="1461" t="s">
        <v>754</v>
      </c>
      <c r="L36" s="1461" t="s">
        <v>774</v>
      </c>
      <c r="M36" s="1461" t="s">
        <v>411</v>
      </c>
      <c r="N36" s="1461" t="s">
        <v>766</v>
      </c>
      <c r="O36" s="1461" t="s">
        <v>756</v>
      </c>
    </row>
    <row r="37" spans="1:15" s="191" customFormat="1" ht="12" x14ac:dyDescent="0.2">
      <c r="A37" s="187"/>
      <c r="B37" s="187"/>
      <c r="C37" s="187" t="s">
        <v>775</v>
      </c>
      <c r="D37" s="187"/>
      <c r="G37" s="379"/>
      <c r="K37" s="1461" t="s">
        <v>754</v>
      </c>
      <c r="L37" s="1461" t="s">
        <v>776</v>
      </c>
      <c r="M37" s="1461" t="s">
        <v>411</v>
      </c>
      <c r="N37" s="1461" t="s">
        <v>766</v>
      </c>
      <c r="O37" s="1461" t="s">
        <v>756</v>
      </c>
    </row>
    <row r="38" spans="1:15" s="191" customFormat="1" ht="12" x14ac:dyDescent="0.2">
      <c r="A38" s="187"/>
      <c r="B38" s="187"/>
      <c r="C38" s="187" t="s">
        <v>777</v>
      </c>
      <c r="D38" s="187"/>
      <c r="G38" s="379"/>
      <c r="K38" s="1461" t="s">
        <v>754</v>
      </c>
      <c r="L38" s="1461" t="s">
        <v>777</v>
      </c>
      <c r="M38" s="1461" t="s">
        <v>411</v>
      </c>
      <c r="N38" s="1461" t="s">
        <v>766</v>
      </c>
      <c r="O38" s="1461" t="s">
        <v>756</v>
      </c>
    </row>
    <row r="39" spans="1:15" s="191" customFormat="1" ht="12" x14ac:dyDescent="0.2">
      <c r="A39" s="187"/>
      <c r="B39" s="187"/>
      <c r="C39" s="187" t="s">
        <v>778</v>
      </c>
      <c r="D39" s="187"/>
      <c r="G39" s="379"/>
      <c r="K39" s="1461" t="s">
        <v>754</v>
      </c>
      <c r="L39" s="1461" t="s">
        <v>778</v>
      </c>
      <c r="M39" s="1461" t="s">
        <v>411</v>
      </c>
      <c r="N39" s="1461" t="s">
        <v>766</v>
      </c>
      <c r="O39" s="1461" t="s">
        <v>756</v>
      </c>
    </row>
    <row r="40" spans="1:15" s="191" customFormat="1" ht="12" x14ac:dyDescent="0.2">
      <c r="A40" s="187"/>
      <c r="B40" s="187"/>
      <c r="C40" s="187" t="s">
        <v>779</v>
      </c>
      <c r="D40" s="187"/>
      <c r="G40" s="379"/>
      <c r="K40" s="1461" t="s">
        <v>754</v>
      </c>
      <c r="L40" s="1461" t="s">
        <v>779</v>
      </c>
      <c r="M40" s="1461" t="s">
        <v>411</v>
      </c>
      <c r="N40" s="1461" t="s">
        <v>766</v>
      </c>
      <c r="O40" s="1461" t="s">
        <v>756</v>
      </c>
    </row>
    <row r="41" spans="1:15" s="191" customFormat="1" ht="7.35" customHeight="1" x14ac:dyDescent="0.2">
      <c r="A41" s="187"/>
      <c r="B41" s="187"/>
      <c r="C41" s="187"/>
      <c r="D41" s="187"/>
      <c r="G41" s="187"/>
      <c r="K41" s="1461"/>
      <c r="L41" s="1461"/>
      <c r="M41" s="1461"/>
      <c r="N41" s="1461"/>
      <c r="O41" s="1461"/>
    </row>
    <row r="42" spans="1:15" s="191" customFormat="1" ht="12" x14ac:dyDescent="0.2">
      <c r="A42" s="187"/>
      <c r="B42" s="376" t="s">
        <v>407</v>
      </c>
      <c r="C42" s="187"/>
      <c r="D42" s="187"/>
      <c r="G42" s="187"/>
      <c r="K42" s="1461"/>
      <c r="L42" s="1461"/>
      <c r="M42" s="1461"/>
      <c r="N42" s="1461"/>
      <c r="O42" s="1461"/>
    </row>
    <row r="43" spans="1:15" s="191" customFormat="1" ht="12" x14ac:dyDescent="0.2">
      <c r="A43" s="187"/>
      <c r="B43" s="376"/>
      <c r="C43" s="187" t="s">
        <v>775</v>
      </c>
      <c r="D43" s="187"/>
      <c r="G43" s="379"/>
      <c r="K43" s="1461" t="s">
        <v>754</v>
      </c>
      <c r="L43" s="1461" t="s">
        <v>776</v>
      </c>
      <c r="M43" s="1461" t="s">
        <v>407</v>
      </c>
      <c r="N43" s="1461" t="s">
        <v>766</v>
      </c>
      <c r="O43" s="1461" t="s">
        <v>756</v>
      </c>
    </row>
    <row r="44" spans="1:15" s="191" customFormat="1" ht="12" x14ac:dyDescent="0.2">
      <c r="A44" s="187"/>
      <c r="B44" s="376"/>
      <c r="C44" s="187" t="s">
        <v>777</v>
      </c>
      <c r="D44" s="187"/>
      <c r="G44" s="379"/>
      <c r="K44" s="1461" t="s">
        <v>754</v>
      </c>
      <c r="L44" s="1461" t="s">
        <v>777</v>
      </c>
      <c r="M44" s="1461" t="s">
        <v>407</v>
      </c>
      <c r="N44" s="1461" t="s">
        <v>766</v>
      </c>
      <c r="O44" s="1461" t="s">
        <v>756</v>
      </c>
    </row>
    <row r="45" spans="1:15" s="191" customFormat="1" ht="12" x14ac:dyDescent="0.2">
      <c r="A45" s="187"/>
      <c r="B45" s="376"/>
      <c r="C45" s="187" t="s">
        <v>778</v>
      </c>
      <c r="D45" s="187"/>
      <c r="G45" s="379"/>
      <c r="K45" s="1461" t="s">
        <v>754</v>
      </c>
      <c r="L45" s="1461" t="s">
        <v>778</v>
      </c>
      <c r="M45" s="1461" t="s">
        <v>407</v>
      </c>
      <c r="N45" s="1461" t="s">
        <v>766</v>
      </c>
      <c r="O45" s="1461" t="s">
        <v>756</v>
      </c>
    </row>
    <row r="46" spans="1:15" s="191" customFormat="1" ht="12" x14ac:dyDescent="0.2">
      <c r="A46" s="187"/>
      <c r="B46" s="187"/>
      <c r="C46" s="187" t="s">
        <v>779</v>
      </c>
      <c r="D46" s="187"/>
      <c r="G46" s="379"/>
      <c r="K46" s="1461" t="s">
        <v>754</v>
      </c>
      <c r="L46" s="1461" t="s">
        <v>779</v>
      </c>
      <c r="M46" s="1461" t="s">
        <v>407</v>
      </c>
      <c r="N46" s="1461" t="s">
        <v>766</v>
      </c>
      <c r="O46" s="1461" t="s">
        <v>756</v>
      </c>
    </row>
    <row r="47" spans="1:15" s="191" customFormat="1" ht="7.35" customHeight="1" x14ac:dyDescent="0.2">
      <c r="A47" s="187"/>
      <c r="B47" s="187"/>
      <c r="C47" s="187"/>
      <c r="D47" s="187"/>
      <c r="G47" s="187"/>
      <c r="K47" s="1461"/>
      <c r="L47" s="1461"/>
      <c r="M47" s="1461"/>
      <c r="N47" s="1461"/>
      <c r="O47" s="1461"/>
    </row>
    <row r="48" spans="1:15" s="191" customFormat="1" ht="12" x14ac:dyDescent="0.2">
      <c r="A48" s="187"/>
      <c r="B48" s="376" t="s">
        <v>421</v>
      </c>
      <c r="C48" s="187"/>
      <c r="D48" s="187"/>
      <c r="G48" s="187"/>
      <c r="K48" s="1461"/>
      <c r="L48" s="1461"/>
      <c r="M48" s="1461"/>
      <c r="N48" s="1461"/>
      <c r="O48" s="1461"/>
    </row>
    <row r="49" spans="1:15" s="191" customFormat="1" ht="12" x14ac:dyDescent="0.2">
      <c r="A49" s="187"/>
      <c r="B49" s="187"/>
      <c r="C49" s="187" t="s">
        <v>780</v>
      </c>
      <c r="D49" s="187"/>
      <c r="G49" s="379"/>
      <c r="K49" s="1461" t="s">
        <v>754</v>
      </c>
      <c r="L49" s="1461" t="s">
        <v>780</v>
      </c>
      <c r="M49" s="1461" t="s">
        <v>421</v>
      </c>
      <c r="N49" s="1461" t="s">
        <v>766</v>
      </c>
      <c r="O49" s="1461" t="s">
        <v>756</v>
      </c>
    </row>
    <row r="50" spans="1:15" s="191" customFormat="1" ht="12" x14ac:dyDescent="0.2">
      <c r="A50" s="187"/>
      <c r="B50" s="187"/>
      <c r="C50" s="187" t="s">
        <v>781</v>
      </c>
      <c r="D50" s="187"/>
      <c r="G50" s="379"/>
      <c r="K50" s="1461" t="s">
        <v>754</v>
      </c>
      <c r="L50" s="1461" t="s">
        <v>781</v>
      </c>
      <c r="M50" s="1461" t="s">
        <v>421</v>
      </c>
      <c r="N50" s="1461" t="s">
        <v>766</v>
      </c>
      <c r="O50" s="1461" t="s">
        <v>756</v>
      </c>
    </row>
    <row r="51" spans="1:15" s="191" customFormat="1" ht="12" x14ac:dyDescent="0.2">
      <c r="A51" s="187"/>
      <c r="B51" s="187"/>
      <c r="C51" s="187" t="s">
        <v>775</v>
      </c>
      <c r="D51" s="187"/>
      <c r="G51" s="379"/>
      <c r="K51" s="1461" t="s">
        <v>754</v>
      </c>
      <c r="L51" s="1461" t="s">
        <v>776</v>
      </c>
      <c r="M51" s="1461" t="s">
        <v>421</v>
      </c>
      <c r="N51" s="1461" t="s">
        <v>766</v>
      </c>
      <c r="O51" s="1461" t="s">
        <v>756</v>
      </c>
    </row>
    <row r="52" spans="1:15" s="191" customFormat="1" ht="12" x14ac:dyDescent="0.2">
      <c r="A52" s="187"/>
      <c r="B52" s="187"/>
      <c r="C52" s="187" t="s">
        <v>777</v>
      </c>
      <c r="D52" s="187"/>
      <c r="G52" s="379"/>
      <c r="K52" s="1461" t="s">
        <v>754</v>
      </c>
      <c r="L52" s="1461" t="s">
        <v>777</v>
      </c>
      <c r="M52" s="1461" t="s">
        <v>421</v>
      </c>
      <c r="N52" s="1461" t="s">
        <v>766</v>
      </c>
      <c r="O52" s="1461" t="s">
        <v>756</v>
      </c>
    </row>
    <row r="53" spans="1:15" s="191" customFormat="1" ht="12" x14ac:dyDescent="0.2">
      <c r="A53" s="187"/>
      <c r="B53" s="187"/>
      <c r="C53" s="187" t="s">
        <v>778</v>
      </c>
      <c r="D53" s="187"/>
      <c r="G53" s="379"/>
      <c r="K53" s="1461" t="s">
        <v>754</v>
      </c>
      <c r="L53" s="1461" t="s">
        <v>778</v>
      </c>
      <c r="M53" s="1461" t="s">
        <v>421</v>
      </c>
      <c r="N53" s="1461" t="s">
        <v>766</v>
      </c>
      <c r="O53" s="1461" t="s">
        <v>756</v>
      </c>
    </row>
    <row r="54" spans="1:15" s="191" customFormat="1" ht="7.35" customHeight="1" x14ac:dyDescent="0.2">
      <c r="A54" s="187"/>
      <c r="B54" s="187"/>
      <c r="C54" s="187"/>
      <c r="D54" s="187"/>
      <c r="G54" s="187"/>
      <c r="K54" s="1461"/>
      <c r="L54" s="1461"/>
      <c r="M54" s="1461"/>
      <c r="N54" s="1461"/>
      <c r="O54" s="1461"/>
    </row>
    <row r="55" spans="1:15" s="191" customFormat="1" ht="12" x14ac:dyDescent="0.2">
      <c r="A55" s="211" t="s">
        <v>433</v>
      </c>
      <c r="B55" s="187"/>
      <c r="C55" s="187"/>
      <c r="D55" s="187"/>
      <c r="G55" s="187"/>
      <c r="K55" s="1461"/>
      <c r="L55" s="1461"/>
      <c r="M55" s="1461"/>
      <c r="N55" s="1461"/>
      <c r="O55" s="1461"/>
    </row>
    <row r="56" spans="1:15" s="191" customFormat="1" ht="12" x14ac:dyDescent="0.2">
      <c r="A56" s="187"/>
      <c r="B56" s="376" t="s">
        <v>435</v>
      </c>
      <c r="C56" s="187"/>
      <c r="D56" s="187"/>
      <c r="G56" s="187"/>
      <c r="K56" s="1461"/>
      <c r="L56" s="1461"/>
      <c r="M56" s="1461"/>
      <c r="N56" s="1461"/>
      <c r="O56" s="1461"/>
    </row>
    <row r="57" spans="1:15" s="191" customFormat="1" ht="12" x14ac:dyDescent="0.2">
      <c r="A57" s="187"/>
      <c r="B57" s="376"/>
      <c r="C57" s="187" t="s">
        <v>782</v>
      </c>
      <c r="D57" s="187"/>
      <c r="G57" s="379"/>
      <c r="K57" s="1461" t="s">
        <v>754</v>
      </c>
      <c r="L57" s="1461" t="s">
        <v>782</v>
      </c>
      <c r="M57" s="1461" t="s">
        <v>442</v>
      </c>
      <c r="N57" s="1461" t="s">
        <v>783</v>
      </c>
      <c r="O57" s="1461" t="s">
        <v>756</v>
      </c>
    </row>
    <row r="58" spans="1:15" s="191" customFormat="1" ht="12" x14ac:dyDescent="0.2">
      <c r="A58" s="187"/>
      <c r="B58" s="376"/>
      <c r="C58" s="187" t="s">
        <v>784</v>
      </c>
      <c r="D58" s="187"/>
      <c r="G58" s="772"/>
      <c r="K58" s="1461" t="s">
        <v>754</v>
      </c>
      <c r="L58" s="1461" t="s">
        <v>784</v>
      </c>
      <c r="M58" s="1461" t="s">
        <v>442</v>
      </c>
      <c r="N58" s="1461" t="s">
        <v>783</v>
      </c>
      <c r="O58" s="1461" t="s">
        <v>756</v>
      </c>
    </row>
    <row r="59" spans="1:15" s="191" customFormat="1" ht="12" x14ac:dyDescent="0.2">
      <c r="A59" s="187"/>
      <c r="B59" s="376"/>
      <c r="C59" s="187" t="s">
        <v>785</v>
      </c>
      <c r="D59" s="187"/>
      <c r="G59" s="771"/>
      <c r="K59" s="1461" t="s">
        <v>754</v>
      </c>
      <c r="L59" s="1461" t="s">
        <v>785</v>
      </c>
      <c r="M59" s="1461" t="s">
        <v>442</v>
      </c>
      <c r="N59" s="1461" t="s">
        <v>783</v>
      </c>
      <c r="O59" s="1461" t="s">
        <v>756</v>
      </c>
    </row>
    <row r="60" spans="1:15" s="191" customFormat="1" ht="12" x14ac:dyDescent="0.2">
      <c r="A60" s="187"/>
      <c r="B60" s="376"/>
      <c r="C60" s="187"/>
      <c r="D60" s="187"/>
      <c r="G60" s="1954"/>
      <c r="K60" s="1461"/>
      <c r="L60" s="1461"/>
      <c r="M60" s="1461"/>
      <c r="N60" s="1461"/>
      <c r="O60" s="1461"/>
    </row>
    <row r="61" spans="1:15" x14ac:dyDescent="0.2">
      <c r="K61"/>
      <c r="L61"/>
      <c r="M61"/>
      <c r="N61"/>
      <c r="O61"/>
    </row>
    <row r="62" spans="1:15" s="191" customFormat="1" ht="12" x14ac:dyDescent="0.2">
      <c r="A62" s="187"/>
      <c r="B62" s="187"/>
      <c r="C62" s="377" t="s">
        <v>786</v>
      </c>
      <c r="D62" s="377"/>
      <c r="G62" s="187"/>
      <c r="K62" s="1461"/>
      <c r="L62" s="1461"/>
      <c r="M62" s="1461"/>
      <c r="N62" s="1461"/>
      <c r="O62" s="1461"/>
    </row>
    <row r="63" spans="1:15" s="191" customFormat="1" ht="12" x14ac:dyDescent="0.2">
      <c r="A63" s="187"/>
      <c r="B63" s="187"/>
      <c r="C63" s="187" t="s">
        <v>787</v>
      </c>
      <c r="D63" s="187"/>
      <c r="G63" s="379"/>
      <c r="K63" s="1461" t="s">
        <v>754</v>
      </c>
      <c r="L63" s="1461" t="s">
        <v>788</v>
      </c>
      <c r="M63" s="1461" t="s">
        <v>789</v>
      </c>
      <c r="N63" s="1461" t="s">
        <v>783</v>
      </c>
      <c r="O63" s="1461" t="s">
        <v>756</v>
      </c>
    </row>
    <row r="64" spans="1:15" s="191" customFormat="1" ht="12" x14ac:dyDescent="0.2">
      <c r="A64" s="187"/>
      <c r="B64" s="187"/>
      <c r="C64" s="187" t="s">
        <v>790</v>
      </c>
      <c r="D64" s="187"/>
      <c r="G64" s="379"/>
      <c r="K64" s="1461" t="s">
        <v>754</v>
      </c>
      <c r="L64" s="1461" t="s">
        <v>791</v>
      </c>
      <c r="M64" s="1461" t="s">
        <v>789</v>
      </c>
      <c r="N64" s="1461" t="s">
        <v>783</v>
      </c>
      <c r="O64" s="1461" t="s">
        <v>756</v>
      </c>
    </row>
    <row r="65" spans="1:15" s="191" customFormat="1" ht="12" x14ac:dyDescent="0.2">
      <c r="A65" s="187"/>
      <c r="B65" s="187"/>
      <c r="C65" s="187" t="s">
        <v>792</v>
      </c>
      <c r="D65" s="187"/>
      <c r="G65" s="379"/>
      <c r="K65" s="1461" t="s">
        <v>754</v>
      </c>
      <c r="L65" s="1461" t="s">
        <v>793</v>
      </c>
      <c r="M65" s="1461" t="s">
        <v>789</v>
      </c>
      <c r="N65" s="1461" t="s">
        <v>783</v>
      </c>
      <c r="O65" s="1461" t="s">
        <v>756</v>
      </c>
    </row>
    <row r="66" spans="1:15" s="191" customFormat="1" ht="12" x14ac:dyDescent="0.2">
      <c r="A66" s="187"/>
      <c r="B66" s="187"/>
      <c r="C66" s="187" t="s">
        <v>794</v>
      </c>
      <c r="D66" s="187"/>
      <c r="G66" s="379"/>
      <c r="K66" s="1461" t="s">
        <v>754</v>
      </c>
      <c r="L66" s="1461" t="s">
        <v>795</v>
      </c>
      <c r="M66" s="1461" t="s">
        <v>789</v>
      </c>
      <c r="N66" s="1461" t="s">
        <v>783</v>
      </c>
      <c r="O66" s="1461" t="s">
        <v>756</v>
      </c>
    </row>
    <row r="67" spans="1:15" s="191" customFormat="1" ht="12" x14ac:dyDescent="0.2">
      <c r="A67" s="187"/>
      <c r="B67" s="187"/>
      <c r="C67" s="187" t="s">
        <v>796</v>
      </c>
      <c r="D67" s="187"/>
      <c r="G67" s="379"/>
      <c r="K67" s="1461" t="s">
        <v>754</v>
      </c>
      <c r="L67" s="1461" t="s">
        <v>797</v>
      </c>
      <c r="M67" s="1461" t="s">
        <v>789</v>
      </c>
      <c r="N67" s="1461" t="s">
        <v>783</v>
      </c>
      <c r="O67" s="1461" t="s">
        <v>756</v>
      </c>
    </row>
    <row r="68" spans="1:15" s="191" customFormat="1" ht="12" x14ac:dyDescent="0.2">
      <c r="A68" s="187"/>
      <c r="B68" s="187"/>
      <c r="C68" s="187" t="s">
        <v>798</v>
      </c>
      <c r="D68" s="187"/>
      <c r="G68" s="379"/>
      <c r="K68" s="1461" t="s">
        <v>754</v>
      </c>
      <c r="L68" s="1461" t="s">
        <v>799</v>
      </c>
      <c r="M68" s="1461" t="s">
        <v>789</v>
      </c>
      <c r="N68" s="1461" t="s">
        <v>783</v>
      </c>
      <c r="O68" s="1461" t="s">
        <v>756</v>
      </c>
    </row>
    <row r="69" spans="1:15" x14ac:dyDescent="0.2">
      <c r="A69" s="187"/>
      <c r="B69" s="187"/>
      <c r="C69" s="187" t="s">
        <v>800</v>
      </c>
      <c r="D69" s="187"/>
      <c r="G69" s="379"/>
      <c r="K69" s="1461" t="s">
        <v>754</v>
      </c>
      <c r="L69" s="1461" t="s">
        <v>801</v>
      </c>
      <c r="M69" s="1461" t="s">
        <v>789</v>
      </c>
      <c r="N69" s="1461" t="s">
        <v>783</v>
      </c>
      <c r="O69" s="1461" t="s">
        <v>756</v>
      </c>
    </row>
    <row r="70" spans="1:15" ht="7.35" customHeight="1" x14ac:dyDescent="0.2">
      <c r="A70" s="187"/>
      <c r="B70" s="187"/>
      <c r="C70" s="187"/>
      <c r="D70" s="187"/>
      <c r="G70" s="187"/>
    </row>
    <row r="71" spans="1:15" x14ac:dyDescent="0.2">
      <c r="A71" s="187"/>
      <c r="B71" s="187"/>
      <c r="C71" s="377" t="s">
        <v>802</v>
      </c>
      <c r="D71" s="377"/>
      <c r="G71" s="187"/>
    </row>
    <row r="72" spans="1:15" x14ac:dyDescent="0.2">
      <c r="A72" s="187"/>
      <c r="B72" s="187"/>
      <c r="C72" s="187" t="s">
        <v>787</v>
      </c>
      <c r="D72" s="187"/>
      <c r="G72" s="379"/>
      <c r="K72" s="1461" t="s">
        <v>754</v>
      </c>
      <c r="L72" s="1461" t="s">
        <v>788</v>
      </c>
      <c r="M72" s="1461" t="s">
        <v>803</v>
      </c>
      <c r="N72" s="1461" t="s">
        <v>783</v>
      </c>
      <c r="O72" s="1461" t="s">
        <v>756</v>
      </c>
    </row>
    <row r="73" spans="1:15" x14ac:dyDescent="0.2">
      <c r="A73" s="187"/>
      <c r="B73" s="187"/>
      <c r="C73" s="187" t="s">
        <v>804</v>
      </c>
      <c r="D73" s="187"/>
      <c r="G73" s="772"/>
      <c r="K73" s="1461" t="s">
        <v>754</v>
      </c>
      <c r="L73" s="1461" t="s">
        <v>805</v>
      </c>
      <c r="M73" s="1461" t="s">
        <v>803</v>
      </c>
      <c r="N73" s="1461" t="s">
        <v>783</v>
      </c>
      <c r="O73" s="1461" t="s">
        <v>756</v>
      </c>
    </row>
    <row r="74" spans="1:15" x14ac:dyDescent="0.2">
      <c r="A74" s="187"/>
      <c r="B74" s="187"/>
      <c r="C74" s="187" t="s">
        <v>794</v>
      </c>
      <c r="D74" s="187"/>
      <c r="G74" s="771"/>
      <c r="K74" s="1461" t="s">
        <v>754</v>
      </c>
      <c r="L74" s="1461" t="s">
        <v>795</v>
      </c>
      <c r="M74" s="1461" t="s">
        <v>803</v>
      </c>
      <c r="N74" s="1461" t="s">
        <v>783</v>
      </c>
      <c r="O74" s="1461" t="s">
        <v>756</v>
      </c>
    </row>
    <row r="75" spans="1:15" x14ac:dyDescent="0.2">
      <c r="A75" s="187"/>
      <c r="B75" s="187"/>
      <c r="C75" s="187" t="s">
        <v>798</v>
      </c>
      <c r="D75" s="187"/>
      <c r="G75" s="772"/>
      <c r="K75" s="1461" t="s">
        <v>754</v>
      </c>
      <c r="L75" s="1461" t="s">
        <v>799</v>
      </c>
      <c r="M75" s="1461" t="s">
        <v>803</v>
      </c>
      <c r="N75" s="1461" t="s">
        <v>783</v>
      </c>
      <c r="O75" s="1461" t="s">
        <v>756</v>
      </c>
    </row>
    <row r="76" spans="1:15" x14ac:dyDescent="0.2">
      <c r="A76" s="187"/>
      <c r="B76" s="187"/>
      <c r="C76" s="187" t="s">
        <v>800</v>
      </c>
      <c r="D76" s="187"/>
      <c r="G76" s="771"/>
      <c r="K76" s="1461" t="s">
        <v>754</v>
      </c>
      <c r="L76" s="1461" t="s">
        <v>801</v>
      </c>
      <c r="M76" s="1461" t="s">
        <v>803</v>
      </c>
      <c r="N76" s="1461" t="s">
        <v>783</v>
      </c>
      <c r="O76" s="1461" t="s">
        <v>756</v>
      </c>
    </row>
    <row r="77" spans="1:15" x14ac:dyDescent="0.2">
      <c r="A77" s="187"/>
      <c r="B77" s="187"/>
      <c r="C77" s="187"/>
      <c r="D77" s="187"/>
      <c r="G77" s="1954"/>
    </row>
    <row r="78" spans="1:15" x14ac:dyDescent="0.2">
      <c r="A78" s="187"/>
      <c r="B78" s="187"/>
      <c r="C78" s="187"/>
      <c r="D78" s="187"/>
      <c r="G78" s="1954"/>
    </row>
    <row r="79" spans="1:15" x14ac:dyDescent="0.2">
      <c r="A79" s="211" t="s">
        <v>433</v>
      </c>
      <c r="B79" s="187"/>
      <c r="C79" s="187"/>
      <c r="D79" s="187"/>
      <c r="G79" s="187"/>
    </row>
    <row r="80" spans="1:15" x14ac:dyDescent="0.2">
      <c r="A80" s="187"/>
      <c r="B80" s="376" t="s">
        <v>806</v>
      </c>
      <c r="C80" s="187"/>
      <c r="D80" s="187"/>
      <c r="G80" s="187"/>
    </row>
    <row r="81" spans="1:15" x14ac:dyDescent="0.2">
      <c r="A81" s="187"/>
      <c r="C81" s="187" t="s">
        <v>807</v>
      </c>
      <c r="D81" s="187"/>
      <c r="E81" s="191"/>
      <c r="F81" s="191"/>
      <c r="G81" s="379"/>
      <c r="H81" s="191"/>
      <c r="I81" s="191"/>
      <c r="J81" s="191"/>
      <c r="K81" s="1461" t="s">
        <v>754</v>
      </c>
      <c r="L81" s="1461" t="s">
        <v>807</v>
      </c>
      <c r="M81" s="1461" t="s">
        <v>442</v>
      </c>
      <c r="N81" s="1461" t="s">
        <v>783</v>
      </c>
      <c r="O81" s="1461" t="s">
        <v>756</v>
      </c>
    </row>
    <row r="82" spans="1:15" x14ac:dyDescent="0.2">
      <c r="A82" s="187"/>
      <c r="B82" s="376"/>
      <c r="C82" s="187" t="s">
        <v>808</v>
      </c>
      <c r="D82" s="187"/>
      <c r="G82" s="187"/>
    </row>
    <row r="83" spans="1:15" x14ac:dyDescent="0.2">
      <c r="A83" s="187"/>
      <c r="B83" s="376"/>
      <c r="C83" s="377" t="s">
        <v>809</v>
      </c>
      <c r="D83" s="377"/>
      <c r="G83" s="1954"/>
    </row>
    <row r="84" spans="1:15" x14ac:dyDescent="0.2">
      <c r="A84" s="187"/>
      <c r="B84" s="187"/>
      <c r="C84" s="187" t="s">
        <v>810</v>
      </c>
      <c r="D84" s="187"/>
      <c r="G84" s="379"/>
      <c r="K84" s="1461" t="s">
        <v>754</v>
      </c>
      <c r="L84" s="1461" t="s">
        <v>811</v>
      </c>
      <c r="M84" s="1461" t="s">
        <v>812</v>
      </c>
      <c r="N84" s="1461" t="s">
        <v>783</v>
      </c>
      <c r="O84" s="1461" t="s">
        <v>756</v>
      </c>
    </row>
    <row r="85" spans="1:15" x14ac:dyDescent="0.2">
      <c r="A85" s="187"/>
      <c r="B85" s="187"/>
      <c r="C85" s="377" t="s">
        <v>813</v>
      </c>
      <c r="D85" s="377"/>
      <c r="G85" s="1954"/>
    </row>
    <row r="86" spans="1:15" x14ac:dyDescent="0.2">
      <c r="A86" s="187"/>
      <c r="B86" s="187"/>
      <c r="C86" s="187" t="s">
        <v>814</v>
      </c>
      <c r="D86" s="187"/>
      <c r="G86" s="379"/>
      <c r="K86" s="1461" t="s">
        <v>754</v>
      </c>
      <c r="L86" s="1461" t="s">
        <v>815</v>
      </c>
      <c r="M86" s="1461" t="s">
        <v>816</v>
      </c>
      <c r="N86" s="1461" t="s">
        <v>783</v>
      </c>
      <c r="O86" s="1461" t="s">
        <v>756</v>
      </c>
    </row>
    <row r="87" spans="1:15" x14ac:dyDescent="0.2">
      <c r="A87" s="187"/>
      <c r="B87" s="187"/>
      <c r="C87" s="187" t="s">
        <v>817</v>
      </c>
      <c r="D87" s="187"/>
      <c r="G87" s="379"/>
      <c r="K87" s="1461" t="s">
        <v>754</v>
      </c>
      <c r="L87" s="1461" t="s">
        <v>818</v>
      </c>
      <c r="M87" s="1461" t="s">
        <v>816</v>
      </c>
      <c r="N87" s="1461" t="s">
        <v>783</v>
      </c>
      <c r="O87" s="1461" t="s">
        <v>756</v>
      </c>
    </row>
    <row r="88" spans="1:15" x14ac:dyDescent="0.2">
      <c r="A88" s="187"/>
      <c r="B88" s="187"/>
      <c r="C88" s="187" t="s">
        <v>819</v>
      </c>
      <c r="D88" s="187"/>
      <c r="G88" s="771"/>
      <c r="K88" s="1461" t="s">
        <v>754</v>
      </c>
      <c r="L88" s="1461" t="s">
        <v>820</v>
      </c>
      <c r="M88" s="1461" t="s">
        <v>816</v>
      </c>
      <c r="N88" s="1461" t="s">
        <v>783</v>
      </c>
      <c r="O88" s="1461" t="s">
        <v>756</v>
      </c>
    </row>
    <row r="89" spans="1:15" x14ac:dyDescent="0.2">
      <c r="A89" s="187"/>
      <c r="B89" s="187"/>
      <c r="C89" s="377" t="s">
        <v>821</v>
      </c>
      <c r="D89" s="187"/>
      <c r="G89" s="1954"/>
    </row>
    <row r="90" spans="1:15" x14ac:dyDescent="0.2">
      <c r="A90" s="187"/>
      <c r="B90" s="187"/>
      <c r="C90" s="187" t="s">
        <v>810</v>
      </c>
      <c r="D90" s="187"/>
      <c r="G90" s="379"/>
      <c r="K90" s="1461" t="s">
        <v>754</v>
      </c>
      <c r="L90" s="1461" t="s">
        <v>811</v>
      </c>
      <c r="M90" s="1461" t="s">
        <v>822</v>
      </c>
      <c r="N90" s="1461" t="s">
        <v>783</v>
      </c>
      <c r="O90" s="1461" t="s">
        <v>756</v>
      </c>
    </row>
    <row r="91" spans="1:15" x14ac:dyDescent="0.2">
      <c r="A91" s="187"/>
      <c r="B91" s="187"/>
      <c r="C91" s="187" t="s">
        <v>817</v>
      </c>
      <c r="D91" s="187"/>
      <c r="G91" s="771"/>
      <c r="K91" s="1461" t="s">
        <v>754</v>
      </c>
      <c r="L91" s="1461" t="s">
        <v>818</v>
      </c>
      <c r="M91" s="1461" t="s">
        <v>822</v>
      </c>
      <c r="N91" s="1461" t="s">
        <v>783</v>
      </c>
      <c r="O91" s="1461" t="s">
        <v>756</v>
      </c>
    </row>
    <row r="92" spans="1:15" x14ac:dyDescent="0.2">
      <c r="A92" s="187"/>
      <c r="B92" s="187"/>
      <c r="C92" s="187" t="s">
        <v>823</v>
      </c>
      <c r="D92" s="187"/>
      <c r="G92" s="187"/>
      <c r="N92" s="1461"/>
    </row>
    <row r="93" spans="1:15" x14ac:dyDescent="0.2">
      <c r="A93" s="187"/>
      <c r="B93" s="187"/>
      <c r="C93" s="377" t="s">
        <v>813</v>
      </c>
      <c r="D93" s="377"/>
      <c r="G93" s="1954"/>
    </row>
    <row r="94" spans="1:15" ht="13.5" customHeight="1" x14ac:dyDescent="0.2">
      <c r="A94" s="187"/>
      <c r="B94" s="187"/>
      <c r="C94" s="187" t="s">
        <v>824</v>
      </c>
      <c r="D94" s="187"/>
      <c r="G94" s="379"/>
      <c r="K94" s="1461" t="s">
        <v>754</v>
      </c>
      <c r="L94" s="1461" t="s">
        <v>825</v>
      </c>
      <c r="M94" s="1461" t="s">
        <v>826</v>
      </c>
      <c r="N94" s="1461" t="s">
        <v>783</v>
      </c>
      <c r="O94" s="1461" t="s">
        <v>756</v>
      </c>
    </row>
    <row r="95" spans="1:15" x14ac:dyDescent="0.2">
      <c r="A95" s="187"/>
      <c r="B95" s="187"/>
      <c r="C95" s="187"/>
      <c r="D95" s="187"/>
      <c r="G95" s="187"/>
    </row>
    <row r="96" spans="1:15" x14ac:dyDescent="0.2">
      <c r="A96" s="211" t="s">
        <v>827</v>
      </c>
      <c r="B96" s="187"/>
      <c r="C96" s="187"/>
      <c r="D96" s="187"/>
      <c r="G96" s="187"/>
    </row>
    <row r="97" spans="1:15" x14ac:dyDescent="0.2">
      <c r="A97" s="211"/>
      <c r="B97" s="376" t="s">
        <v>828</v>
      </c>
      <c r="C97" s="187"/>
      <c r="D97" s="187"/>
      <c r="G97" s="187"/>
    </row>
    <row r="98" spans="1:15" x14ac:dyDescent="0.2">
      <c r="A98" s="187"/>
      <c r="B98" s="376"/>
      <c r="C98" s="187" t="s">
        <v>829</v>
      </c>
      <c r="D98" s="187"/>
      <c r="G98" s="187"/>
    </row>
    <row r="99" spans="1:15" x14ac:dyDescent="0.2">
      <c r="A99" s="187"/>
      <c r="B99" s="376"/>
      <c r="C99" s="187" t="s">
        <v>830</v>
      </c>
      <c r="D99" s="187"/>
    </row>
    <row r="100" spans="1:15" x14ac:dyDescent="0.2">
      <c r="A100" s="187"/>
      <c r="B100" s="376"/>
      <c r="C100" s="187" t="s">
        <v>831</v>
      </c>
      <c r="D100" s="187"/>
      <c r="G100" s="379"/>
      <c r="K100" s="1461" t="s">
        <v>754</v>
      </c>
      <c r="L100" s="1461" t="s">
        <v>832</v>
      </c>
      <c r="M100" s="1461" t="s">
        <v>833</v>
      </c>
      <c r="N100" s="1461" t="s">
        <v>834</v>
      </c>
      <c r="O100" s="1461" t="s">
        <v>756</v>
      </c>
    </row>
    <row r="101" spans="1:15" x14ac:dyDescent="0.2">
      <c r="A101" s="187"/>
      <c r="B101" s="376"/>
      <c r="C101" s="187" t="s">
        <v>835</v>
      </c>
      <c r="D101" s="187"/>
      <c r="G101" s="379"/>
      <c r="K101" s="1461" t="s">
        <v>754</v>
      </c>
      <c r="L101" s="1461" t="s">
        <v>836</v>
      </c>
      <c r="M101" s="1461" t="s">
        <v>833</v>
      </c>
      <c r="N101" s="1461" t="s">
        <v>834</v>
      </c>
      <c r="O101" s="1461" t="s">
        <v>756</v>
      </c>
    </row>
    <row r="102" spans="1:15" x14ac:dyDescent="0.2">
      <c r="A102" s="187"/>
      <c r="B102" s="187"/>
      <c r="C102" s="187" t="s">
        <v>837</v>
      </c>
      <c r="D102" s="187"/>
      <c r="G102" s="1954"/>
      <c r="M102" s="1461"/>
      <c r="N102" s="1461"/>
    </row>
    <row r="103" spans="1:15" x14ac:dyDescent="0.2">
      <c r="C103" s="187" t="s">
        <v>838</v>
      </c>
      <c r="D103" s="187"/>
      <c r="G103" s="379"/>
      <c r="K103" s="1461" t="s">
        <v>754</v>
      </c>
      <c r="L103" s="1461" t="s">
        <v>839</v>
      </c>
      <c r="M103" s="1461" t="s">
        <v>840</v>
      </c>
      <c r="N103" s="1461" t="s">
        <v>834</v>
      </c>
      <c r="O103" s="1461" t="s">
        <v>756</v>
      </c>
    </row>
    <row r="104" spans="1:15" x14ac:dyDescent="0.2">
      <c r="C104" s="187" t="s">
        <v>841</v>
      </c>
      <c r="D104" s="187"/>
      <c r="G104" s="379"/>
      <c r="K104" s="1461" t="s">
        <v>754</v>
      </c>
      <c r="L104" s="1461" t="s">
        <v>842</v>
      </c>
      <c r="M104" s="1461" t="s">
        <v>840</v>
      </c>
      <c r="N104" s="1461" t="s">
        <v>834</v>
      </c>
      <c r="O104" s="1461" t="s">
        <v>756</v>
      </c>
    </row>
    <row r="105" spans="1:15" x14ac:dyDescent="0.2">
      <c r="C105" s="187" t="s">
        <v>843</v>
      </c>
      <c r="D105" s="187"/>
      <c r="G105" s="379"/>
      <c r="K105" s="1461" t="s">
        <v>754</v>
      </c>
      <c r="L105" s="1461" t="s">
        <v>844</v>
      </c>
      <c r="M105" s="1461" t="s">
        <v>828</v>
      </c>
      <c r="N105" s="1461" t="s">
        <v>834</v>
      </c>
      <c r="O105" s="1461" t="s">
        <v>756</v>
      </c>
    </row>
    <row r="106" spans="1:15" ht="12" customHeight="1" x14ac:dyDescent="0.2">
      <c r="C106" s="187" t="s">
        <v>845</v>
      </c>
      <c r="D106" s="187"/>
      <c r="G106" s="379"/>
      <c r="K106" s="1461" t="s">
        <v>754</v>
      </c>
      <c r="L106" s="1461" t="s">
        <v>846</v>
      </c>
      <c r="M106" s="1461" t="s">
        <v>828</v>
      </c>
      <c r="N106" s="1461" t="s">
        <v>834</v>
      </c>
      <c r="O106" s="1461" t="s">
        <v>756</v>
      </c>
    </row>
    <row r="107" spans="1:15" x14ac:dyDescent="0.2">
      <c r="C107" s="187"/>
      <c r="D107" s="187"/>
      <c r="G107" s="187"/>
      <c r="N107" s="1461"/>
    </row>
    <row r="108" spans="1:15" x14ac:dyDescent="0.2">
      <c r="A108" s="1744" t="s">
        <v>847</v>
      </c>
      <c r="B108" s="187"/>
      <c r="C108" s="187"/>
      <c r="D108" s="187"/>
      <c r="G108" s="187"/>
      <c r="N108" s="1461"/>
    </row>
    <row r="109" spans="1:15" x14ac:dyDescent="0.2">
      <c r="A109" s="211" t="s">
        <v>434</v>
      </c>
      <c r="B109" s="187"/>
      <c r="C109" s="187"/>
      <c r="D109" s="187"/>
      <c r="G109" s="187"/>
      <c r="N109" s="1461"/>
    </row>
    <row r="110" spans="1:15" x14ac:dyDescent="0.2">
      <c r="A110" s="187"/>
      <c r="B110" s="376" t="s">
        <v>848</v>
      </c>
      <c r="C110" s="187"/>
      <c r="D110" s="187"/>
      <c r="G110" s="1954"/>
      <c r="J110" s="421"/>
      <c r="K110" s="1464"/>
      <c r="N110" s="1461"/>
    </row>
    <row r="111" spans="1:15" ht="16.5" customHeight="1" x14ac:dyDescent="0.2">
      <c r="A111" s="187"/>
      <c r="B111" s="187"/>
      <c r="C111" s="187" t="s">
        <v>753</v>
      </c>
      <c r="D111" s="187"/>
      <c r="G111" s="379"/>
      <c r="K111" s="1461" t="s">
        <v>754</v>
      </c>
      <c r="L111" s="1461" t="s">
        <v>753</v>
      </c>
      <c r="M111" s="1461" t="s">
        <v>848</v>
      </c>
      <c r="N111" s="1461" t="s">
        <v>849</v>
      </c>
      <c r="O111" s="1461" t="s">
        <v>756</v>
      </c>
    </row>
    <row r="112" spans="1:15" x14ac:dyDescent="0.2">
      <c r="A112" s="187"/>
      <c r="B112" s="187"/>
      <c r="C112" s="187"/>
      <c r="D112" s="187"/>
      <c r="G112" s="187"/>
      <c r="K112" s="1461"/>
      <c r="M112" s="1461"/>
      <c r="N112" s="1461"/>
    </row>
    <row r="113" spans="1:15" x14ac:dyDescent="0.2">
      <c r="A113" s="187"/>
      <c r="B113" s="376" t="s">
        <v>850</v>
      </c>
      <c r="C113" s="187"/>
      <c r="D113" s="187"/>
      <c r="G113" s="1954"/>
      <c r="J113" s="421"/>
      <c r="K113" s="1461"/>
      <c r="M113" s="1461"/>
      <c r="N113" s="1461"/>
      <c r="O113" s="1461"/>
    </row>
    <row r="114" spans="1:15" x14ac:dyDescent="0.2">
      <c r="A114" s="187"/>
      <c r="B114" s="376"/>
      <c r="C114" s="187" t="s">
        <v>851</v>
      </c>
      <c r="D114" s="187"/>
      <c r="G114" s="379"/>
      <c r="J114" s="421"/>
      <c r="K114" s="1461" t="s">
        <v>754</v>
      </c>
      <c r="L114" s="1461" t="s">
        <v>851</v>
      </c>
      <c r="M114" s="1461" t="s">
        <v>850</v>
      </c>
      <c r="N114" s="1461" t="s">
        <v>849</v>
      </c>
      <c r="O114" s="1461" t="s">
        <v>756</v>
      </c>
    </row>
    <row r="115" spans="1:15" x14ac:dyDescent="0.2">
      <c r="A115" s="187"/>
      <c r="B115" s="376"/>
      <c r="C115" s="187" t="s">
        <v>852</v>
      </c>
      <c r="D115" s="187"/>
      <c r="G115" s="379"/>
      <c r="J115" s="421"/>
      <c r="K115" s="1461" t="s">
        <v>754</v>
      </c>
      <c r="L115" s="1461" t="s">
        <v>852</v>
      </c>
      <c r="M115" s="1461" t="s">
        <v>850</v>
      </c>
      <c r="N115" s="1461" t="s">
        <v>849</v>
      </c>
      <c r="O115" s="1461" t="s">
        <v>756</v>
      </c>
    </row>
    <row r="116" spans="1:15" ht="12.75" customHeight="1" x14ac:dyDescent="0.2">
      <c r="A116" s="187"/>
      <c r="B116" s="187"/>
      <c r="C116" s="187" t="s">
        <v>853</v>
      </c>
      <c r="D116" s="187"/>
      <c r="G116" s="379"/>
      <c r="K116" s="1461" t="s">
        <v>754</v>
      </c>
      <c r="L116" s="1461" t="s">
        <v>853</v>
      </c>
      <c r="M116" s="1461" t="s">
        <v>850</v>
      </c>
      <c r="N116" s="1461" t="s">
        <v>849</v>
      </c>
      <c r="O116" s="1461" t="s">
        <v>756</v>
      </c>
    </row>
    <row r="117" spans="1:15" x14ac:dyDescent="0.2">
      <c r="A117" s="187"/>
      <c r="B117" s="376"/>
      <c r="J117" s="421"/>
      <c r="K117" s="1461"/>
      <c r="M117" s="1461"/>
      <c r="N117" s="1461"/>
    </row>
    <row r="118" spans="1:15" x14ac:dyDescent="0.2">
      <c r="A118" s="187"/>
      <c r="B118" s="376" t="s">
        <v>854</v>
      </c>
      <c r="D118" s="376"/>
      <c r="G118" s="1954"/>
      <c r="K118" s="1461"/>
      <c r="M118" s="1461"/>
      <c r="N118" s="1461"/>
    </row>
    <row r="119" spans="1:15" x14ac:dyDescent="0.2">
      <c r="A119" s="187"/>
      <c r="B119" s="187" t="s">
        <v>855</v>
      </c>
      <c r="D119" s="187"/>
      <c r="G119" s="379"/>
      <c r="K119" s="1461" t="s">
        <v>754</v>
      </c>
      <c r="L119" s="1461" t="s">
        <v>856</v>
      </c>
      <c r="M119" s="1461" t="s">
        <v>854</v>
      </c>
      <c r="N119" s="1461" t="s">
        <v>849</v>
      </c>
      <c r="O119" s="1461" t="s">
        <v>756</v>
      </c>
    </row>
    <row r="120" spans="1:15" x14ac:dyDescent="0.2">
      <c r="A120" s="187"/>
      <c r="B120" s="187" t="s">
        <v>857</v>
      </c>
      <c r="D120" s="187"/>
      <c r="G120" s="379"/>
      <c r="K120" s="1461" t="s">
        <v>754</v>
      </c>
      <c r="L120" s="1461" t="s">
        <v>858</v>
      </c>
      <c r="M120" s="1461" t="s">
        <v>854</v>
      </c>
      <c r="N120" s="1461" t="s">
        <v>849</v>
      </c>
      <c r="O120" s="1461" t="s">
        <v>756</v>
      </c>
    </row>
    <row r="121" spans="1:15" x14ac:dyDescent="0.2">
      <c r="A121" s="187"/>
      <c r="B121" s="187" t="s">
        <v>859</v>
      </c>
      <c r="D121" s="187"/>
      <c r="G121" s="379"/>
      <c r="K121" s="1461" t="s">
        <v>754</v>
      </c>
      <c r="L121" s="1461" t="s">
        <v>860</v>
      </c>
      <c r="M121" s="1461" t="s">
        <v>854</v>
      </c>
      <c r="N121" s="1461" t="s">
        <v>849</v>
      </c>
      <c r="O121" s="1461" t="s">
        <v>756</v>
      </c>
    </row>
    <row r="122" spans="1:15" x14ac:dyDescent="0.2">
      <c r="A122" s="187"/>
      <c r="B122" s="187" t="s">
        <v>861</v>
      </c>
      <c r="D122" s="187"/>
      <c r="G122" s="379"/>
      <c r="K122" s="1461" t="s">
        <v>754</v>
      </c>
      <c r="L122" s="1461" t="s">
        <v>862</v>
      </c>
      <c r="M122" s="1461" t="s">
        <v>854</v>
      </c>
      <c r="N122" s="1461" t="s">
        <v>849</v>
      </c>
      <c r="O122" s="1461" t="s">
        <v>756</v>
      </c>
    </row>
    <row r="123" spans="1:15" x14ac:dyDescent="0.2">
      <c r="N123" s="1461"/>
    </row>
    <row r="124" spans="1:15" x14ac:dyDescent="0.2">
      <c r="B124" s="159" t="s">
        <v>474</v>
      </c>
    </row>
    <row r="126" spans="1:15" x14ac:dyDescent="0.2">
      <c r="B126" s="2251"/>
      <c r="C126" s="2251"/>
      <c r="D126" s="2251"/>
      <c r="E126" s="2251"/>
      <c r="F126" s="2251"/>
      <c r="G126" s="2251"/>
    </row>
    <row r="127" spans="1:15" x14ac:dyDescent="0.2">
      <c r="B127" s="2247"/>
      <c r="C127" s="2247"/>
      <c r="D127" s="2247"/>
      <c r="E127" s="2247"/>
      <c r="F127" s="2247"/>
      <c r="G127" s="2247"/>
    </row>
    <row r="128" spans="1:15" x14ac:dyDescent="0.2">
      <c r="B128" s="2247"/>
      <c r="C128" s="2247"/>
      <c r="D128" s="2247"/>
      <c r="E128" s="2247"/>
      <c r="F128" s="2247"/>
      <c r="G128" s="2247"/>
    </row>
    <row r="129" spans="2:7" x14ac:dyDescent="0.2">
      <c r="B129" s="2247"/>
      <c r="C129" s="2247"/>
      <c r="D129" s="2247"/>
      <c r="E129" s="2247"/>
      <c r="F129" s="2247"/>
      <c r="G129" s="2247"/>
    </row>
    <row r="130" spans="2:7" x14ac:dyDescent="0.2">
      <c r="B130" s="2247"/>
      <c r="C130" s="2247"/>
      <c r="D130" s="2247"/>
      <c r="E130" s="2247"/>
      <c r="F130" s="2247"/>
      <c r="G130" s="2247"/>
    </row>
    <row r="131" spans="2:7" x14ac:dyDescent="0.2">
      <c r="B131" s="2247"/>
      <c r="C131" s="2247"/>
      <c r="D131" s="2247"/>
      <c r="E131" s="2247"/>
      <c r="F131" s="2247"/>
      <c r="G131" s="2247"/>
    </row>
    <row r="132" spans="2:7" x14ac:dyDescent="0.2">
      <c r="B132" s="2247"/>
      <c r="C132" s="2247"/>
      <c r="D132" s="2247"/>
      <c r="E132" s="2247"/>
      <c r="F132" s="2247"/>
      <c r="G132" s="2247"/>
    </row>
    <row r="133" spans="2:7" x14ac:dyDescent="0.2">
      <c r="B133" s="2247"/>
      <c r="C133" s="2247"/>
      <c r="D133" s="2247"/>
      <c r="E133" s="2247"/>
      <c r="F133" s="2247"/>
      <c r="G133" s="2247"/>
    </row>
    <row r="134" spans="2:7" x14ac:dyDescent="0.2">
      <c r="B134" s="2251"/>
      <c r="C134" s="2251"/>
      <c r="D134" s="2251"/>
      <c r="E134" s="2251"/>
      <c r="F134" s="2251"/>
      <c r="G134" s="2251"/>
    </row>
  </sheetData>
  <sheetProtection algorithmName="SHA-512" hashValue="vlIRkSJ5AEAf+6LErEZ7tvhS4eOvMLWHCUF5RuZ8s1GH2ImDHKthTiwTvVSuAhgGMmw5NvU9Lgn081DZjKUxGw==" saltValue="DXD8vrHwnm4AO0gwyIM0bA==" spinCount="100000" sheet="1" objects="1" scenarios="1" autoFilter="0"/>
  <customSheetViews>
    <customSheetView guid="{9FCFC836-1CA5-48BF-958D-24D2EA94B219}" showGridLines="0" fitToPage="1">
      <selection activeCell="B12" sqref="B12"/>
      <rowBreaks count="1" manualBreakCount="1">
        <brk id="58" max="9" man="1"/>
      </rowBreaks>
      <pageMargins left="0" right="0" top="0" bottom="0" header="0" footer="0"/>
      <pageSetup scale="91" fitToHeight="2" orientation="portrait" r:id="rId1"/>
      <headerFooter alignWithMargins="0">
        <oddFooter>&amp;R&amp;A (&amp;P of &amp;N)</oddFooter>
      </headerFooter>
    </customSheetView>
    <customSheetView guid="{B08879A4-635B-4C39-9937-AC7883D562FC}" showGridLines="0" fitToPage="1">
      <selection activeCell="B12" sqref="B12"/>
      <rowBreaks count="1" manualBreakCount="1">
        <brk id="58" max="9" man="1"/>
      </rowBreaks>
      <pageMargins left="0" right="0" top="0" bottom="0" header="0" footer="0"/>
      <pageSetup scale="91" fitToHeight="2" orientation="portrait" r:id="rId2"/>
      <headerFooter alignWithMargins="0">
        <oddFooter>&amp;R&amp;A (&amp;P of &amp;N)</oddFooter>
      </headerFooter>
    </customSheetView>
  </customSheetViews>
  <mergeCells count="4">
    <mergeCell ref="B1:G1"/>
    <mergeCell ref="H1:H3"/>
    <mergeCell ref="B2:G2"/>
    <mergeCell ref="B3:G3"/>
  </mergeCells>
  <phoneticPr fontId="16" type="noConversion"/>
  <conditionalFormatting sqref="H1:H4">
    <cfRule type="cellIs" dxfId="143" priority="1" stopIfTrue="1" operator="equal">
      <formula>"na"</formula>
    </cfRule>
  </conditionalFormatting>
  <dataValidations count="1">
    <dataValidation type="whole" operator="greaterThanOrEqual" allowBlank="1" showInputMessage="1" showErrorMessage="1" errorTitle="Invalid data!" error="Amount must be a positive whole number." sqref="G72:G78 G83 G93 G100:G105 G110 G118:G121 G23:G24 G63:G69 G57:G61 G43:G46 G28:G40 G17:G20 G113:G116 G85:G91 G49:G53 G81" xr:uid="{00000000-0002-0000-0A00-000000000000}">
      <formula1>0</formula1>
    </dataValidation>
  </dataValidations>
  <hyperlinks>
    <hyperlink ref="B1:G1" location="Index!A1" display="Index!A1" xr:uid="{00000000-0004-0000-0A00-000000000000}"/>
  </hyperlinks>
  <pageMargins left="0.6" right="0.6" top="0.5" bottom="0.5" header="0.3" footer="0.3"/>
  <pageSetup scale="85" fitToHeight="2"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M100"/>
  <sheetViews>
    <sheetView showGridLines="0" topLeftCell="C1" zoomScaleNormal="100" workbookViewId="0">
      <selection activeCell="C1" sqref="C1:P1"/>
    </sheetView>
  </sheetViews>
  <sheetFormatPr defaultColWidth="9.42578125" defaultRowHeight="12.75" x14ac:dyDescent="0.2"/>
  <cols>
    <col min="1" max="1" width="7" style="31" hidden="1" customWidth="1"/>
    <col min="2" max="2" width="7.85546875" style="31" hidden="1" customWidth="1"/>
    <col min="3" max="3" width="2.5703125" style="31" customWidth="1"/>
    <col min="4" max="4" width="17.140625" style="31" customWidth="1"/>
    <col min="5" max="5" width="9.28515625" style="31" customWidth="1"/>
    <col min="6" max="6" width="14.28515625" style="31" customWidth="1"/>
    <col min="7" max="7" width="4.28515625" style="31" customWidth="1"/>
    <col min="8" max="8" width="15.5703125" style="31" bestFit="1" customWidth="1"/>
    <col min="9" max="9" width="1" style="31" customWidth="1"/>
    <col min="10" max="10" width="17.140625" style="31" customWidth="1"/>
    <col min="11" max="11" width="3.28515625" style="31" customWidth="1"/>
    <col min="12" max="12" width="16.5703125" style="31" customWidth="1"/>
    <col min="13" max="13" width="1.7109375" style="31" customWidth="1"/>
    <col min="14" max="14" width="16.5703125" style="31" customWidth="1"/>
    <col min="15" max="15" width="4" style="31" customWidth="1"/>
    <col min="16" max="16" width="16.5703125" style="31" customWidth="1"/>
    <col min="17" max="17" width="1.5703125" style="31" customWidth="1"/>
    <col min="18" max="18" width="16.5703125" style="31" customWidth="1"/>
    <col min="19" max="19" width="4" style="31" customWidth="1"/>
    <col min="20" max="20" width="4.42578125" style="31" hidden="1" customWidth="1"/>
    <col min="21" max="21" width="9.5703125" style="31" hidden="1" customWidth="1"/>
    <col min="22" max="22" width="10.5703125" style="31" hidden="1" customWidth="1"/>
    <col min="23" max="26" width="9.5703125" style="31" hidden="1" customWidth="1"/>
    <col min="27" max="35" width="10.5703125" style="31" hidden="1" customWidth="1"/>
    <col min="36" max="36" width="0" style="31" hidden="1" customWidth="1"/>
    <col min="37" max="37" width="9.42578125" style="31"/>
    <col min="38" max="38" width="13.42578125" style="1469" customWidth="1"/>
    <col min="39" max="16384" width="9.42578125" style="31"/>
  </cols>
  <sheetData>
    <row r="1" spans="1:39" s="71" customFormat="1" ht="25.15" customHeight="1" x14ac:dyDescent="0.25">
      <c r="A1" s="71" t="str">
        <f t="shared" ref="A1:A30" si="0">AgyIdx</f>
        <v>01</v>
      </c>
      <c r="C1" s="2455" t="str">
        <f>+Index!$A$1</f>
        <v xml:space="preserve">                                                               Office of the State Controller                                                                </v>
      </c>
      <c r="D1" s="2455"/>
      <c r="E1" s="2455"/>
      <c r="F1" s="2455"/>
      <c r="G1" s="2455"/>
      <c r="H1" s="2455"/>
      <c r="I1" s="2455"/>
      <c r="J1" s="2455"/>
      <c r="K1" s="2455"/>
      <c r="L1" s="2455"/>
      <c r="M1" s="2455"/>
      <c r="N1" s="2455"/>
      <c r="O1" s="2455"/>
      <c r="P1" s="2455"/>
      <c r="Q1" s="2214"/>
      <c r="R1" s="2214"/>
      <c r="S1" s="2456"/>
      <c r="T1" s="72"/>
      <c r="U1" s="72"/>
      <c r="AK1" s="2215" t="str">
        <f>IF(Index!$B$27="na","NA","")</f>
        <v/>
      </c>
      <c r="AL1" s="1468"/>
    </row>
    <row r="2" spans="1:39" s="71" customFormat="1" ht="15" customHeight="1" x14ac:dyDescent="0.25">
      <c r="A2" s="71" t="str">
        <f t="shared" si="0"/>
        <v>01</v>
      </c>
      <c r="C2" s="2457" t="str">
        <f>+Index!$A$2</f>
        <v>2023 ACFR Worksheets</v>
      </c>
      <c r="D2" s="2457"/>
      <c r="E2" s="2457"/>
      <c r="F2" s="2457"/>
      <c r="G2" s="2457"/>
      <c r="H2" s="2457"/>
      <c r="I2" s="2457"/>
      <c r="J2" s="2457"/>
      <c r="K2" s="2457"/>
      <c r="L2" s="2457"/>
      <c r="M2" s="2457"/>
      <c r="N2" s="2457"/>
      <c r="O2" s="2457"/>
      <c r="P2" s="2457"/>
      <c r="Q2" s="2216"/>
      <c r="R2" s="2216"/>
      <c r="S2" s="2456"/>
      <c r="T2" s="72"/>
      <c r="U2" s="72"/>
      <c r="AK2" s="2215"/>
      <c r="AL2" s="1468"/>
    </row>
    <row r="3" spans="1:39" s="71" customFormat="1" ht="15" customHeight="1" x14ac:dyDescent="0.25">
      <c r="A3" s="71" t="str">
        <f t="shared" si="0"/>
        <v>01</v>
      </c>
      <c r="C3" s="2457" t="s">
        <v>863</v>
      </c>
      <c r="D3" s="2457"/>
      <c r="E3" s="2457"/>
      <c r="F3" s="2457"/>
      <c r="G3" s="2457"/>
      <c r="H3" s="2457"/>
      <c r="I3" s="2457"/>
      <c r="J3" s="2457"/>
      <c r="K3" s="2457"/>
      <c r="L3" s="2457"/>
      <c r="M3" s="2457"/>
      <c r="N3" s="2457"/>
      <c r="O3" s="2457"/>
      <c r="P3" s="2457"/>
      <c r="Q3" s="2216"/>
      <c r="R3" s="2216"/>
      <c r="S3" s="2456"/>
      <c r="T3" s="72"/>
      <c r="U3" s="72"/>
      <c r="AK3" s="2215"/>
      <c r="AL3" s="1468"/>
    </row>
    <row r="4" spans="1:39" s="719" customFormat="1" ht="15" customHeight="1" x14ac:dyDescent="0.25">
      <c r="A4" s="71" t="str">
        <f t="shared" si="0"/>
        <v>01</v>
      </c>
      <c r="L4" s="430" t="s">
        <v>864</v>
      </c>
      <c r="M4" s="430"/>
      <c r="N4" s="430"/>
      <c r="AL4" s="1467"/>
    </row>
    <row r="5" spans="1:39" s="719" customFormat="1" ht="15" customHeight="1" x14ac:dyDescent="0.25">
      <c r="A5" s="71" t="str">
        <f t="shared" si="0"/>
        <v>01</v>
      </c>
      <c r="H5" s="2099"/>
      <c r="I5" s="2099"/>
      <c r="J5" s="2099"/>
      <c r="K5" s="2099"/>
      <c r="L5" s="2099"/>
      <c r="M5" s="27" t="s">
        <v>317</v>
      </c>
      <c r="N5" s="27"/>
      <c r="O5" s="2499" t="str">
        <f>+Index!$E$10</f>
        <v>01</v>
      </c>
      <c r="P5" s="2499"/>
      <c r="Q5" s="2499"/>
      <c r="R5" s="2499"/>
      <c r="AL5" s="1467"/>
    </row>
    <row r="6" spans="1:39" s="719" customFormat="1" ht="15" customHeight="1" x14ac:dyDescent="0.25">
      <c r="A6" s="71" t="str">
        <f t="shared" si="0"/>
        <v>01</v>
      </c>
      <c r="C6" s="719" t="s">
        <v>50</v>
      </c>
      <c r="D6" s="1481"/>
      <c r="E6" s="2132"/>
      <c r="F6" s="1539"/>
      <c r="H6" s="2099"/>
      <c r="I6" s="2099"/>
      <c r="J6" s="2099"/>
      <c r="K6" s="2099"/>
      <c r="L6" s="2099"/>
      <c r="M6" s="27" t="s">
        <v>318</v>
      </c>
      <c r="N6" s="27"/>
      <c r="O6" s="2500" t="str">
        <f>+Index!$E$11</f>
        <v>North Carolina General Assembly</v>
      </c>
      <c r="P6" s="2500"/>
      <c r="Q6" s="2500"/>
      <c r="R6" s="2500"/>
      <c r="AL6" s="1467"/>
    </row>
    <row r="7" spans="1:39" s="719" customFormat="1" ht="15" customHeight="1" x14ac:dyDescent="0.25">
      <c r="A7" s="71" t="str">
        <f t="shared" si="0"/>
        <v>01</v>
      </c>
      <c r="C7" s="719" t="s">
        <v>568</v>
      </c>
      <c r="E7" s="1577" t="s">
        <v>754</v>
      </c>
      <c r="H7" s="2100"/>
      <c r="I7" s="2100"/>
      <c r="J7" s="2100"/>
      <c r="K7" s="2100"/>
      <c r="L7" s="2100"/>
      <c r="M7" s="27" t="s">
        <v>319</v>
      </c>
      <c r="N7" s="27"/>
      <c r="O7" s="2501" t="str">
        <f>CONCATENATE(Index!$E$12," ",Index!$E$14)</f>
        <v xml:space="preserve"> </v>
      </c>
      <c r="P7" s="2501"/>
      <c r="Q7" s="2501"/>
      <c r="R7" s="2501"/>
      <c r="AL7" s="1467"/>
    </row>
    <row r="8" spans="1:39" s="719" customFormat="1" ht="15" customHeight="1" x14ac:dyDescent="0.25">
      <c r="A8" s="71" t="str">
        <f t="shared" si="0"/>
        <v>01</v>
      </c>
      <c r="H8" s="2100"/>
      <c r="I8" s="2100"/>
      <c r="J8" s="2100"/>
      <c r="K8" s="2100"/>
      <c r="L8" s="2100"/>
      <c r="M8" s="27" t="s">
        <v>71</v>
      </c>
      <c r="N8" s="27"/>
      <c r="O8" s="2501">
        <f>+Index!$E$13</f>
        <v>0</v>
      </c>
      <c r="P8" s="2501"/>
      <c r="Q8" s="2501"/>
      <c r="R8" s="2501"/>
      <c r="AL8" s="1467"/>
    </row>
    <row r="9" spans="1:39" s="719" customFormat="1" ht="9" customHeight="1" thickBot="1" x14ac:dyDescent="0.3">
      <c r="A9" s="71" t="str">
        <f t="shared" si="0"/>
        <v>01</v>
      </c>
      <c r="C9" s="1745"/>
      <c r="D9" s="1745"/>
      <c r="E9" s="1745"/>
      <c r="F9" s="1745"/>
      <c r="G9" s="1745"/>
      <c r="H9" s="1745"/>
      <c r="I9" s="1745"/>
      <c r="J9" s="1745"/>
      <c r="K9" s="1745"/>
      <c r="L9" s="1745"/>
      <c r="M9" s="1745"/>
      <c r="N9" s="1745"/>
      <c r="O9" s="1745"/>
      <c r="P9" s="1745"/>
      <c r="Q9" s="2028"/>
      <c r="R9" s="2028"/>
      <c r="AL9" s="1467"/>
    </row>
    <row r="10" spans="1:39" s="719" customFormat="1" ht="6" customHeight="1" x14ac:dyDescent="0.25">
      <c r="A10" s="71" t="str">
        <f t="shared" si="0"/>
        <v>01</v>
      </c>
      <c r="AL10" s="1467"/>
    </row>
    <row r="11" spans="1:39" s="719" customFormat="1" ht="15" customHeight="1" x14ac:dyDescent="0.25">
      <c r="A11" s="71" t="str">
        <f t="shared" si="0"/>
        <v>01</v>
      </c>
      <c r="C11" s="1572" t="s">
        <v>865</v>
      </c>
      <c r="D11" s="11"/>
      <c r="E11" s="1573"/>
      <c r="F11" s="11"/>
      <c r="G11" s="11"/>
      <c r="H11" s="11"/>
      <c r="I11" s="11"/>
      <c r="J11" s="11"/>
      <c r="K11" s="11"/>
      <c r="L11" s="11"/>
      <c r="M11" s="11"/>
      <c r="N11" s="11"/>
      <c r="O11" s="11"/>
      <c r="P11" s="1574"/>
      <c r="Q11" s="1574"/>
      <c r="R11" s="1574"/>
      <c r="S11" s="1575"/>
      <c r="T11" s="1575"/>
      <c r="U11" s="1575"/>
      <c r="V11" s="1575"/>
      <c r="W11" s="1575"/>
      <c r="X11" s="1575"/>
      <c r="Y11" s="1575"/>
      <c r="Z11" s="1575"/>
      <c r="AA11" s="1575"/>
      <c r="AB11" s="1575"/>
      <c r="AC11" s="1575"/>
      <c r="AD11" s="1575"/>
      <c r="AE11" s="1575"/>
      <c r="AF11" s="1575"/>
      <c r="AG11" s="1575"/>
      <c r="AH11" s="1575"/>
      <c r="AI11" s="1575"/>
      <c r="AJ11" s="1575"/>
      <c r="AL11" s="1576"/>
      <c r="AM11" s="1575"/>
    </row>
    <row r="12" spans="1:39" s="719" customFormat="1" ht="15" customHeight="1" x14ac:dyDescent="0.25">
      <c r="A12" s="71"/>
      <c r="C12" s="1572" t="s">
        <v>866</v>
      </c>
      <c r="D12" s="11"/>
      <c r="E12" s="1573"/>
      <c r="F12" s="11"/>
      <c r="G12" s="11"/>
      <c r="H12" s="11"/>
      <c r="I12" s="11"/>
      <c r="J12" s="11"/>
      <c r="K12" s="11"/>
      <c r="L12" s="11"/>
      <c r="M12" s="11"/>
      <c r="N12" s="11"/>
      <c r="O12" s="11"/>
      <c r="P12" s="1574"/>
      <c r="Q12" s="1574"/>
      <c r="R12" s="1574"/>
      <c r="S12" s="1575"/>
      <c r="T12" s="1575"/>
      <c r="U12" s="1575"/>
      <c r="V12" s="1575"/>
      <c r="W12" s="1575"/>
      <c r="X12" s="1575"/>
      <c r="Y12" s="1575"/>
      <c r="Z12" s="1575"/>
      <c r="AA12" s="1575"/>
      <c r="AB12" s="1575"/>
      <c r="AC12" s="1575"/>
      <c r="AD12" s="1575"/>
      <c r="AE12" s="1575"/>
      <c r="AF12" s="1575"/>
      <c r="AG12" s="1575"/>
      <c r="AH12" s="1575"/>
      <c r="AI12" s="1575"/>
      <c r="AJ12" s="1575"/>
      <c r="AL12" s="1576"/>
      <c r="AM12" s="1575"/>
    </row>
    <row r="13" spans="1:39" s="719" customFormat="1" ht="15" customHeight="1" x14ac:dyDescent="0.25">
      <c r="A13" s="71"/>
      <c r="C13" s="1572" t="s">
        <v>867</v>
      </c>
      <c r="D13" s="11"/>
      <c r="E13" s="1573"/>
      <c r="F13" s="11"/>
      <c r="G13" s="11"/>
      <c r="H13" s="11"/>
      <c r="I13" s="11"/>
      <c r="J13" s="11"/>
      <c r="K13" s="11"/>
      <c r="L13" s="11"/>
      <c r="M13" s="11"/>
      <c r="N13" s="11"/>
      <c r="O13" s="11"/>
      <c r="P13" s="1574"/>
      <c r="Q13" s="1574"/>
      <c r="R13" s="1574"/>
      <c r="S13" s="1575"/>
      <c r="T13" s="1575"/>
      <c r="U13" s="1575"/>
      <c r="V13" s="1575"/>
      <c r="W13" s="1575"/>
      <c r="X13" s="1575"/>
      <c r="Y13" s="1575"/>
      <c r="Z13" s="1575"/>
      <c r="AA13" s="1575"/>
      <c r="AB13" s="1575"/>
      <c r="AC13" s="1575"/>
      <c r="AD13" s="1575"/>
      <c r="AE13" s="1575"/>
      <c r="AF13" s="1575"/>
      <c r="AG13" s="1575"/>
      <c r="AH13" s="1575"/>
      <c r="AI13" s="1575"/>
      <c r="AJ13" s="1575"/>
      <c r="AL13" s="1576"/>
      <c r="AM13" s="1575"/>
    </row>
    <row r="14" spans="1:39" s="719" customFormat="1" ht="15" customHeight="1" x14ac:dyDescent="0.25">
      <c r="A14" s="71"/>
      <c r="C14" s="1572" t="s">
        <v>868</v>
      </c>
      <c r="D14" s="11"/>
      <c r="E14" s="1573"/>
      <c r="F14" s="11"/>
      <c r="G14" s="11"/>
      <c r="H14" s="11"/>
      <c r="I14" s="11"/>
      <c r="J14" s="11"/>
      <c r="K14" s="11"/>
      <c r="L14" s="11"/>
      <c r="M14" s="11"/>
      <c r="N14" s="11"/>
      <c r="O14" s="11"/>
      <c r="P14" s="1574"/>
      <c r="Q14" s="1574"/>
      <c r="R14" s="1574"/>
      <c r="S14" s="1575"/>
      <c r="T14" s="1575"/>
      <c r="U14" s="1575"/>
      <c r="V14" s="1575"/>
      <c r="W14" s="1575"/>
      <c r="X14" s="1575"/>
      <c r="Y14" s="1575"/>
      <c r="Z14" s="1575"/>
      <c r="AA14" s="1575"/>
      <c r="AB14" s="1575"/>
      <c r="AC14" s="1575"/>
      <c r="AD14" s="1575"/>
      <c r="AE14" s="1575"/>
      <c r="AF14" s="1575"/>
      <c r="AG14" s="1575"/>
      <c r="AH14" s="1575"/>
      <c r="AI14" s="1575"/>
      <c r="AJ14" s="1575"/>
      <c r="AL14" s="1576"/>
      <c r="AM14" s="1575"/>
    </row>
    <row r="15" spans="1:39" s="719" customFormat="1" ht="15" customHeight="1" x14ac:dyDescent="0.25">
      <c r="A15" s="71" t="str">
        <f t="shared" si="0"/>
        <v>01</v>
      </c>
      <c r="C15" s="782" t="s">
        <v>869</v>
      </c>
      <c r="D15" s="159"/>
      <c r="E15" s="2246"/>
      <c r="F15" s="159"/>
      <c r="G15" s="159"/>
      <c r="H15" s="159"/>
      <c r="I15" s="159"/>
      <c r="J15" s="159"/>
      <c r="K15" s="159"/>
      <c r="L15" s="159"/>
      <c r="M15" s="159"/>
      <c r="N15" s="159"/>
      <c r="O15" s="159"/>
      <c r="AL15" s="1467"/>
    </row>
    <row r="16" spans="1:39" s="719" customFormat="1" ht="13.5" customHeight="1" x14ac:dyDescent="0.25">
      <c r="A16" s="71" t="str">
        <f t="shared" si="0"/>
        <v>01</v>
      </c>
      <c r="C16" s="722" t="s">
        <v>870</v>
      </c>
      <c r="D16" s="159"/>
      <c r="E16" s="2246"/>
      <c r="F16" s="159"/>
      <c r="G16" s="159"/>
      <c r="H16" s="159"/>
      <c r="I16" s="159"/>
      <c r="J16" s="159"/>
      <c r="K16" s="159"/>
      <c r="L16" s="159"/>
      <c r="M16" s="159"/>
      <c r="N16" s="159"/>
      <c r="O16" s="159"/>
      <c r="AL16" s="1467"/>
    </row>
    <row r="17" spans="1:38" s="719" customFormat="1" ht="12" customHeight="1" x14ac:dyDescent="0.25">
      <c r="A17" s="71" t="str">
        <f t="shared" si="0"/>
        <v>01</v>
      </c>
      <c r="C17" s="782" t="s">
        <v>871</v>
      </c>
      <c r="D17" s="159"/>
      <c r="E17" s="2246"/>
      <c r="F17" s="159"/>
      <c r="G17" s="159"/>
      <c r="H17" s="159"/>
      <c r="I17" s="159"/>
      <c r="J17" s="159"/>
      <c r="K17" s="159"/>
      <c r="L17" s="159"/>
      <c r="M17" s="159"/>
      <c r="N17" s="159"/>
      <c r="O17" s="159"/>
      <c r="AL17" s="1467"/>
    </row>
    <row r="18" spans="1:38" s="719" customFormat="1" ht="12" customHeight="1" x14ac:dyDescent="0.25">
      <c r="A18" s="71" t="str">
        <f t="shared" si="0"/>
        <v>01</v>
      </c>
      <c r="C18" s="782" t="s">
        <v>872</v>
      </c>
      <c r="D18" s="159"/>
      <c r="E18" s="2246"/>
      <c r="F18" s="159"/>
      <c r="G18" s="159"/>
      <c r="H18" s="159"/>
      <c r="I18" s="159"/>
      <c r="J18" s="159"/>
      <c r="K18" s="159"/>
      <c r="L18" s="159"/>
      <c r="M18" s="159"/>
      <c r="N18" s="159"/>
      <c r="O18" s="159"/>
      <c r="AL18" s="1467"/>
    </row>
    <row r="19" spans="1:38" s="719" customFormat="1" ht="12" customHeight="1" x14ac:dyDescent="0.25">
      <c r="A19" s="71" t="str">
        <f t="shared" si="0"/>
        <v>01</v>
      </c>
      <c r="C19" s="782" t="s">
        <v>873</v>
      </c>
      <c r="D19" s="159"/>
      <c r="E19" s="2246"/>
      <c r="F19" s="159"/>
      <c r="G19" s="159"/>
      <c r="H19" s="159"/>
      <c r="I19" s="159"/>
      <c r="J19" s="159"/>
      <c r="K19" s="159"/>
      <c r="L19" s="159"/>
      <c r="M19" s="159"/>
      <c r="N19" s="159"/>
      <c r="O19" s="159"/>
      <c r="AL19" s="1467"/>
    </row>
    <row r="20" spans="1:38" s="719" customFormat="1" ht="3.6" customHeight="1" x14ac:dyDescent="0.25">
      <c r="A20" s="71"/>
      <c r="C20" s="159"/>
      <c r="D20" s="159"/>
      <c r="E20" s="159"/>
      <c r="F20" s="159"/>
      <c r="G20" s="159"/>
      <c r="H20" s="159"/>
      <c r="I20" s="159"/>
      <c r="J20" s="159"/>
      <c r="K20" s="159"/>
      <c r="L20" s="159"/>
      <c r="M20" s="159"/>
      <c r="N20" s="159"/>
      <c r="O20" s="159"/>
      <c r="P20" s="159"/>
      <c r="Q20" s="159"/>
      <c r="R20" s="159"/>
      <c r="S20" s="159"/>
      <c r="AL20" s="1467"/>
    </row>
    <row r="21" spans="1:38" s="719" customFormat="1" ht="13.15" customHeight="1" x14ac:dyDescent="0.25">
      <c r="A21" s="71"/>
      <c r="C21" s="1" t="s">
        <v>874</v>
      </c>
      <c r="D21" s="1" t="s">
        <v>875</v>
      </c>
      <c r="E21" s="159"/>
      <c r="F21" s="159"/>
      <c r="G21" s="159"/>
      <c r="H21" s="159"/>
      <c r="I21" s="159"/>
      <c r="J21" s="159"/>
      <c r="K21" s="159"/>
      <c r="L21" s="159"/>
      <c r="M21" s="159"/>
      <c r="N21" s="159"/>
      <c r="O21" s="159"/>
      <c r="P21" s="159"/>
      <c r="Q21" s="159"/>
      <c r="R21" s="159"/>
      <c r="S21" s="159"/>
      <c r="AL21" s="1467"/>
    </row>
    <row r="22" spans="1:38" s="719" customFormat="1" ht="15" customHeight="1" x14ac:dyDescent="0.25">
      <c r="A22" s="71" t="str">
        <f t="shared" si="0"/>
        <v>01</v>
      </c>
      <c r="C22" s="159"/>
      <c r="D22" s="159" t="s">
        <v>876</v>
      </c>
      <c r="E22" s="159"/>
      <c r="F22" s="159"/>
      <c r="G22" s="159"/>
      <c r="H22" s="159"/>
      <c r="I22" s="159"/>
      <c r="J22" s="159"/>
      <c r="K22" s="159"/>
      <c r="L22" s="159"/>
      <c r="M22" s="159"/>
      <c r="N22" s="159"/>
      <c r="O22" s="159"/>
      <c r="P22" s="159"/>
      <c r="Q22" s="159"/>
      <c r="R22" s="159"/>
      <c r="S22" s="159"/>
      <c r="AL22" s="1467"/>
    </row>
    <row r="23" spans="1:38" s="719" customFormat="1" ht="17.45" customHeight="1" x14ac:dyDescent="0.25">
      <c r="A23" s="71" t="str">
        <f t="shared" si="0"/>
        <v>01</v>
      </c>
      <c r="C23" s="159"/>
      <c r="D23" s="159"/>
      <c r="E23" s="159"/>
      <c r="F23" s="1466"/>
      <c r="G23" s="1466"/>
      <c r="H23" s="2502" t="s">
        <v>877</v>
      </c>
      <c r="I23" s="2502"/>
      <c r="J23" s="2502"/>
      <c r="K23" s="1466"/>
      <c r="L23" s="2505" t="s">
        <v>878</v>
      </c>
      <c r="M23" s="2505"/>
      <c r="N23" s="2505"/>
      <c r="O23" s="1465"/>
      <c r="P23" s="2505" t="s">
        <v>879</v>
      </c>
      <c r="Q23" s="2505"/>
      <c r="R23" s="2505"/>
      <c r="S23" s="159"/>
      <c r="AL23" s="1467"/>
    </row>
    <row r="24" spans="1:38" s="719" customFormat="1" ht="14.1" customHeight="1" x14ac:dyDescent="0.25">
      <c r="A24" s="71" t="str">
        <f t="shared" si="0"/>
        <v>01</v>
      </c>
      <c r="C24" s="159"/>
      <c r="D24" s="2231" t="s">
        <v>880</v>
      </c>
      <c r="E24" s="2246"/>
      <c r="F24" s="2231"/>
      <c r="G24" s="2231"/>
      <c r="H24" s="2233" t="s">
        <v>881</v>
      </c>
      <c r="I24" s="2233"/>
      <c r="J24" s="2233" t="s">
        <v>882</v>
      </c>
      <c r="K24" s="2230"/>
      <c r="L24" s="2233" t="s">
        <v>881</v>
      </c>
      <c r="M24" s="2233"/>
      <c r="N24" s="2233" t="s">
        <v>882</v>
      </c>
      <c r="O24" s="2233"/>
      <c r="P24" s="2233" t="s">
        <v>881</v>
      </c>
      <c r="Q24" s="2233"/>
      <c r="R24" s="2233" t="s">
        <v>882</v>
      </c>
      <c r="S24" s="159"/>
      <c r="AL24" s="1467"/>
    </row>
    <row r="25" spans="1:38" s="719" customFormat="1" ht="14.1" customHeight="1" x14ac:dyDescent="0.25">
      <c r="A25" s="71" t="str">
        <f t="shared" si="0"/>
        <v>01</v>
      </c>
      <c r="C25" s="159"/>
      <c r="D25" s="2231" t="s">
        <v>883</v>
      </c>
      <c r="E25" s="2246"/>
      <c r="F25" s="159"/>
      <c r="G25" s="159"/>
      <c r="H25" s="2503" t="s">
        <v>884</v>
      </c>
      <c r="I25" s="2503"/>
      <c r="J25" s="2503"/>
      <c r="K25" s="159"/>
      <c r="L25" s="2504" t="s">
        <v>885</v>
      </c>
      <c r="M25" s="2504"/>
      <c r="N25" s="2504"/>
      <c r="O25" s="2231"/>
      <c r="P25" s="2503" t="s">
        <v>886</v>
      </c>
      <c r="Q25" s="2503"/>
      <c r="R25" s="2503"/>
      <c r="S25" s="159"/>
      <c r="AL25" s="1467"/>
    </row>
    <row r="26" spans="1:38" s="719" customFormat="1" ht="15.75" x14ac:dyDescent="0.25">
      <c r="A26" s="71" t="str">
        <f t="shared" si="0"/>
        <v>01</v>
      </c>
      <c r="C26" s="159"/>
      <c r="D26" s="2261" t="s">
        <v>887</v>
      </c>
      <c r="E26" s="2246"/>
      <c r="F26" s="159"/>
      <c r="G26" s="159"/>
      <c r="H26" s="2261" t="s">
        <v>888</v>
      </c>
      <c r="I26" s="2231"/>
      <c r="J26" s="2261" t="s">
        <v>889</v>
      </c>
      <c r="K26" s="159"/>
      <c r="L26" s="2261" t="s">
        <v>888</v>
      </c>
      <c r="M26" s="2231"/>
      <c r="N26" s="2261" t="s">
        <v>889</v>
      </c>
      <c r="O26" s="2231"/>
      <c r="P26" s="2261" t="s">
        <v>888</v>
      </c>
      <c r="Q26" s="2231"/>
      <c r="R26" s="2261" t="s">
        <v>889</v>
      </c>
      <c r="S26" s="159"/>
      <c r="AL26" s="1467"/>
    </row>
    <row r="27" spans="1:38" s="719" customFormat="1" ht="15.6" hidden="1" customHeight="1" x14ac:dyDescent="0.25">
      <c r="A27" s="71" t="str">
        <f t="shared" si="0"/>
        <v>01</v>
      </c>
      <c r="C27" s="159"/>
      <c r="D27" s="2231"/>
      <c r="E27" s="2246"/>
      <c r="F27" s="159"/>
      <c r="G27" s="159"/>
      <c r="H27" s="720" t="s">
        <v>890</v>
      </c>
      <c r="I27" s="720"/>
      <c r="J27" s="720"/>
      <c r="K27" s="159"/>
      <c r="L27" s="720" t="s">
        <v>891</v>
      </c>
      <c r="M27" s="720"/>
      <c r="N27" s="720"/>
      <c r="O27" s="2231"/>
      <c r="P27" s="720" t="s">
        <v>892</v>
      </c>
      <c r="Q27" s="720"/>
      <c r="R27" s="720"/>
      <c r="S27" s="159"/>
      <c r="AL27" s="1467"/>
    </row>
    <row r="28" spans="1:38" s="719" customFormat="1" ht="15.75" x14ac:dyDescent="0.25">
      <c r="A28" s="71" t="str">
        <f t="shared" si="0"/>
        <v>01</v>
      </c>
      <c r="B28" s="719">
        <v>105</v>
      </c>
      <c r="C28" s="159"/>
      <c r="D28" s="2246">
        <f>+YEAR(Data!$A$2)+1</f>
        <v>2024</v>
      </c>
      <c r="E28" s="2246"/>
      <c r="F28" s="1746"/>
      <c r="G28" s="1746"/>
      <c r="H28" s="1747">
        <v>0</v>
      </c>
      <c r="I28" s="2029"/>
      <c r="J28" s="2271">
        <v>0</v>
      </c>
      <c r="K28" s="1746"/>
      <c r="L28" s="1747"/>
      <c r="M28" s="2029"/>
      <c r="N28" s="2271"/>
      <c r="O28" s="1746"/>
      <c r="P28" s="1747"/>
      <c r="Q28" s="2029"/>
      <c r="R28" s="1747"/>
      <c r="S28" s="159"/>
      <c r="T28" s="719">
        <f>+__Agy301</f>
        <v>0</v>
      </c>
      <c r="U28" s="719" t="s">
        <v>893</v>
      </c>
      <c r="V28" s="1748" t="e">
        <f>+#REF!</f>
        <v>#REF!</v>
      </c>
      <c r="W28" s="1748" t="e">
        <f>+#REF!</f>
        <v>#REF!</v>
      </c>
      <c r="X28" s="1748" t="e">
        <f>+#REF!</f>
        <v>#REF!</v>
      </c>
      <c r="Y28" s="1748" t="e">
        <f>+#REF!</f>
        <v>#REF!</v>
      </c>
      <c r="Z28" s="1748" t="e">
        <f>+#REF!</f>
        <v>#REF!</v>
      </c>
      <c r="AA28" s="1748" t="e">
        <f>+#REF!</f>
        <v>#REF!</v>
      </c>
      <c r="AB28" s="1748" t="e">
        <f>+#REF!</f>
        <v>#REF!</v>
      </c>
      <c r="AC28" s="1748" t="e">
        <f>+#REF!</f>
        <v>#REF!</v>
      </c>
      <c r="AD28" s="1748" t="e">
        <f>+#REF!</f>
        <v>#REF!</v>
      </c>
      <c r="AE28" s="1748" t="e">
        <f>+#REF!</f>
        <v>#REF!</v>
      </c>
      <c r="AF28" s="1748" t="e">
        <f>+#REF!</f>
        <v>#REF!</v>
      </c>
      <c r="AG28" s="1748" t="e">
        <f>+#REF!</f>
        <v>#REF!</v>
      </c>
      <c r="AH28" s="1748" t="e">
        <f>+#REF!</f>
        <v>#REF!</v>
      </c>
      <c r="AI28" s="1748" t="e">
        <f>+#REF!</f>
        <v>#REF!</v>
      </c>
      <c r="AL28" s="1467" t="s">
        <v>894</v>
      </c>
    </row>
    <row r="29" spans="1:38" s="719" customFormat="1" ht="14.1" customHeight="1" x14ac:dyDescent="0.25">
      <c r="A29" s="71" t="str">
        <f t="shared" si="0"/>
        <v>01</v>
      </c>
      <c r="B29" s="719">
        <v>110</v>
      </c>
      <c r="C29" s="159"/>
      <c r="D29" s="2246">
        <f>D28+1</f>
        <v>2025</v>
      </c>
      <c r="E29" s="2246"/>
      <c r="F29" s="1746"/>
      <c r="G29" s="1746"/>
      <c r="H29" s="1747"/>
      <c r="I29" s="2029"/>
      <c r="J29" s="2271"/>
      <c r="K29" s="1746"/>
      <c r="L29" s="1747"/>
      <c r="M29" s="2029"/>
      <c r="N29" s="2271"/>
      <c r="O29" s="1746"/>
      <c r="P29" s="1747"/>
      <c r="Q29" s="2029"/>
      <c r="R29" s="1747"/>
      <c r="S29" s="159"/>
      <c r="T29" s="719">
        <f>+T28</f>
        <v>0</v>
      </c>
      <c r="U29" s="719" t="s">
        <v>895</v>
      </c>
      <c r="V29" s="1748" t="e">
        <f>+#REF!+$H$28+$L$28+$P$28</f>
        <v>#REF!</v>
      </c>
      <c r="W29" s="1748" t="e">
        <f>+#REF!+$H$29+$L$29+$P$29</f>
        <v>#REF!</v>
      </c>
      <c r="X29" s="1748" t="e">
        <f>+#REF!+$H$30+$L$30+$P$30</f>
        <v>#REF!</v>
      </c>
      <c r="Y29" s="1748" t="e">
        <f>+#REF!+$H$31+$L$31+$P$31</f>
        <v>#REF!</v>
      </c>
      <c r="Z29" s="1748" t="e">
        <f>+#REF!+$H$32+$L$32+$P$32</f>
        <v>#REF!</v>
      </c>
      <c r="AA29" s="1748" t="e">
        <f>+#REF!+$H$33+$L$33+$P$33</f>
        <v>#REF!</v>
      </c>
      <c r="AB29" s="1748" t="e">
        <f>+#REF!+$H$34+$L$34+$P$34</f>
        <v>#REF!</v>
      </c>
      <c r="AC29" s="1748" t="e">
        <f>+#REF!+$H$35+$L$35+$P$35</f>
        <v>#REF!</v>
      </c>
      <c r="AD29" s="1748" t="e">
        <f>+#REF!+$H$36+$L$36+$P$36</f>
        <v>#REF!</v>
      </c>
      <c r="AE29" s="1748" t="e">
        <f>+#REF!+$H$37+$L$37+$P$37</f>
        <v>#REF!</v>
      </c>
      <c r="AF29" s="1748" t="e">
        <f>+#REF!+$H$38+$L$38+$P$38</f>
        <v>#REF!</v>
      </c>
      <c r="AG29" s="1748" t="e">
        <f>+#REF!+$H$39+$L$39+$P$39</f>
        <v>#REF!</v>
      </c>
      <c r="AH29" s="1748" t="e">
        <f>+#REF!+$H$40+$L$40+$P$40</f>
        <v>#REF!</v>
      </c>
      <c r="AI29" s="1748" t="e">
        <f>+#REF!+$H$41+$L$41+$P$41</f>
        <v>#REF!</v>
      </c>
      <c r="AJ29" s="1748" t="e">
        <f>+#REF!+#REF!+#REF!+#REF!</f>
        <v>#REF!</v>
      </c>
      <c r="AL29" s="1467" t="s">
        <v>896</v>
      </c>
    </row>
    <row r="30" spans="1:38" s="719" customFormat="1" ht="14.1" customHeight="1" x14ac:dyDescent="0.25">
      <c r="A30" s="71" t="str">
        <f t="shared" si="0"/>
        <v>01</v>
      </c>
      <c r="B30" s="719">
        <v>115</v>
      </c>
      <c r="C30" s="159"/>
      <c r="D30" s="2246">
        <f>D29+1</f>
        <v>2026</v>
      </c>
      <c r="E30" s="2246"/>
      <c r="F30" s="1746"/>
      <c r="G30" s="1746"/>
      <c r="H30" s="1747"/>
      <c r="I30" s="2029"/>
      <c r="J30" s="2271"/>
      <c r="K30" s="1746"/>
      <c r="L30" s="1747"/>
      <c r="M30" s="2029"/>
      <c r="N30" s="2271"/>
      <c r="O30" s="1746"/>
      <c r="P30" s="1747"/>
      <c r="Q30" s="2029"/>
      <c r="R30" s="1747"/>
      <c r="S30" s="159"/>
      <c r="V30" s="1748"/>
      <c r="AL30" s="1467" t="s">
        <v>897</v>
      </c>
    </row>
    <row r="31" spans="1:38" s="719" customFormat="1" ht="14.1" customHeight="1" x14ac:dyDescent="0.25">
      <c r="A31" s="71" t="str">
        <f t="shared" ref="A31:A50" si="1">AgyIdx</f>
        <v>01</v>
      </c>
      <c r="B31" s="719">
        <v>120</v>
      </c>
      <c r="C31" s="159"/>
      <c r="D31" s="2246">
        <f>D30+1</f>
        <v>2027</v>
      </c>
      <c r="E31" s="2246"/>
      <c r="F31" s="1746"/>
      <c r="G31" s="1746"/>
      <c r="H31" s="1747"/>
      <c r="I31" s="2029"/>
      <c r="J31" s="2271"/>
      <c r="K31" s="1746"/>
      <c r="L31" s="1747"/>
      <c r="M31" s="2029"/>
      <c r="N31" s="2271"/>
      <c r="O31" s="1746"/>
      <c r="P31" s="1747"/>
      <c r="Q31" s="2029"/>
      <c r="R31" s="1747"/>
      <c r="S31" s="159"/>
      <c r="V31" s="1748"/>
      <c r="AL31" s="1467" t="s">
        <v>898</v>
      </c>
    </row>
    <row r="32" spans="1:38" s="719" customFormat="1" ht="14.1" customHeight="1" x14ac:dyDescent="0.25">
      <c r="A32" s="71" t="str">
        <f t="shared" si="1"/>
        <v>01</v>
      </c>
      <c r="B32" s="719">
        <v>125</v>
      </c>
      <c r="C32" s="159"/>
      <c r="D32" s="2246">
        <f>D31+1</f>
        <v>2028</v>
      </c>
      <c r="E32" s="2246"/>
      <c r="F32" s="1746"/>
      <c r="G32" s="1746"/>
      <c r="H32" s="1747"/>
      <c r="I32" s="2029"/>
      <c r="J32" s="2271"/>
      <c r="K32" s="1746"/>
      <c r="L32" s="1747"/>
      <c r="M32" s="2029"/>
      <c r="N32" s="2271"/>
      <c r="O32" s="1746"/>
      <c r="P32" s="1747"/>
      <c r="Q32" s="2029"/>
      <c r="R32" s="1747"/>
      <c r="S32" s="159"/>
      <c r="V32" s="1748"/>
      <c r="AL32" s="1467" t="s">
        <v>899</v>
      </c>
    </row>
    <row r="33" spans="1:38" s="719" customFormat="1" ht="14.1" customHeight="1" x14ac:dyDescent="0.25">
      <c r="A33" s="71" t="str">
        <f t="shared" si="1"/>
        <v>01</v>
      </c>
      <c r="B33" s="719">
        <v>130</v>
      </c>
      <c r="C33" s="1749">
        <f>D32+1</f>
        <v>2029</v>
      </c>
      <c r="D33" s="1750" t="str">
        <f>(C33)&amp;" - "&amp;(C33+4)</f>
        <v>2029 - 2033</v>
      </c>
      <c r="E33" s="2246"/>
      <c r="F33" s="1746"/>
      <c r="G33" s="1746"/>
      <c r="H33" s="1747"/>
      <c r="I33" s="2029"/>
      <c r="J33" s="2271"/>
      <c r="K33" s="1746"/>
      <c r="L33" s="1747"/>
      <c r="M33" s="2029"/>
      <c r="N33" s="2271"/>
      <c r="O33" s="1746"/>
      <c r="P33" s="1747"/>
      <c r="Q33" s="2029"/>
      <c r="R33" s="1747"/>
      <c r="S33" s="159"/>
      <c r="V33" s="1748"/>
      <c r="AL33" s="1467" t="s">
        <v>900</v>
      </c>
    </row>
    <row r="34" spans="1:38" s="719" customFormat="1" ht="14.1" customHeight="1" x14ac:dyDescent="0.25">
      <c r="A34" s="71" t="str">
        <f t="shared" si="1"/>
        <v>01</v>
      </c>
      <c r="B34" s="719">
        <v>135</v>
      </c>
      <c r="C34" s="1749">
        <f t="shared" ref="C34:C42" si="2">C33+5</f>
        <v>2034</v>
      </c>
      <c r="D34" s="1750" t="str">
        <f>(C34)&amp;" - "&amp;(C34+4)</f>
        <v>2034 - 2038</v>
      </c>
      <c r="E34" s="2246"/>
      <c r="F34" s="1746"/>
      <c r="G34" s="1746"/>
      <c r="H34" s="1747">
        <v>0</v>
      </c>
      <c r="I34" s="2029"/>
      <c r="J34" s="2271">
        <v>0</v>
      </c>
      <c r="K34" s="1746"/>
      <c r="L34" s="1747">
        <v>0</v>
      </c>
      <c r="M34" s="2029"/>
      <c r="N34" s="2271">
        <v>0</v>
      </c>
      <c r="O34" s="1746"/>
      <c r="P34" s="1747">
        <v>0</v>
      </c>
      <c r="Q34" s="2029"/>
      <c r="R34" s="1747"/>
      <c r="S34" s="159"/>
      <c r="V34" s="1748"/>
      <c r="AL34" s="1467" t="s">
        <v>901</v>
      </c>
    </row>
    <row r="35" spans="1:38" s="719" customFormat="1" ht="14.1" customHeight="1" x14ac:dyDescent="0.25">
      <c r="A35" s="71" t="str">
        <f t="shared" si="1"/>
        <v>01</v>
      </c>
      <c r="B35" s="719">
        <v>140</v>
      </c>
      <c r="C35" s="1749">
        <f t="shared" si="2"/>
        <v>2039</v>
      </c>
      <c r="D35" s="1750" t="str">
        <f>(C35)&amp;" - "&amp;(C35+4)</f>
        <v>2039 - 2043</v>
      </c>
      <c r="E35" s="2246"/>
      <c r="F35" s="1746"/>
      <c r="G35" s="1746"/>
      <c r="H35" s="1747"/>
      <c r="I35" s="2029"/>
      <c r="J35" s="2271"/>
      <c r="K35" s="1746"/>
      <c r="L35" s="1747">
        <v>0</v>
      </c>
      <c r="M35" s="2029"/>
      <c r="N35" s="2271"/>
      <c r="O35" s="1746"/>
      <c r="P35" s="1747">
        <v>0</v>
      </c>
      <c r="Q35" s="2029"/>
      <c r="R35" s="1747">
        <v>0</v>
      </c>
      <c r="S35" s="159"/>
      <c r="V35" s="1748"/>
      <c r="AL35" s="1467" t="s">
        <v>902</v>
      </c>
    </row>
    <row r="36" spans="1:38" s="719" customFormat="1" ht="13.9" customHeight="1" x14ac:dyDescent="0.25">
      <c r="A36" s="71" t="str">
        <f t="shared" si="1"/>
        <v>01</v>
      </c>
      <c r="B36" s="719">
        <v>145</v>
      </c>
      <c r="C36" s="1749">
        <f t="shared" si="2"/>
        <v>2044</v>
      </c>
      <c r="D36" s="1750" t="str">
        <f t="shared" ref="D36:D41" si="3">(C36)&amp;" - "&amp;(C36+4)</f>
        <v>2044 - 2048</v>
      </c>
      <c r="E36" s="2246"/>
      <c r="F36" s="1746"/>
      <c r="G36" s="1746"/>
      <c r="H36" s="1747">
        <v>0</v>
      </c>
      <c r="I36" s="2029"/>
      <c r="J36" s="2271"/>
      <c r="K36" s="1746"/>
      <c r="L36" s="1747"/>
      <c r="M36" s="2029"/>
      <c r="N36" s="2271"/>
      <c r="O36" s="1746"/>
      <c r="P36" s="1747">
        <v>0</v>
      </c>
      <c r="Q36" s="2029"/>
      <c r="R36" s="1747">
        <v>0</v>
      </c>
      <c r="S36" s="159"/>
      <c r="V36" s="1748"/>
      <c r="AL36" s="1467" t="s">
        <v>903</v>
      </c>
    </row>
    <row r="37" spans="1:38" s="719" customFormat="1" ht="14.1" customHeight="1" x14ac:dyDescent="0.25">
      <c r="A37" s="71" t="str">
        <f t="shared" si="1"/>
        <v>01</v>
      </c>
      <c r="B37" s="719">
        <v>150</v>
      </c>
      <c r="C37" s="1749">
        <f t="shared" si="2"/>
        <v>2049</v>
      </c>
      <c r="D37" s="1750" t="str">
        <f>(C37)&amp;" - "&amp;(C37+4)</f>
        <v>2049 - 2053</v>
      </c>
      <c r="E37" s="2246"/>
      <c r="F37" s="1746"/>
      <c r="G37" s="1746"/>
      <c r="H37" s="1747">
        <v>0</v>
      </c>
      <c r="I37" s="2029"/>
      <c r="J37" s="2271"/>
      <c r="K37" s="1746"/>
      <c r="L37" s="1747"/>
      <c r="M37" s="2029"/>
      <c r="N37" s="2271"/>
      <c r="O37" s="1746"/>
      <c r="P37" s="1747"/>
      <c r="Q37" s="2029"/>
      <c r="R37" s="1747"/>
      <c r="S37" s="159"/>
      <c r="V37" s="1748"/>
      <c r="AL37" s="1467" t="s">
        <v>904</v>
      </c>
    </row>
    <row r="38" spans="1:38" s="719" customFormat="1" ht="14.1" customHeight="1" x14ac:dyDescent="0.25">
      <c r="A38" s="71" t="str">
        <f t="shared" si="1"/>
        <v>01</v>
      </c>
      <c r="B38" s="719">
        <v>155</v>
      </c>
      <c r="C38" s="1749">
        <f t="shared" si="2"/>
        <v>2054</v>
      </c>
      <c r="D38" s="1750" t="str">
        <f t="shared" si="3"/>
        <v>2054 - 2058</v>
      </c>
      <c r="E38" s="2246"/>
      <c r="F38" s="1746"/>
      <c r="G38" s="1746"/>
      <c r="H38" s="1747">
        <v>0</v>
      </c>
      <c r="I38" s="2029"/>
      <c r="J38" s="2271"/>
      <c r="K38" s="1746"/>
      <c r="L38" s="1747"/>
      <c r="M38" s="2029"/>
      <c r="N38" s="2271"/>
      <c r="O38" s="1746"/>
      <c r="P38" s="1747"/>
      <c r="Q38" s="2029"/>
      <c r="R38" s="1747"/>
      <c r="S38" s="159"/>
      <c r="V38" s="1748"/>
      <c r="AL38" s="1467" t="s">
        <v>905</v>
      </c>
    </row>
    <row r="39" spans="1:38" s="719" customFormat="1" ht="14.1" customHeight="1" x14ac:dyDescent="0.25">
      <c r="A39" s="71" t="str">
        <f t="shared" si="1"/>
        <v>01</v>
      </c>
      <c r="B39" s="719">
        <v>160</v>
      </c>
      <c r="C39" s="1749">
        <f t="shared" si="2"/>
        <v>2059</v>
      </c>
      <c r="D39" s="1750" t="str">
        <f t="shared" si="3"/>
        <v>2059 - 2063</v>
      </c>
      <c r="E39" s="2246"/>
      <c r="F39" s="1746"/>
      <c r="G39" s="1746"/>
      <c r="H39" s="1747"/>
      <c r="I39" s="2029"/>
      <c r="J39" s="2271"/>
      <c r="K39" s="1746"/>
      <c r="L39" s="1747"/>
      <c r="M39" s="2029"/>
      <c r="N39" s="2271"/>
      <c r="O39" s="1746"/>
      <c r="P39" s="1747"/>
      <c r="Q39" s="2029"/>
      <c r="R39" s="1747"/>
      <c r="S39" s="159"/>
      <c r="V39" s="1748"/>
      <c r="AL39" s="1467" t="s">
        <v>906</v>
      </c>
    </row>
    <row r="40" spans="1:38" s="719" customFormat="1" ht="14.1" customHeight="1" x14ac:dyDescent="0.25">
      <c r="A40" s="71" t="str">
        <f t="shared" si="1"/>
        <v>01</v>
      </c>
      <c r="B40" s="719">
        <v>165</v>
      </c>
      <c r="C40" s="1749">
        <f t="shared" si="2"/>
        <v>2064</v>
      </c>
      <c r="D40" s="1750" t="str">
        <f t="shared" si="3"/>
        <v>2064 - 2068</v>
      </c>
      <c r="E40" s="2246"/>
      <c r="F40" s="1746"/>
      <c r="G40" s="1746"/>
      <c r="H40" s="1747"/>
      <c r="I40" s="2029"/>
      <c r="J40" s="2271"/>
      <c r="K40" s="1746"/>
      <c r="L40" s="1747"/>
      <c r="M40" s="2029"/>
      <c r="N40" s="2271"/>
      <c r="O40" s="1746"/>
      <c r="P40" s="1747"/>
      <c r="Q40" s="2029"/>
      <c r="R40" s="1747"/>
      <c r="S40" s="159"/>
      <c r="V40" s="1748"/>
      <c r="AL40" s="1467" t="s">
        <v>907</v>
      </c>
    </row>
    <row r="41" spans="1:38" s="719" customFormat="1" ht="14.1" customHeight="1" x14ac:dyDescent="0.25">
      <c r="A41" s="71" t="str">
        <f t="shared" si="1"/>
        <v>01</v>
      </c>
      <c r="B41" s="719">
        <v>170</v>
      </c>
      <c r="C41" s="1749">
        <f t="shared" si="2"/>
        <v>2069</v>
      </c>
      <c r="D41" s="1750" t="str">
        <f t="shared" si="3"/>
        <v>2069 - 2073</v>
      </c>
      <c r="E41" s="2246"/>
      <c r="F41" s="1746"/>
      <c r="G41" s="1746"/>
      <c r="H41" s="1751"/>
      <c r="I41" s="2029"/>
      <c r="J41" s="2271"/>
      <c r="K41" s="1746"/>
      <c r="L41" s="1751"/>
      <c r="M41" s="2029"/>
      <c r="N41" s="2271"/>
      <c r="O41" s="1746"/>
      <c r="P41" s="1751"/>
      <c r="Q41" s="2029"/>
      <c r="R41" s="1751"/>
      <c r="S41" s="159"/>
      <c r="V41" s="1748"/>
      <c r="AL41" s="1467" t="s">
        <v>908</v>
      </c>
    </row>
    <row r="42" spans="1:38" s="719" customFormat="1" ht="14.1" customHeight="1" thickBot="1" x14ac:dyDescent="0.3">
      <c r="A42" s="71" t="str">
        <f t="shared" si="1"/>
        <v>01</v>
      </c>
      <c r="B42" s="719">
        <v>175</v>
      </c>
      <c r="C42" s="1749">
        <f t="shared" si="2"/>
        <v>2074</v>
      </c>
      <c r="D42" s="1750" t="str">
        <f>(C42)&amp;" - " &amp;"Beyond"</f>
        <v>2074 - Beyond</v>
      </c>
      <c r="E42" s="2246"/>
      <c r="F42" s="1746"/>
      <c r="G42" s="1746"/>
      <c r="H42" s="1752"/>
      <c r="I42" s="2029"/>
      <c r="J42" s="1752"/>
      <c r="K42" s="1746"/>
      <c r="L42" s="1752"/>
      <c r="M42" s="2029"/>
      <c r="N42" s="1752"/>
      <c r="O42" s="1746"/>
      <c r="P42" s="1752"/>
      <c r="Q42" s="2029"/>
      <c r="R42" s="1752"/>
      <c r="S42" s="159"/>
      <c r="V42" s="1748"/>
      <c r="AL42" s="1467" t="s">
        <v>909</v>
      </c>
    </row>
    <row r="43" spans="1:38" s="719" customFormat="1" ht="9.6" customHeight="1" x14ac:dyDescent="0.25">
      <c r="A43" s="71" t="str">
        <f t="shared" si="1"/>
        <v>01</v>
      </c>
      <c r="C43" s="159"/>
      <c r="E43" s="2246"/>
      <c r="F43" s="1746"/>
      <c r="G43" s="1746"/>
      <c r="H43" s="1746"/>
      <c r="I43" s="2030"/>
      <c r="J43" s="1746"/>
      <c r="K43" s="1746"/>
      <c r="L43" s="1746"/>
      <c r="M43" s="2030"/>
      <c r="N43" s="1746"/>
      <c r="O43" s="1746"/>
      <c r="P43" s="2030"/>
      <c r="Q43" s="2030"/>
      <c r="R43" s="2030"/>
      <c r="S43" s="159"/>
      <c r="AL43" s="1467"/>
    </row>
    <row r="44" spans="1:38" s="719" customFormat="1" ht="16.5" thickBot="1" x14ac:dyDescent="0.3">
      <c r="A44" s="71" t="str">
        <f t="shared" si="1"/>
        <v>01</v>
      </c>
      <c r="B44" s="719">
        <v>190</v>
      </c>
      <c r="C44" s="159"/>
      <c r="D44" s="159" t="s">
        <v>910</v>
      </c>
      <c r="E44" s="2246"/>
      <c r="F44" s="1746"/>
      <c r="G44" s="1746"/>
      <c r="H44" s="1753">
        <f>SUM(H28:H42)</f>
        <v>0</v>
      </c>
      <c r="I44" s="2030"/>
      <c r="J44" s="1753">
        <f>SUM(J28:J42)</f>
        <v>0</v>
      </c>
      <c r="K44" s="1746"/>
      <c r="L44" s="1753">
        <f>SUM(L28:L42)</f>
        <v>0</v>
      </c>
      <c r="M44" s="2030"/>
      <c r="N44" s="1753">
        <f>SUM(N28:N42)</f>
        <v>0</v>
      </c>
      <c r="O44" s="1746"/>
      <c r="P44" s="1753">
        <f>SUM(P28:P42)</f>
        <v>0</v>
      </c>
      <c r="Q44" s="2030"/>
      <c r="R44" s="1753">
        <f>SUM(R28:R42)</f>
        <v>0</v>
      </c>
      <c r="S44" s="159"/>
      <c r="AL44" s="1467"/>
    </row>
    <row r="45" spans="1:38" s="719" customFormat="1" ht="16.5" thickTop="1" x14ac:dyDescent="0.25">
      <c r="A45" s="71"/>
      <c r="C45" s="1" t="s">
        <v>911</v>
      </c>
      <c r="D45" s="2031"/>
      <c r="E45" s="1"/>
      <c r="F45" s="1"/>
      <c r="G45" s="1"/>
      <c r="H45" s="2032">
        <f>H44</f>
        <v>0</v>
      </c>
      <c r="I45" s="159"/>
      <c r="J45" s="159"/>
      <c r="K45" s="159"/>
      <c r="L45" s="2032">
        <f>L44</f>
        <v>0</v>
      </c>
      <c r="M45" s="159"/>
      <c r="N45" s="159"/>
      <c r="O45" s="159"/>
      <c r="P45" s="2032">
        <f>P44</f>
        <v>0</v>
      </c>
      <c r="Q45" s="159"/>
      <c r="R45" s="159"/>
      <c r="S45" s="159"/>
      <c r="AL45" s="1467"/>
    </row>
    <row r="46" spans="1:38" s="719" customFormat="1" ht="15" customHeight="1" x14ac:dyDescent="0.25">
      <c r="A46" s="71" t="str">
        <f t="shared" si="1"/>
        <v>01</v>
      </c>
      <c r="C46" s="159"/>
      <c r="D46" s="721" t="s">
        <v>912</v>
      </c>
      <c r="E46" s="159" t="s">
        <v>913</v>
      </c>
      <c r="F46" s="159"/>
      <c r="G46" s="159"/>
      <c r="H46" s="159"/>
      <c r="I46" s="159"/>
      <c r="J46" s="159"/>
      <c r="K46" s="159"/>
      <c r="L46" s="159"/>
      <c r="M46" s="159"/>
      <c r="N46" s="159"/>
      <c r="O46" s="159"/>
      <c r="P46" s="159"/>
      <c r="Q46" s="159"/>
      <c r="R46" s="159"/>
      <c r="S46" s="159"/>
      <c r="AL46" s="1467"/>
    </row>
    <row r="47" spans="1:38" s="719" customFormat="1" ht="15" customHeight="1" x14ac:dyDescent="0.25">
      <c r="A47" s="71"/>
      <c r="C47" s="780" t="s">
        <v>914</v>
      </c>
      <c r="D47" s="427" t="s">
        <v>915</v>
      </c>
      <c r="E47" s="427"/>
      <c r="F47" s="427"/>
      <c r="G47" s="427"/>
      <c r="H47" s="427"/>
      <c r="I47" s="427"/>
      <c r="J47" s="427"/>
      <c r="K47" s="427"/>
      <c r="L47" s="427"/>
      <c r="M47" s="427"/>
      <c r="N47" s="427"/>
      <c r="O47" s="427"/>
      <c r="P47" s="427"/>
      <c r="Q47" s="427"/>
      <c r="R47" s="427"/>
      <c r="S47" s="159"/>
      <c r="AL47" s="1467"/>
    </row>
    <row r="48" spans="1:38" s="719" customFormat="1" ht="15.75" x14ac:dyDescent="0.25">
      <c r="A48" s="71"/>
      <c r="C48" s="780"/>
      <c r="D48" s="781" t="s">
        <v>916</v>
      </c>
      <c r="E48" s="159"/>
      <c r="F48" s="159"/>
      <c r="G48" s="159"/>
      <c r="H48" s="159"/>
      <c r="I48" s="159"/>
      <c r="J48" s="159"/>
      <c r="K48" s="159"/>
      <c r="L48" s="159"/>
      <c r="M48" s="159"/>
      <c r="N48" s="159"/>
      <c r="O48" s="159"/>
      <c r="P48" s="159"/>
      <c r="Q48" s="159"/>
      <c r="R48" s="159"/>
      <c r="S48" s="159"/>
      <c r="AL48" s="1467"/>
    </row>
    <row r="49" spans="1:39" s="719" customFormat="1" ht="15.75" x14ac:dyDescent="0.25">
      <c r="A49" s="71"/>
      <c r="C49" s="780"/>
      <c r="D49" s="781"/>
      <c r="E49" s="159"/>
      <c r="F49" s="159"/>
      <c r="G49" s="159"/>
      <c r="H49" s="159"/>
      <c r="I49" s="159"/>
      <c r="J49" s="159"/>
      <c r="K49" s="159"/>
      <c r="L49" s="159"/>
      <c r="M49" s="159"/>
      <c r="N49" s="159"/>
      <c r="O49" s="159"/>
      <c r="P49" s="159"/>
      <c r="Q49" s="159"/>
      <c r="R49" s="159"/>
      <c r="S49" s="159"/>
      <c r="AL49" s="1467"/>
    </row>
    <row r="50" spans="1:39" s="719" customFormat="1" ht="15.75" x14ac:dyDescent="0.25">
      <c r="A50" s="71" t="str">
        <f t="shared" si="1"/>
        <v>01</v>
      </c>
      <c r="C50" s="1641" t="s">
        <v>917</v>
      </c>
      <c r="D50" s="716"/>
      <c r="E50" s="716"/>
      <c r="F50" s="716"/>
      <c r="G50" s="716"/>
      <c r="H50" s="1641"/>
      <c r="I50" s="1641"/>
      <c r="J50" s="1641"/>
      <c r="K50" s="1641"/>
      <c r="L50" s="1641"/>
      <c r="M50" s="1641"/>
      <c r="N50" s="1641"/>
      <c r="O50" s="1641"/>
      <c r="P50" s="1641"/>
      <c r="Q50" s="1641"/>
      <c r="R50" s="1641"/>
      <c r="S50" s="1641"/>
      <c r="AL50" s="1467"/>
    </row>
    <row r="51" spans="1:39" ht="10.9" customHeight="1" x14ac:dyDescent="0.25">
      <c r="A51" s="71"/>
      <c r="C51" s="1578"/>
    </row>
    <row r="52" spans="1:39" ht="18" customHeight="1" x14ac:dyDescent="0.25">
      <c r="A52" s="71"/>
      <c r="C52" s="1578" t="s">
        <v>918</v>
      </c>
    </row>
    <row r="53" spans="1:39" ht="17.45" customHeight="1" x14ac:dyDescent="0.25">
      <c r="A53" s="71"/>
      <c r="C53" s="1578"/>
      <c r="D53" s="1578"/>
      <c r="E53" s="31" t="s">
        <v>919</v>
      </c>
      <c r="H53" s="2224"/>
      <c r="I53" s="1623"/>
      <c r="J53" s="1623"/>
      <c r="K53" s="1360"/>
      <c r="O53" s="31" t="s">
        <v>920</v>
      </c>
      <c r="P53" s="2224"/>
      <c r="Q53" s="1623"/>
      <c r="R53" s="1623"/>
      <c r="AL53" s="894" t="str">
        <f>IF(AND(ISBLANK($H$53),ISBLANK($P$53))=TRUE,"Answer Missing"," ")</f>
        <v>Answer Missing</v>
      </c>
    </row>
    <row r="54" spans="1:39" customFormat="1" ht="20.45" customHeight="1" x14ac:dyDescent="0.25">
      <c r="C54" s="1" t="s">
        <v>921</v>
      </c>
      <c r="D54" s="1578"/>
      <c r="E54" s="2033"/>
      <c r="F54" s="2033"/>
      <c r="G54" s="2033"/>
      <c r="H54" s="2033"/>
      <c r="I54" s="2033"/>
      <c r="J54" s="2033"/>
      <c r="K54" s="2033"/>
      <c r="L54" s="2033"/>
      <c r="M54" s="2033"/>
      <c r="N54" s="2033"/>
      <c r="O54" s="2033"/>
      <c r="P54" s="2033"/>
    </row>
    <row r="55" spans="1:39" ht="13.15" customHeight="1" x14ac:dyDescent="0.25">
      <c r="A55" s="71"/>
      <c r="C55" s="1578" t="s">
        <v>922</v>
      </c>
      <c r="H55" s="2224"/>
      <c r="I55" s="2224"/>
      <c r="J55" s="2224"/>
      <c r="K55" s="2224"/>
      <c r="L55" s="2224"/>
      <c r="M55" s="2224"/>
      <c r="N55" s="2224"/>
      <c r="O55" s="2224"/>
      <c r="P55" s="2224"/>
      <c r="Q55" s="2224"/>
      <c r="R55" s="2224"/>
      <c r="S55" s="2224"/>
      <c r="T55" s="2224"/>
      <c r="U55" s="2224"/>
      <c r="V55" s="2224"/>
      <c r="W55" s="2224"/>
      <c r="X55" s="2224"/>
      <c r="Y55" s="2224"/>
      <c r="Z55" s="2224"/>
      <c r="AA55" s="2224"/>
      <c r="AB55" s="2224"/>
      <c r="AC55" s="2224"/>
      <c r="AD55" s="2224"/>
      <c r="AE55" s="2224"/>
      <c r="AF55" s="2224"/>
      <c r="AG55" s="2224"/>
      <c r="AH55" s="2224"/>
      <c r="AI55" s="2224"/>
      <c r="AJ55" s="2224"/>
      <c r="AK55" s="1623"/>
      <c r="AL55" s="894"/>
    </row>
    <row r="56" spans="1:39" ht="24" customHeight="1" x14ac:dyDescent="0.25">
      <c r="A56" s="71"/>
      <c r="C56" s="1578" t="s">
        <v>923</v>
      </c>
      <c r="H56" s="1623"/>
      <c r="I56" s="1623"/>
      <c r="J56" s="1623"/>
      <c r="K56" s="1623"/>
      <c r="L56" s="1623"/>
      <c r="M56" s="1623"/>
      <c r="N56" s="1623"/>
      <c r="O56" s="1623"/>
      <c r="P56" s="1623"/>
      <c r="Q56" s="1623"/>
      <c r="R56" s="1623"/>
      <c r="S56" s="1623"/>
      <c r="T56" s="1623"/>
      <c r="U56" s="1623"/>
      <c r="V56" s="1623"/>
      <c r="W56" s="1623"/>
      <c r="X56" s="1623"/>
      <c r="Y56" s="1623"/>
      <c r="Z56" s="1623"/>
      <c r="AA56" s="1623"/>
      <c r="AB56" s="1623"/>
      <c r="AC56" s="1623"/>
      <c r="AD56" s="1623"/>
      <c r="AE56" s="1623"/>
      <c r="AF56" s="1623"/>
      <c r="AG56" s="1623"/>
      <c r="AH56" s="1623"/>
      <c r="AI56" s="1623"/>
      <c r="AJ56" s="1623"/>
      <c r="AK56" s="1623"/>
      <c r="AL56" s="894"/>
    </row>
    <row r="57" spans="1:39" ht="16.899999999999999" customHeight="1" x14ac:dyDescent="0.25">
      <c r="A57" s="71"/>
      <c r="C57" s="31" t="s">
        <v>924</v>
      </c>
      <c r="E57" s="2034"/>
      <c r="F57" s="1661"/>
      <c r="G57" s="1661"/>
      <c r="H57" s="1661"/>
      <c r="I57" s="2035"/>
      <c r="J57" s="2035"/>
      <c r="K57" s="1623"/>
      <c r="L57" s="1312" t="s">
        <v>925</v>
      </c>
      <c r="M57" s="1312"/>
      <c r="N57" s="2225"/>
      <c r="O57" s="1623"/>
      <c r="P57" s="2036"/>
      <c r="Q57" s="2036"/>
      <c r="R57" s="2036"/>
      <c r="S57" s="1623"/>
      <c r="T57" s="1623"/>
      <c r="U57" s="1623"/>
      <c r="V57" s="1623"/>
      <c r="W57" s="1623"/>
      <c r="X57" s="1623"/>
      <c r="Y57" s="1623"/>
      <c r="Z57" s="1623"/>
      <c r="AA57" s="1623"/>
      <c r="AB57" s="1623"/>
      <c r="AC57" s="1623"/>
      <c r="AD57" s="1623"/>
      <c r="AE57" s="1623"/>
      <c r="AF57" s="1623"/>
      <c r="AG57" s="1623"/>
      <c r="AH57" s="1623"/>
      <c r="AI57" s="1623"/>
      <c r="AJ57" s="1623"/>
      <c r="AK57" s="1623"/>
      <c r="AL57" s="894"/>
    </row>
    <row r="58" spans="1:39" ht="17.45" customHeight="1" x14ac:dyDescent="0.25">
      <c r="A58" s="71"/>
      <c r="C58" s="1578"/>
      <c r="D58" s="1578"/>
      <c r="H58" s="1623"/>
      <c r="I58" s="1623"/>
      <c r="J58" s="1623"/>
      <c r="K58" s="1623"/>
      <c r="L58" s="1623"/>
      <c r="M58" s="1623"/>
      <c r="N58" s="1623"/>
      <c r="O58" s="1623"/>
      <c r="P58" s="1623"/>
      <c r="Q58" s="1623"/>
      <c r="R58" s="1623"/>
      <c r="S58" s="1623"/>
      <c r="T58" s="1623"/>
      <c r="U58" s="1623"/>
      <c r="V58" s="1623"/>
      <c r="W58" s="1623"/>
      <c r="X58" s="1623"/>
      <c r="Y58" s="1623"/>
      <c r="Z58" s="1623"/>
      <c r="AA58" s="1623"/>
      <c r="AB58" s="1623"/>
      <c r="AC58" s="1623"/>
      <c r="AD58" s="1623"/>
      <c r="AE58" s="1623"/>
      <c r="AF58" s="1623"/>
      <c r="AG58" s="1623"/>
      <c r="AH58" s="1623"/>
      <c r="AI58" s="1623"/>
      <c r="AJ58" s="1623"/>
      <c r="AK58" s="1623"/>
      <c r="AL58" s="894"/>
    </row>
    <row r="59" spans="1:39" ht="17.45" customHeight="1" x14ac:dyDescent="0.25">
      <c r="A59" s="71"/>
      <c r="C59" s="1578" t="s">
        <v>926</v>
      </c>
    </row>
    <row r="60" spans="1:39" ht="17.45" customHeight="1" x14ac:dyDescent="0.25">
      <c r="A60" s="71"/>
      <c r="C60" s="1578"/>
      <c r="D60" s="1659" t="s">
        <v>927</v>
      </c>
      <c r="E60" s="2224"/>
      <c r="F60" s="1660"/>
      <c r="G60" s="1660" t="s">
        <v>920</v>
      </c>
      <c r="H60" s="1662"/>
      <c r="I60" s="2037"/>
      <c r="J60" s="2037"/>
      <c r="L60" s="1659" t="s">
        <v>78</v>
      </c>
      <c r="M60" s="1659"/>
      <c r="N60" s="2038"/>
      <c r="P60" s="2039"/>
      <c r="Q60" s="2039"/>
      <c r="R60" s="2039"/>
      <c r="AL60" s="894" t="str">
        <f>IF(AND(ISBLANK($E$60),ISBLANK($H$60),ISBLANK($N$60))=TRUE,"Answer Missing"," ")</f>
        <v>Answer Missing</v>
      </c>
    </row>
    <row r="61" spans="1:39" ht="25.15" customHeight="1" x14ac:dyDescent="0.25">
      <c r="A61" s="71"/>
      <c r="C61" s="2497" t="s">
        <v>928</v>
      </c>
      <c r="D61" s="2497"/>
      <c r="E61" s="2497"/>
      <c r="F61" s="2497"/>
      <c r="G61" s="2497"/>
      <c r="H61" s="2497"/>
      <c r="I61" s="2497"/>
      <c r="J61" s="2497"/>
      <c r="K61" s="2497"/>
      <c r="L61" s="2497"/>
      <c r="M61" s="2497"/>
      <c r="N61" s="2497"/>
      <c r="O61" s="2497"/>
      <c r="P61" s="2497"/>
      <c r="Q61" s="2497"/>
      <c r="R61" s="2497"/>
      <c r="S61" s="2497"/>
      <c r="T61"/>
      <c r="U61"/>
      <c r="V61"/>
      <c r="W61"/>
      <c r="X61"/>
      <c r="Y61"/>
      <c r="Z61"/>
      <c r="AA61"/>
      <c r="AB61"/>
      <c r="AC61"/>
      <c r="AD61"/>
      <c r="AE61"/>
      <c r="AF61"/>
      <c r="AG61"/>
      <c r="AH61"/>
      <c r="AI61"/>
      <c r="AJ61"/>
      <c r="AK61"/>
      <c r="AL61"/>
      <c r="AM61"/>
    </row>
    <row r="62" spans="1:39" ht="14.45" customHeight="1" x14ac:dyDescent="0.25">
      <c r="A62" s="71"/>
      <c r="C62" s="1578" t="s">
        <v>929</v>
      </c>
      <c r="D62" s="1578"/>
      <c r="H62" s="2224"/>
      <c r="I62" s="1623"/>
      <c r="J62" s="2224"/>
      <c r="K62" s="2483"/>
      <c r="L62" s="2483"/>
      <c r="M62" s="2483"/>
      <c r="N62" s="2483"/>
      <c r="O62" s="2483"/>
      <c r="P62" s="2483"/>
      <c r="Q62" s="2483"/>
      <c r="R62" s="2483"/>
      <c r="S62" s="2483"/>
      <c r="T62" s="2483"/>
      <c r="U62" s="2483"/>
      <c r="V62" s="2483"/>
      <c r="W62" s="2483"/>
      <c r="X62" s="2483"/>
      <c r="Y62" s="2483"/>
      <c r="Z62" s="2483"/>
      <c r="AA62" s="2483"/>
      <c r="AB62" s="2483"/>
      <c r="AC62" s="2483"/>
      <c r="AD62" s="2483"/>
      <c r="AE62" s="2483"/>
      <c r="AF62" s="2483"/>
      <c r="AG62" s="2483"/>
      <c r="AH62" s="2483"/>
      <c r="AI62" s="2483"/>
      <c r="AJ62" s="2483"/>
      <c r="AK62" s="2483"/>
      <c r="AL62" s="894"/>
    </row>
    <row r="63" spans="1:39" ht="25.15" customHeight="1" x14ac:dyDescent="0.25">
      <c r="A63" s="71"/>
      <c r="C63" s="1578" t="s">
        <v>930</v>
      </c>
      <c r="H63" s="1623"/>
      <c r="I63" s="1623"/>
      <c r="J63" s="1623"/>
      <c r="K63" s="1623"/>
      <c r="L63" s="1623"/>
      <c r="M63" s="1623"/>
      <c r="N63" s="1623"/>
      <c r="O63" s="1623"/>
      <c r="P63" s="1623"/>
      <c r="Q63" s="1623"/>
      <c r="R63" s="1623"/>
    </row>
    <row r="64" spans="1:39" ht="17.45" customHeight="1" x14ac:dyDescent="0.25">
      <c r="A64" s="71"/>
      <c r="C64" s="31" t="s">
        <v>924</v>
      </c>
      <c r="E64" s="1661"/>
      <c r="F64" s="1661"/>
      <c r="G64" s="1661"/>
      <c r="H64" s="1661"/>
      <c r="I64" s="2035"/>
      <c r="J64" s="2035"/>
      <c r="K64" s="1623"/>
      <c r="L64" s="1312" t="s">
        <v>925</v>
      </c>
      <c r="M64" s="1312"/>
      <c r="N64" s="2236"/>
      <c r="O64" s="1623"/>
      <c r="P64" s="2036"/>
      <c r="Q64" s="2036"/>
      <c r="R64" s="2036"/>
    </row>
    <row r="65" spans="1:38" ht="17.45" customHeight="1" x14ac:dyDescent="0.25">
      <c r="A65" s="71"/>
      <c r="C65" s="1578"/>
      <c r="D65" s="1578"/>
    </row>
    <row r="66" spans="1:38" x14ac:dyDescent="0.2">
      <c r="C66" s="1578" t="s">
        <v>931</v>
      </c>
      <c r="D66" s="1578" t="s">
        <v>932</v>
      </c>
    </row>
    <row r="67" spans="1:38" x14ac:dyDescent="0.2">
      <c r="C67" s="1578"/>
      <c r="D67" s="1578"/>
    </row>
    <row r="68" spans="1:38" x14ac:dyDescent="0.2">
      <c r="C68" s="1578" t="s">
        <v>933</v>
      </c>
      <c r="D68" s="1578"/>
    </row>
    <row r="69" spans="1:38" ht="19.899999999999999" customHeight="1" x14ac:dyDescent="0.2">
      <c r="C69" s="1578"/>
      <c r="D69" s="1578"/>
      <c r="E69" s="31" t="s">
        <v>934</v>
      </c>
      <c r="H69" s="2224"/>
      <c r="I69" s="1623"/>
      <c r="J69" s="1623"/>
      <c r="K69" s="1360"/>
      <c r="O69" s="31" t="s">
        <v>920</v>
      </c>
      <c r="P69" s="2224"/>
      <c r="Q69" s="1623"/>
      <c r="R69" s="1623"/>
      <c r="AL69" s="894" t="str">
        <f>IF(AND(ISBLANK($H$69),ISBLANK($P$69))=TRUE,"Answer Missing"," ")</f>
        <v>Answer Missing</v>
      </c>
    </row>
    <row r="70" spans="1:38" ht="10.15" customHeight="1" x14ac:dyDescent="0.2">
      <c r="C70" s="1578"/>
      <c r="D70" s="1578"/>
    </row>
    <row r="71" spans="1:38" x14ac:dyDescent="0.2">
      <c r="C71" s="1578" t="s">
        <v>935</v>
      </c>
      <c r="D71" s="1578"/>
    </row>
    <row r="72" spans="1:38" x14ac:dyDescent="0.2">
      <c r="C72" s="1578"/>
      <c r="D72" s="1578"/>
    </row>
    <row r="73" spans="1:38" ht="19.149999999999999" customHeight="1" x14ac:dyDescent="0.2">
      <c r="C73" s="1578" t="s">
        <v>936</v>
      </c>
    </row>
    <row r="74" spans="1:38" ht="18" customHeight="1" x14ac:dyDescent="0.2">
      <c r="C74" s="1578"/>
      <c r="D74" s="1578"/>
      <c r="E74" s="31" t="s">
        <v>937</v>
      </c>
      <c r="H74" s="2224"/>
      <c r="I74" s="1623"/>
      <c r="J74" s="1623"/>
      <c r="K74" s="1360"/>
      <c r="O74" s="31" t="s">
        <v>920</v>
      </c>
      <c r="P74" s="2224"/>
      <c r="Q74" s="1623"/>
      <c r="R74" s="1623"/>
      <c r="AL74" s="894" t="str">
        <f>IF(AND(ISBLANK($H$74),ISBLANK($P$74))=TRUE,"Answer Missing"," ")</f>
        <v>Answer Missing</v>
      </c>
    </row>
    <row r="75" spans="1:38" ht="29.45" customHeight="1" x14ac:dyDescent="0.2">
      <c r="C75" s="2497" t="s">
        <v>938</v>
      </c>
      <c r="D75" s="2497"/>
      <c r="E75" s="2497"/>
      <c r="F75" s="2497"/>
      <c r="G75" s="2497"/>
      <c r="H75" s="2497"/>
      <c r="I75" s="2497"/>
      <c r="J75" s="2497"/>
      <c r="K75" s="2497"/>
      <c r="L75" s="2497"/>
      <c r="M75" s="2497"/>
      <c r="N75" s="2497"/>
      <c r="O75" s="2497"/>
      <c r="P75" s="2497"/>
      <c r="Q75" s="2497"/>
      <c r="R75" s="2497"/>
      <c r="S75"/>
      <c r="T75"/>
      <c r="U75"/>
      <c r="V75"/>
      <c r="W75"/>
      <c r="X75"/>
      <c r="Y75"/>
      <c r="Z75"/>
      <c r="AA75"/>
      <c r="AB75"/>
      <c r="AC75"/>
      <c r="AD75"/>
      <c r="AE75"/>
      <c r="AF75"/>
      <c r="AG75"/>
      <c r="AH75"/>
      <c r="AI75"/>
      <c r="AJ75"/>
      <c r="AK75"/>
      <c r="AL75"/>
    </row>
    <row r="76" spans="1:38" ht="25.15" customHeight="1" x14ac:dyDescent="0.2">
      <c r="C76" s="1578" t="s">
        <v>939</v>
      </c>
      <c r="D76" s="1578"/>
      <c r="H76" s="2224"/>
      <c r="I76" s="1623"/>
      <c r="J76" s="2224"/>
      <c r="K76" s="2224"/>
      <c r="L76" s="2224"/>
      <c r="M76" s="1623"/>
      <c r="N76" s="2224"/>
      <c r="O76" s="2224"/>
      <c r="P76" s="2224"/>
      <c r="Q76" s="2224"/>
      <c r="R76" s="2224"/>
      <c r="S76" s="2224"/>
      <c r="T76" s="2224"/>
      <c r="U76" s="2224"/>
      <c r="V76" s="2224"/>
      <c r="W76" s="2224"/>
      <c r="X76" s="2224"/>
      <c r="Y76" s="2224"/>
      <c r="Z76" s="2224"/>
      <c r="AA76" s="2224"/>
      <c r="AB76" s="2224"/>
      <c r="AC76" s="2224"/>
      <c r="AD76" s="2224"/>
      <c r="AE76" s="2224"/>
      <c r="AF76" s="2224"/>
      <c r="AG76" s="2224"/>
      <c r="AH76" s="2224"/>
      <c r="AI76" s="2224"/>
      <c r="AJ76" s="2224"/>
      <c r="AK76" s="2224"/>
      <c r="AL76" s="894"/>
    </row>
    <row r="77" spans="1:38" ht="25.9" customHeight="1" x14ac:dyDescent="0.2">
      <c r="C77" s="1578" t="s">
        <v>940</v>
      </c>
      <c r="H77" s="1623"/>
      <c r="I77" s="1623"/>
      <c r="J77" s="1623"/>
      <c r="K77" s="1623"/>
      <c r="L77" s="1623"/>
      <c r="M77" s="1623"/>
      <c r="N77" s="1623"/>
      <c r="O77" s="1623"/>
      <c r="P77" s="1623"/>
      <c r="Q77" s="1623"/>
      <c r="R77" s="1623"/>
      <c r="S77" s="1623"/>
      <c r="T77" s="1623"/>
      <c r="U77" s="1623"/>
      <c r="V77" s="1623"/>
      <c r="W77" s="1623"/>
      <c r="X77" s="1623"/>
      <c r="Y77" s="1623"/>
      <c r="Z77" s="1623"/>
      <c r="AA77" s="1623"/>
      <c r="AB77" s="1623"/>
      <c r="AC77" s="1623"/>
      <c r="AD77" s="1623"/>
      <c r="AE77" s="1623"/>
      <c r="AF77" s="1623"/>
      <c r="AG77" s="1623"/>
      <c r="AH77" s="1623"/>
      <c r="AI77" s="1623"/>
      <c r="AJ77" s="1623"/>
      <c r="AK77" s="1623"/>
      <c r="AL77" s="894"/>
    </row>
    <row r="78" spans="1:38" x14ac:dyDescent="0.2">
      <c r="C78" s="31" t="s">
        <v>924</v>
      </c>
      <c r="E78" s="1661"/>
      <c r="F78" s="1661"/>
      <c r="G78" s="1661"/>
      <c r="H78" s="1661"/>
      <c r="I78" s="2035"/>
      <c r="J78" s="2035"/>
      <c r="K78" s="1623"/>
      <c r="L78" s="1312" t="s">
        <v>925</v>
      </c>
      <c r="M78" s="1312"/>
      <c r="N78" s="2236"/>
      <c r="O78" s="1623"/>
      <c r="P78" s="2036"/>
      <c r="Q78" s="2036"/>
      <c r="R78" s="2036"/>
      <c r="S78" s="1623"/>
      <c r="T78" s="1623"/>
      <c r="U78" s="1623"/>
      <c r="V78" s="1623"/>
      <c r="W78" s="1623"/>
      <c r="X78" s="1623"/>
      <c r="Y78" s="1623"/>
      <c r="Z78" s="1623"/>
      <c r="AA78" s="1623"/>
      <c r="AB78" s="1623"/>
      <c r="AC78" s="1623"/>
      <c r="AD78" s="1623"/>
      <c r="AE78" s="1623"/>
      <c r="AF78" s="1623"/>
      <c r="AG78" s="1623"/>
      <c r="AH78" s="1623"/>
      <c r="AI78" s="1623"/>
      <c r="AJ78" s="1623"/>
      <c r="AK78" s="1623"/>
      <c r="AL78" s="894"/>
    </row>
    <row r="79" spans="1:38" x14ac:dyDescent="0.2">
      <c r="C79" s="1578"/>
      <c r="D79" s="1578"/>
      <c r="H79" s="1623"/>
      <c r="I79" s="1623"/>
      <c r="J79" s="1623"/>
      <c r="K79" s="1623"/>
      <c r="L79" s="1623"/>
      <c r="M79" s="1623"/>
      <c r="N79" s="1623"/>
      <c r="O79" s="1623"/>
      <c r="P79" s="1623"/>
      <c r="Q79" s="1623"/>
      <c r="R79" s="1623"/>
      <c r="S79" s="1623"/>
      <c r="T79" s="1623"/>
      <c r="U79" s="1623"/>
      <c r="V79" s="1623"/>
      <c r="W79" s="1623"/>
      <c r="X79" s="1623"/>
      <c r="Y79" s="1623"/>
      <c r="Z79" s="1623"/>
      <c r="AA79" s="1623"/>
      <c r="AB79" s="1623"/>
      <c r="AC79" s="1623"/>
      <c r="AD79" s="1623"/>
      <c r="AE79" s="1623"/>
      <c r="AF79" s="1623"/>
      <c r="AG79" s="1623"/>
      <c r="AH79" s="1623"/>
      <c r="AI79" s="1623"/>
      <c r="AJ79" s="1623"/>
      <c r="AK79" s="1623"/>
      <c r="AL79" s="894"/>
    </row>
    <row r="80" spans="1:38" ht="26.45" customHeight="1" x14ac:dyDescent="0.2">
      <c r="C80" s="1578" t="s">
        <v>941</v>
      </c>
    </row>
    <row r="81" spans="2:38" ht="21" customHeight="1" x14ac:dyDescent="0.2">
      <c r="C81" s="1578"/>
      <c r="D81" s="1659" t="s">
        <v>927</v>
      </c>
      <c r="E81" s="2224"/>
      <c r="F81" s="1660"/>
      <c r="G81" s="1660" t="s">
        <v>920</v>
      </c>
      <c r="H81" s="1662"/>
      <c r="I81" s="2037"/>
      <c r="J81" s="2037"/>
      <c r="L81" s="1659" t="s">
        <v>78</v>
      </c>
      <c r="M81" s="1659"/>
      <c r="N81" s="2038"/>
      <c r="P81" s="2039"/>
      <c r="Q81" s="2039"/>
      <c r="R81" s="2039"/>
      <c r="AL81" s="894" t="str">
        <f>IF(AND(ISBLANK($E$81),ISBLANK($H$81),ISBLANK($N$81))=TRUE,"Answer Missing"," ")</f>
        <v>Answer Missing</v>
      </c>
    </row>
    <row r="82" spans="2:38" ht="28.9" customHeight="1" x14ac:dyDescent="0.2">
      <c r="C82" s="2498" t="s">
        <v>942</v>
      </c>
      <c r="D82" s="2498"/>
      <c r="E82" s="2498"/>
      <c r="F82" s="2498"/>
      <c r="G82" s="2498"/>
      <c r="H82" s="2498"/>
      <c r="I82" s="2498"/>
      <c r="J82" s="2498"/>
      <c r="K82" s="2498"/>
      <c r="L82" s="2498"/>
      <c r="M82" s="2498"/>
      <c r="N82" s="2498"/>
      <c r="O82" s="2498"/>
      <c r="P82" s="2498"/>
      <c r="Q82" s="2498"/>
      <c r="R82" s="2498"/>
      <c r="S82" s="1313"/>
      <c r="AL82" s="894"/>
    </row>
    <row r="83" spans="2:38" ht="16.899999999999999" customHeight="1" x14ac:dyDescent="0.2">
      <c r="C83" s="1578" t="s">
        <v>943</v>
      </c>
      <c r="D83" s="1578"/>
      <c r="H83" s="2224"/>
      <c r="I83" s="1623"/>
      <c r="J83" s="2224"/>
      <c r="K83" s="2224"/>
      <c r="L83" s="2224"/>
      <c r="M83" s="1623"/>
      <c r="N83" s="2224"/>
      <c r="O83" s="2224"/>
      <c r="P83" s="2224"/>
      <c r="Q83" s="2224"/>
      <c r="R83" s="2224"/>
      <c r="S83" s="2224"/>
      <c r="T83" s="2224"/>
      <c r="U83" s="2224"/>
      <c r="V83" s="2224"/>
      <c r="W83" s="2224"/>
      <c r="X83" s="2224"/>
      <c r="Y83" s="2224"/>
      <c r="Z83" s="2224"/>
      <c r="AA83" s="2224"/>
      <c r="AB83" s="2224"/>
      <c r="AC83" s="2224"/>
      <c r="AD83" s="2224"/>
      <c r="AE83" s="2224"/>
      <c r="AF83" s="2224"/>
      <c r="AG83" s="2224"/>
      <c r="AH83" s="2224"/>
      <c r="AI83" s="2224"/>
      <c r="AJ83" s="2224"/>
      <c r="AK83" s="2224"/>
      <c r="AL83" s="894"/>
    </row>
    <row r="84" spans="2:38" ht="32.450000000000003" customHeight="1" x14ac:dyDescent="0.2">
      <c r="C84" s="1578" t="s">
        <v>944</v>
      </c>
      <c r="H84" s="1623"/>
      <c r="I84" s="1623"/>
      <c r="J84" s="1623"/>
      <c r="K84" s="1623"/>
      <c r="L84" s="1623"/>
      <c r="M84" s="1623"/>
      <c r="N84" s="1623"/>
      <c r="O84" s="1623"/>
      <c r="P84" s="1623"/>
      <c r="Q84" s="1623"/>
      <c r="R84" s="1623"/>
    </row>
    <row r="85" spans="2:38" ht="16.899999999999999" customHeight="1" x14ac:dyDescent="0.2">
      <c r="C85" s="31" t="s">
        <v>924</v>
      </c>
      <c r="E85" s="1358"/>
      <c r="F85" s="1358"/>
      <c r="G85" s="1358"/>
      <c r="H85" s="1358"/>
      <c r="I85" s="1360"/>
      <c r="J85" s="1360"/>
      <c r="K85" s="1623"/>
      <c r="L85" s="1312" t="s">
        <v>925</v>
      </c>
      <c r="M85" s="1312"/>
      <c r="N85" s="2236"/>
      <c r="O85" s="1623"/>
      <c r="P85" s="2036"/>
      <c r="Q85" s="2036"/>
      <c r="R85" s="2036"/>
    </row>
    <row r="86" spans="2:38" x14ac:dyDescent="0.2">
      <c r="C86" s="1578"/>
      <c r="D86" s="1578"/>
    </row>
    <row r="87" spans="2:38" ht="7.15" customHeight="1" x14ac:dyDescent="0.2">
      <c r="C87" s="1578"/>
      <c r="D87" s="1578"/>
    </row>
    <row r="88" spans="2:38" hidden="1" x14ac:dyDescent="0.2">
      <c r="C88" s="1578"/>
      <c r="D88" s="1578"/>
    </row>
    <row r="90" spans="2:38" ht="15" x14ac:dyDescent="0.2">
      <c r="B90" s="445" t="str">
        <f ca="1">MID(CELL("filename",B24),FIND("]",CELL("filename",B24))+1,256)</f>
        <v>301</v>
      </c>
      <c r="C90" s="445" t="s">
        <v>636</v>
      </c>
      <c r="D90" s="445"/>
    </row>
    <row r="91" spans="2:38" ht="15" x14ac:dyDescent="0.2">
      <c r="B91" s="445" t="s">
        <v>380</v>
      </c>
      <c r="C91" s="445" t="str">
        <f t="shared" ref="C91:C100" ca="1" si="4">IF(ISNA(INDEX(ErrorTable,MATCH($B$90&amp;$B91&amp;FALSE,ErrorKey,0),6)),"",INDEX(ErrorTable,MATCH($B$90&amp;$B91&amp;FALSE,ErrorKey,0),6))</f>
        <v/>
      </c>
      <c r="D91" s="445"/>
    </row>
    <row r="92" spans="2:38" ht="15" x14ac:dyDescent="0.2">
      <c r="B92" s="445" t="s">
        <v>381</v>
      </c>
      <c r="C92" s="445" t="str">
        <f t="shared" ca="1" si="4"/>
        <v/>
      </c>
      <c r="D92" s="445"/>
    </row>
    <row r="93" spans="2:38" ht="15" x14ac:dyDescent="0.2">
      <c r="B93" s="445" t="s">
        <v>382</v>
      </c>
      <c r="C93" s="445" t="str">
        <f t="shared" ca="1" si="4"/>
        <v/>
      </c>
      <c r="D93" s="445"/>
    </row>
    <row r="94" spans="2:38" ht="15" x14ac:dyDescent="0.2">
      <c r="B94" s="445" t="s">
        <v>383</v>
      </c>
      <c r="C94" s="445" t="str">
        <f t="shared" ca="1" si="4"/>
        <v/>
      </c>
      <c r="D94" s="445"/>
    </row>
    <row r="95" spans="2:38" ht="15" x14ac:dyDescent="0.2">
      <c r="B95" s="445" t="s">
        <v>384</v>
      </c>
      <c r="C95" s="445" t="str">
        <f t="shared" ca="1" si="4"/>
        <v/>
      </c>
      <c r="D95" s="445"/>
    </row>
    <row r="96" spans="2:38" ht="15" x14ac:dyDescent="0.2">
      <c r="B96" s="445" t="s">
        <v>385</v>
      </c>
      <c r="C96" s="445" t="str">
        <f t="shared" ca="1" si="4"/>
        <v/>
      </c>
      <c r="D96" s="445"/>
    </row>
    <row r="97" spans="2:4" ht="15" x14ac:dyDescent="0.2">
      <c r="B97" s="445" t="s">
        <v>386</v>
      </c>
      <c r="C97" s="445" t="str">
        <f t="shared" ca="1" si="4"/>
        <v/>
      </c>
      <c r="D97" s="445"/>
    </row>
    <row r="98" spans="2:4" ht="15" x14ac:dyDescent="0.2">
      <c r="B98" s="445" t="s">
        <v>387</v>
      </c>
      <c r="C98" s="445" t="str">
        <f t="shared" ca="1" si="4"/>
        <v/>
      </c>
      <c r="D98" s="445"/>
    </row>
    <row r="99" spans="2:4" ht="15" x14ac:dyDescent="0.2">
      <c r="B99" s="445" t="s">
        <v>388</v>
      </c>
      <c r="C99" s="445" t="str">
        <f t="shared" ca="1" si="4"/>
        <v/>
      </c>
      <c r="D99" s="445"/>
    </row>
    <row r="100" spans="2:4" ht="15" x14ac:dyDescent="0.2">
      <c r="B100" s="445" t="s">
        <v>389</v>
      </c>
      <c r="C100" s="445" t="str">
        <f t="shared" ca="1" si="4"/>
        <v/>
      </c>
      <c r="D100" s="445"/>
    </row>
  </sheetData>
  <sheetProtection algorithmName="SHA-512" hashValue="69F+CdY2gthUBM6lLcR2R4tA5UPsgyyiz6ws/yM451wM4YkL46IIe4P7Fa/B9R11Dx87y7ahcvfnGruZPRQe1Q==" saltValue="2jlECmcfwC1/yyjj//oumw==" spinCount="100000" sheet="1" objects="1" scenarios="1" autoFilter="0"/>
  <customSheetViews>
    <customSheetView guid="{9FCFC836-1CA5-48BF-958D-24D2EA94B219}" showGridLines="0" fitToPage="1" printArea="1" hiddenRows="1" hiddenColumns="1" topLeftCell="C1">
      <selection activeCell="AH26" sqref="AH26"/>
      <pageMargins left="0" right="0" top="0" bottom="0" header="0" footer="0"/>
      <pageSetup scale="82" orientation="portrait" r:id="rId1"/>
      <headerFooter alignWithMargins="0">
        <oddHeader xml:space="preserve">&amp;C &amp;R
</oddHeader>
        <oddFooter>&amp;R&amp;A</oddFooter>
      </headerFooter>
    </customSheetView>
    <customSheetView guid="{BEA4BE86-04D1-4C96-9358-7A260B9D2B2D}" showGridLines="0" fitToPage="1" showRuler="0">
      <selection sqref="A1:L1"/>
      <pageMargins left="0" right="0" top="0" bottom="0" header="0" footer="0"/>
      <pageSetup scale="81" orientation="portrait" horizontalDpi="300" verticalDpi="300" r:id="rId2"/>
      <headerFooter alignWithMargins="0">
        <oddHeader xml:space="preserve">&amp;C &amp;R
</oddHeader>
        <oddFooter>&amp;R&amp;A</oddFooter>
      </headerFooter>
    </customSheetView>
    <customSheetView guid="{1250FD07-FF56-4A9D-AF9E-C27124A7EBE9}" showGridLines="0" fitToPage="1" showRuler="0">
      <selection sqref="A1:L1"/>
      <pageMargins left="0" right="0" top="0" bottom="0" header="0" footer="0"/>
      <pageSetup scale="81" orientation="portrait" horizontalDpi="300" verticalDpi="300" r:id="rId3"/>
      <headerFooter alignWithMargins="0">
        <oddHeader xml:space="preserve">&amp;C &amp;R
</oddHeader>
        <oddFooter>&amp;R&amp;A</oddFooter>
      </headerFooter>
    </customSheetView>
    <customSheetView guid="{B08879A4-635B-4C39-9937-AC7883D562FC}" showGridLines="0" fitToPage="1" hiddenRows="1" hiddenColumns="1" topLeftCell="C1">
      <selection activeCell="AH26" sqref="AH26"/>
      <pageMargins left="0" right="0" top="0" bottom="0" header="0" footer="0"/>
      <pageSetup scale="82" orientation="portrait" r:id="rId4"/>
      <headerFooter alignWithMargins="0">
        <oddHeader xml:space="preserve">&amp;C &amp;R
</oddHeader>
        <oddFooter>&amp;R&amp;A</oddFooter>
      </headerFooter>
    </customSheetView>
  </customSheetViews>
  <mergeCells count="18">
    <mergeCell ref="C75:R75"/>
    <mergeCell ref="C82:R82"/>
    <mergeCell ref="O5:R5"/>
    <mergeCell ref="O6:R6"/>
    <mergeCell ref="O7:R7"/>
    <mergeCell ref="O8:R8"/>
    <mergeCell ref="K62:AK62"/>
    <mergeCell ref="H23:J23"/>
    <mergeCell ref="H25:J25"/>
    <mergeCell ref="L25:N25"/>
    <mergeCell ref="P25:R25"/>
    <mergeCell ref="L23:N23"/>
    <mergeCell ref="P23:R23"/>
    <mergeCell ref="C1:P1"/>
    <mergeCell ref="S1:S3"/>
    <mergeCell ref="C2:P2"/>
    <mergeCell ref="C3:P3"/>
    <mergeCell ref="C61:S61"/>
  </mergeCells>
  <phoneticPr fontId="16" type="noConversion"/>
  <conditionalFormatting sqref="S1:S3">
    <cfRule type="cellIs" dxfId="142" priority="10" stopIfTrue="1" operator="equal">
      <formula>"na"</formula>
    </cfRule>
  </conditionalFormatting>
  <conditionalFormatting sqref="AK1:AK3">
    <cfRule type="cellIs" dxfId="141" priority="4" stopIfTrue="1" operator="equal">
      <formula>"na"</formula>
    </cfRule>
  </conditionalFormatting>
  <conditionalFormatting sqref="AL53 AL55:AL58">
    <cfRule type="containsText" dxfId="140" priority="9" stopIfTrue="1" operator="containsText" text="Answer Missing">
      <formula>NOT(ISERROR(SEARCH("Answer Missing",AL53)))</formula>
    </cfRule>
  </conditionalFormatting>
  <conditionalFormatting sqref="AL60">
    <cfRule type="containsText" dxfId="139" priority="2" stopIfTrue="1" operator="containsText" text="Answer Missing">
      <formula>NOT(ISERROR(SEARCH("Answer Missing",AL60)))</formula>
    </cfRule>
  </conditionalFormatting>
  <conditionalFormatting sqref="AL62">
    <cfRule type="containsText" dxfId="138" priority="8" stopIfTrue="1" operator="containsText" text="Answer Missing">
      <formula>NOT(ISERROR(SEARCH("Answer Missing",AL62)))</formula>
    </cfRule>
  </conditionalFormatting>
  <conditionalFormatting sqref="AL69">
    <cfRule type="containsText" dxfId="137" priority="3" stopIfTrue="1" operator="containsText" text="Answer Missing">
      <formula>NOT(ISERROR(SEARCH("Answer Missing",AL69)))</formula>
    </cfRule>
  </conditionalFormatting>
  <conditionalFormatting sqref="AL74 AL76:AL79">
    <cfRule type="containsText" dxfId="136" priority="7" stopIfTrue="1" operator="containsText" text="Answer Missing">
      <formula>NOT(ISERROR(SEARCH("Answer Missing",AL74)))</formula>
    </cfRule>
  </conditionalFormatting>
  <conditionalFormatting sqref="AL81:AL83">
    <cfRule type="containsText" dxfId="135" priority="1" stopIfTrue="1" operator="containsText" text="Answer Missing">
      <formula>NOT(ISERROR(SEARCH("Answer Missing",AL81)))</formula>
    </cfRule>
  </conditionalFormatting>
  <dataValidations count="2">
    <dataValidation type="decimal" operator="greaterThanOrEqual" allowBlank="1" showInputMessage="1" showErrorMessage="1" errorTitle="Invalid amount!" error="Amount must be positive." sqref="J28:J41 N28:N41" xr:uid="{BE97888D-B9EB-4379-826A-FF3512E9B3D7}">
      <formula1>0</formula1>
    </dataValidation>
    <dataValidation type="list" allowBlank="1" showInputMessage="1" showErrorMessage="1" sqref="F6" xr:uid="{E4CB49A3-A6BE-4BCE-ACD5-167270147B4F}">
      <formula1>"GovtAct,BTAAct"</formula1>
    </dataValidation>
  </dataValidations>
  <hyperlinks>
    <hyperlink ref="C1:P1" location="Index!A1" display="Index!A1" xr:uid="{A33F339B-DF44-4B45-BD70-07E7C025A4A5}"/>
  </hyperlinks>
  <pageMargins left="0.6" right="0.6" top="0.5" bottom="0.5" header="0.3" footer="0.3"/>
  <pageSetup scale="78" fitToHeight="0" orientation="landscape" r:id="rId5"/>
  <rowBreaks count="1" manualBreakCount="1">
    <brk id="49" min="2"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87E2-9E46-4F59-B45D-3CF5F2C805FF}">
  <sheetPr codeName="Sheet100">
    <pageSetUpPr fitToPage="1"/>
  </sheetPr>
  <dimension ref="A1:AL49"/>
  <sheetViews>
    <sheetView showGridLines="0" topLeftCell="C1" zoomScaleNormal="100" zoomScaleSheetLayoutView="100" workbookViewId="0">
      <selection activeCell="C2" sqref="C2:O2"/>
    </sheetView>
  </sheetViews>
  <sheetFormatPr defaultColWidth="9.42578125" defaultRowHeight="12.75" x14ac:dyDescent="0.2"/>
  <cols>
    <col min="1" max="1" width="7" style="31" hidden="1" customWidth="1"/>
    <col min="2" max="2" width="8.42578125" style="31" hidden="1" customWidth="1"/>
    <col min="3" max="3" width="2.5703125" style="31" customWidth="1"/>
    <col min="4" max="4" width="15.42578125" style="31" customWidth="1"/>
    <col min="5" max="5" width="5.42578125" style="31" customWidth="1"/>
    <col min="6" max="6" width="11.28515625" style="31" customWidth="1"/>
    <col min="7" max="7" width="15.5703125" style="31" bestFit="1" customWidth="1"/>
    <col min="8" max="8" width="1" style="31" customWidth="1"/>
    <col min="9" max="9" width="17.140625" style="31" customWidth="1"/>
    <col min="10" max="10" width="3.28515625" style="31" customWidth="1"/>
    <col min="11" max="11" width="16.5703125" style="31" customWidth="1"/>
    <col min="12" max="12" width="1.7109375" style="31" customWidth="1"/>
    <col min="13" max="13" width="16.5703125" style="31" customWidth="1"/>
    <col min="14" max="14" width="2.5703125" style="31" customWidth="1"/>
    <col min="15" max="15" width="18" style="31" customWidth="1"/>
    <col min="16" max="16" width="1.5703125" style="31" customWidth="1"/>
    <col min="17" max="17" width="16.5703125" style="31" customWidth="1"/>
    <col min="18" max="18" width="4" style="31" customWidth="1"/>
    <col min="19" max="19" width="4.42578125" style="31" hidden="1" customWidth="1"/>
    <col min="20" max="20" width="9.5703125" style="31" hidden="1" customWidth="1"/>
    <col min="21" max="21" width="10.5703125" style="31" hidden="1" customWidth="1"/>
    <col min="22" max="25" width="9.5703125" style="31" hidden="1" customWidth="1"/>
    <col min="26" max="34" width="10.5703125" style="31" hidden="1" customWidth="1"/>
    <col min="35" max="35" width="0" style="31" hidden="1" customWidth="1"/>
    <col min="36" max="36" width="9.42578125" style="31"/>
    <col min="37" max="37" width="13.42578125" style="1469" customWidth="1"/>
    <col min="38" max="16384" width="9.42578125" style="31"/>
  </cols>
  <sheetData>
    <row r="1" spans="1:38" s="71" customFormat="1" ht="15.75" x14ac:dyDescent="0.25">
      <c r="A1" s="71" t="str">
        <f t="shared" ref="A1:A49" si="0">AgyIdx</f>
        <v>01</v>
      </c>
      <c r="C1" s="2455" t="str">
        <f>+Index!$A$1</f>
        <v xml:space="preserve">                                                               Office of the State Controller                                                                </v>
      </c>
      <c r="D1" s="2455"/>
      <c r="E1" s="2455"/>
      <c r="F1" s="2455"/>
      <c r="G1" s="2455"/>
      <c r="H1" s="2455"/>
      <c r="I1" s="2455"/>
      <c r="J1" s="2455"/>
      <c r="K1" s="2455"/>
      <c r="L1" s="2455"/>
      <c r="M1" s="2455"/>
      <c r="N1" s="2455"/>
      <c r="O1" s="2455"/>
      <c r="P1" s="2214"/>
      <c r="Q1" s="2214"/>
      <c r="R1" s="2456"/>
      <c r="S1" s="72"/>
      <c r="T1" s="72"/>
      <c r="AJ1" s="2215" t="str">
        <f>IF(Index!$B$28="na","NA","")</f>
        <v/>
      </c>
      <c r="AK1" s="1468"/>
    </row>
    <row r="2" spans="1:38" s="71" customFormat="1" ht="15.75" x14ac:dyDescent="0.25">
      <c r="A2" s="71" t="str">
        <f t="shared" si="0"/>
        <v>01</v>
      </c>
      <c r="C2" s="2457" t="str">
        <f>+Index!$A$2</f>
        <v>2023 ACFR Worksheets</v>
      </c>
      <c r="D2" s="2457"/>
      <c r="E2" s="2457"/>
      <c r="F2" s="2457"/>
      <c r="G2" s="2457"/>
      <c r="H2" s="2457"/>
      <c r="I2" s="2457"/>
      <c r="J2" s="2457"/>
      <c r="K2" s="2457"/>
      <c r="L2" s="2457"/>
      <c r="M2" s="2457"/>
      <c r="N2" s="2457"/>
      <c r="O2" s="2457"/>
      <c r="P2" s="2216"/>
      <c r="Q2" s="2216"/>
      <c r="R2" s="2456"/>
      <c r="S2" s="72"/>
      <c r="T2" s="72"/>
      <c r="AJ2" s="2215"/>
      <c r="AK2" s="1468"/>
    </row>
    <row r="3" spans="1:38" s="71" customFormat="1" ht="15.75" x14ac:dyDescent="0.25">
      <c r="A3" s="71" t="str">
        <f t="shared" si="0"/>
        <v>01</v>
      </c>
      <c r="C3" s="2457" t="s">
        <v>945</v>
      </c>
      <c r="D3" s="2457"/>
      <c r="E3" s="2457"/>
      <c r="F3" s="2457"/>
      <c r="G3" s="2457"/>
      <c r="H3" s="2457"/>
      <c r="I3" s="2457"/>
      <c r="J3" s="2457"/>
      <c r="K3" s="2457"/>
      <c r="L3" s="2457"/>
      <c r="M3" s="2457"/>
      <c r="N3" s="2457"/>
      <c r="O3" s="2457"/>
      <c r="P3" s="2216"/>
      <c r="Q3" s="2216"/>
      <c r="R3" s="2456"/>
      <c r="S3" s="72"/>
      <c r="T3" s="72"/>
      <c r="AJ3" s="2215"/>
      <c r="AK3" s="1468"/>
    </row>
    <row r="4" spans="1:38" s="719" customFormat="1" ht="15.75" x14ac:dyDescent="0.25">
      <c r="A4" s="71" t="str">
        <f t="shared" si="0"/>
        <v>01</v>
      </c>
      <c r="K4" s="430" t="s">
        <v>864</v>
      </c>
      <c r="L4" s="430"/>
      <c r="M4" s="430"/>
      <c r="AK4" s="1467"/>
    </row>
    <row r="5" spans="1:38" s="719" customFormat="1" ht="15.75" x14ac:dyDescent="0.25">
      <c r="A5" s="71" t="str">
        <f t="shared" si="0"/>
        <v>01</v>
      </c>
      <c r="G5" s="2099"/>
      <c r="H5" s="2099"/>
      <c r="I5" s="2099"/>
      <c r="J5" s="2099"/>
      <c r="K5" s="2099"/>
      <c r="L5" s="27" t="s">
        <v>317</v>
      </c>
      <c r="M5" s="27"/>
      <c r="N5" s="2499" t="str">
        <f>+Index!$E$10</f>
        <v>01</v>
      </c>
      <c r="O5" s="2499"/>
      <c r="P5" s="2499"/>
      <c r="Q5" s="2499"/>
      <c r="AK5" s="1467"/>
    </row>
    <row r="6" spans="1:38" s="719" customFormat="1" ht="15.75" x14ac:dyDescent="0.25">
      <c r="A6" s="71" t="str">
        <f t="shared" si="0"/>
        <v>01</v>
      </c>
      <c r="C6" s="719" t="s">
        <v>50</v>
      </c>
      <c r="G6" s="2099"/>
      <c r="H6" s="2099"/>
      <c r="I6" s="2099"/>
      <c r="J6" s="2099"/>
      <c r="K6" s="2099"/>
      <c r="L6" s="27" t="s">
        <v>318</v>
      </c>
      <c r="M6" s="27"/>
      <c r="N6" s="2500" t="str">
        <f>+Index!$E$11</f>
        <v>North Carolina General Assembly</v>
      </c>
      <c r="O6" s="2500"/>
      <c r="P6" s="2500"/>
      <c r="Q6" s="2500"/>
      <c r="AK6" s="1467"/>
    </row>
    <row r="7" spans="1:38" s="719" customFormat="1" ht="15.75" x14ac:dyDescent="0.25">
      <c r="A7" s="71" t="str">
        <f t="shared" si="0"/>
        <v>01</v>
      </c>
      <c r="C7" s="719" t="s">
        <v>568</v>
      </c>
      <c r="E7" s="1577" t="s">
        <v>754</v>
      </c>
      <c r="G7" s="2100"/>
      <c r="H7" s="2100"/>
      <c r="I7" s="2100"/>
      <c r="J7" s="2100"/>
      <c r="K7" s="2100"/>
      <c r="L7" s="27" t="s">
        <v>319</v>
      </c>
      <c r="M7" s="27"/>
      <c r="N7" s="2501" t="str">
        <f>CONCATENATE(Index!$E$12," ",Index!$E$14)</f>
        <v xml:space="preserve"> </v>
      </c>
      <c r="O7" s="2501"/>
      <c r="P7" s="2501"/>
      <c r="Q7" s="2501"/>
      <c r="AK7" s="1467"/>
    </row>
    <row r="8" spans="1:38" s="719" customFormat="1" ht="15.75" x14ac:dyDescent="0.25">
      <c r="A8" s="71" t="str">
        <f t="shared" si="0"/>
        <v>01</v>
      </c>
      <c r="G8" s="2100"/>
      <c r="H8" s="2100"/>
      <c r="I8" s="2100"/>
      <c r="J8" s="2100"/>
      <c r="K8" s="2100"/>
      <c r="L8" s="27" t="s">
        <v>71</v>
      </c>
      <c r="M8" s="27"/>
      <c r="N8" s="2501">
        <f>+Index!$E$13</f>
        <v>0</v>
      </c>
      <c r="O8" s="2501"/>
      <c r="P8" s="2501"/>
      <c r="Q8" s="2501"/>
      <c r="AK8" s="1467"/>
    </row>
    <row r="9" spans="1:38" s="719" customFormat="1" ht="16.5" thickBot="1" x14ac:dyDescent="0.3">
      <c r="A9" s="71" t="str">
        <f t="shared" si="0"/>
        <v>01</v>
      </c>
      <c r="C9" s="1745"/>
      <c r="D9" s="1745"/>
      <c r="E9" s="1745"/>
      <c r="F9" s="1745"/>
      <c r="G9" s="1745"/>
      <c r="H9" s="1745"/>
      <c r="I9" s="1745"/>
      <c r="J9" s="1745"/>
      <c r="K9" s="1745"/>
      <c r="L9" s="1745"/>
      <c r="M9" s="1745"/>
      <c r="N9" s="1745"/>
      <c r="O9" s="1745"/>
      <c r="P9" s="1745"/>
      <c r="Q9" s="1745"/>
      <c r="AK9" s="1467"/>
    </row>
    <row r="10" spans="1:38" s="719" customFormat="1" ht="15.75" x14ac:dyDescent="0.25">
      <c r="A10" s="71" t="str">
        <f t="shared" si="0"/>
        <v>01</v>
      </c>
      <c r="C10" s="1572" t="s">
        <v>946</v>
      </c>
      <c r="AK10" s="1467"/>
    </row>
    <row r="11" spans="1:38" s="719" customFormat="1" ht="43.15" customHeight="1" x14ac:dyDescent="0.25">
      <c r="A11" s="71" t="str">
        <f t="shared" si="0"/>
        <v>01</v>
      </c>
      <c r="C11" s="2507" t="s">
        <v>947</v>
      </c>
      <c r="D11" s="2507"/>
      <c r="E11" s="2507"/>
      <c r="F11" s="2507"/>
      <c r="G11" s="2507"/>
      <c r="H11" s="2507"/>
      <c r="I11" s="2507"/>
      <c r="J11" s="2507"/>
      <c r="K11" s="2507"/>
      <c r="L11" s="2507"/>
      <c r="M11" s="2507"/>
      <c r="N11" s="2507"/>
      <c r="O11" s="2507"/>
      <c r="P11" s="2507"/>
      <c r="Q11" s="2507"/>
      <c r="R11" s="1572"/>
      <c r="S11" s="1575"/>
      <c r="T11" s="1575"/>
      <c r="U11" s="1575"/>
      <c r="V11" s="1575"/>
      <c r="W11" s="1575"/>
      <c r="X11" s="1575"/>
      <c r="Y11" s="1575"/>
      <c r="Z11" s="1575"/>
      <c r="AA11" s="1575"/>
      <c r="AB11" s="1575"/>
      <c r="AC11" s="1575"/>
      <c r="AD11" s="1575"/>
      <c r="AE11" s="1575"/>
      <c r="AF11" s="1575"/>
      <c r="AG11" s="1575"/>
      <c r="AH11" s="1575"/>
      <c r="AI11" s="1575"/>
      <c r="AJ11" s="1575"/>
      <c r="AK11" s="1576"/>
      <c r="AL11" s="1575"/>
    </row>
    <row r="12" spans="1:38" s="719" customFormat="1" ht="9.6" customHeight="1" x14ac:dyDescent="0.25">
      <c r="A12" s="71"/>
      <c r="D12" s="11"/>
      <c r="E12" s="1573"/>
      <c r="F12" s="11"/>
      <c r="G12" s="11"/>
      <c r="H12" s="11"/>
      <c r="I12" s="11"/>
      <c r="J12" s="11"/>
      <c r="K12" s="11"/>
      <c r="L12" s="11"/>
      <c r="M12" s="11"/>
      <c r="N12" s="11"/>
      <c r="O12" s="1574"/>
      <c r="P12" s="1574"/>
      <c r="Q12" s="1574"/>
      <c r="R12" s="1575"/>
      <c r="S12" s="1575"/>
      <c r="T12" s="1575"/>
      <c r="U12" s="1575"/>
      <c r="V12" s="1575"/>
      <c r="W12" s="1575"/>
      <c r="X12" s="1575"/>
      <c r="Y12" s="1575"/>
      <c r="Z12" s="1575"/>
      <c r="AA12" s="1575"/>
      <c r="AB12" s="1575"/>
      <c r="AC12" s="1575"/>
      <c r="AD12" s="1575"/>
      <c r="AE12" s="1575"/>
      <c r="AF12" s="1575"/>
      <c r="AG12" s="1575"/>
      <c r="AH12" s="1575"/>
      <c r="AI12" s="1575"/>
      <c r="AJ12" s="1575"/>
      <c r="AK12" s="1576"/>
      <c r="AL12" s="1575"/>
    </row>
    <row r="13" spans="1:38" s="719" customFormat="1" ht="15.75" x14ac:dyDescent="0.25">
      <c r="A13" s="71" t="str">
        <f t="shared" si="0"/>
        <v>01</v>
      </c>
      <c r="C13" s="782" t="s">
        <v>948</v>
      </c>
      <c r="D13" s="159"/>
      <c r="E13" s="2246"/>
      <c r="F13" s="159"/>
      <c r="G13" s="159"/>
      <c r="H13" s="159"/>
      <c r="I13" s="159"/>
      <c r="J13" s="159"/>
      <c r="K13" s="159"/>
      <c r="L13" s="159"/>
      <c r="M13" s="159"/>
      <c r="N13" s="159"/>
      <c r="AK13" s="1467"/>
    </row>
    <row r="14" spans="1:38" s="719" customFormat="1" ht="15.75" x14ac:dyDescent="0.25">
      <c r="A14" s="71" t="str">
        <f t="shared" si="0"/>
        <v>01</v>
      </c>
      <c r="C14" s="722" t="s">
        <v>870</v>
      </c>
      <c r="D14" s="159"/>
      <c r="E14" s="2246"/>
      <c r="F14" s="159"/>
      <c r="G14" s="159"/>
      <c r="H14" s="159"/>
      <c r="I14" s="159"/>
      <c r="J14" s="159"/>
      <c r="K14" s="159"/>
      <c r="L14" s="159"/>
      <c r="M14" s="159"/>
      <c r="N14" s="159"/>
      <c r="AK14" s="1467" t="s">
        <v>50</v>
      </c>
    </row>
    <row r="15" spans="1:38" s="719" customFormat="1" ht="15.75" x14ac:dyDescent="0.25">
      <c r="A15" s="71" t="str">
        <f t="shared" si="0"/>
        <v>01</v>
      </c>
      <c r="C15" s="782" t="s">
        <v>949</v>
      </c>
      <c r="D15" s="159"/>
      <c r="E15" s="2246"/>
      <c r="F15" s="159"/>
      <c r="G15" s="159"/>
      <c r="H15" s="159"/>
      <c r="I15" s="159"/>
      <c r="J15" s="159"/>
      <c r="K15" s="159"/>
      <c r="L15" s="159"/>
      <c r="M15" s="159"/>
      <c r="N15" s="159"/>
      <c r="AK15" s="1467"/>
    </row>
    <row r="16" spans="1:38" s="719" customFormat="1" ht="27.6" customHeight="1" x14ac:dyDescent="0.25">
      <c r="A16" s="71" t="str">
        <f t="shared" si="0"/>
        <v>01</v>
      </c>
      <c r="C16" s="2506" t="s">
        <v>950</v>
      </c>
      <c r="D16" s="2506"/>
      <c r="E16" s="2506"/>
      <c r="F16" s="2506"/>
      <c r="G16" s="2506"/>
      <c r="H16" s="2506"/>
      <c r="I16" s="2506"/>
      <c r="J16" s="2506"/>
      <c r="K16" s="2506"/>
      <c r="L16" s="2506"/>
      <c r="M16" s="2506"/>
      <c r="N16" s="2506"/>
      <c r="O16" s="2506"/>
      <c r="P16" s="2506"/>
      <c r="Q16" s="2506"/>
      <c r="AK16" s="1467"/>
    </row>
    <row r="17" spans="1:37" s="719" customFormat="1" ht="3.6" customHeight="1" x14ac:dyDescent="0.25">
      <c r="A17" s="71"/>
      <c r="C17" s="782"/>
      <c r="D17" s="159"/>
      <c r="E17" s="2246"/>
      <c r="F17" s="159"/>
      <c r="G17" s="159"/>
      <c r="H17" s="159"/>
      <c r="I17" s="159"/>
      <c r="J17" s="159"/>
      <c r="K17" s="159"/>
      <c r="L17" s="159"/>
      <c r="M17" s="159"/>
      <c r="N17" s="159"/>
      <c r="AK17" s="1467"/>
    </row>
    <row r="18" spans="1:37" s="719" customFormat="1" ht="4.1500000000000004" hidden="1" customHeight="1" x14ac:dyDescent="0.25">
      <c r="A18" s="71"/>
      <c r="C18" s="159"/>
      <c r="D18" s="159"/>
      <c r="E18" s="159"/>
      <c r="F18" s="159"/>
      <c r="G18" s="159"/>
      <c r="H18" s="159"/>
      <c r="I18" s="159"/>
      <c r="J18" s="159"/>
      <c r="K18" s="159"/>
      <c r="L18" s="159"/>
      <c r="M18" s="159"/>
      <c r="N18" s="159"/>
      <c r="O18" s="159"/>
      <c r="P18" s="159"/>
      <c r="Q18" s="159"/>
      <c r="R18" s="159"/>
      <c r="AK18" s="1467"/>
    </row>
    <row r="19" spans="1:37" s="719" customFormat="1" ht="15.75" x14ac:dyDescent="0.25">
      <c r="A19" s="71"/>
      <c r="C19" s="1" t="s">
        <v>874</v>
      </c>
      <c r="D19" s="1" t="s">
        <v>875</v>
      </c>
      <c r="E19" s="159"/>
      <c r="G19" s="159"/>
      <c r="H19" s="159"/>
      <c r="I19" s="159"/>
      <c r="J19" s="159"/>
      <c r="K19" s="159"/>
      <c r="L19" s="159"/>
      <c r="M19" s="159"/>
      <c r="N19" s="159"/>
      <c r="O19" s="159"/>
      <c r="P19" s="159"/>
      <c r="Q19" s="159"/>
      <c r="R19" s="159"/>
      <c r="AK19" s="1467"/>
    </row>
    <row r="20" spans="1:37" s="719" customFormat="1" ht="15.75" x14ac:dyDescent="0.25">
      <c r="A20" s="71" t="str">
        <f t="shared" si="0"/>
        <v>01</v>
      </c>
      <c r="C20" s="159"/>
      <c r="D20" s="159" t="s">
        <v>951</v>
      </c>
      <c r="E20" s="159"/>
      <c r="F20" s="159"/>
      <c r="G20" s="159"/>
      <c r="H20" s="159"/>
      <c r="I20" s="159"/>
      <c r="J20" s="159"/>
      <c r="K20" s="159"/>
      <c r="L20" s="159"/>
      <c r="M20" s="159"/>
      <c r="N20" s="159"/>
      <c r="O20" s="159"/>
      <c r="P20" s="159"/>
      <c r="Q20" s="159"/>
      <c r="R20" s="159"/>
      <c r="AK20" s="1467"/>
    </row>
    <row r="21" spans="1:37" s="719" customFormat="1" ht="15.75" x14ac:dyDescent="0.25">
      <c r="A21" s="71" t="str">
        <f t="shared" si="0"/>
        <v>01</v>
      </c>
      <c r="C21" s="159"/>
      <c r="D21" s="159"/>
      <c r="E21" s="159"/>
      <c r="F21" s="1466"/>
      <c r="G21" s="2505" t="s">
        <v>877</v>
      </c>
      <c r="H21" s="2505"/>
      <c r="I21" s="2505"/>
      <c r="J21" s="1465"/>
      <c r="K21" s="2505" t="s">
        <v>878</v>
      </c>
      <c r="L21" s="2505"/>
      <c r="M21" s="2505"/>
      <c r="N21" s="1465"/>
      <c r="O21" s="2505" t="s">
        <v>879</v>
      </c>
      <c r="P21" s="2505"/>
      <c r="Q21" s="2505"/>
      <c r="R21" s="159"/>
      <c r="AK21" s="1467"/>
    </row>
    <row r="22" spans="1:37" s="719" customFormat="1" ht="15.75" x14ac:dyDescent="0.25">
      <c r="A22" s="71" t="str">
        <f t="shared" si="0"/>
        <v>01</v>
      </c>
      <c r="C22" s="159"/>
      <c r="D22" s="2231" t="s">
        <v>952</v>
      </c>
      <c r="E22" s="2246"/>
      <c r="F22" s="2231"/>
      <c r="G22" s="2233" t="s">
        <v>953</v>
      </c>
      <c r="H22" s="2233"/>
      <c r="I22" s="2233" t="s">
        <v>954</v>
      </c>
      <c r="J22" s="2233"/>
      <c r="K22" s="2233" t="s">
        <v>953</v>
      </c>
      <c r="L22" s="2233"/>
      <c r="M22" s="2233" t="s">
        <v>954</v>
      </c>
      <c r="N22" s="2233"/>
      <c r="O22" s="2233" t="s">
        <v>953</v>
      </c>
      <c r="P22" s="2233"/>
      <c r="Q22" s="2233" t="s">
        <v>954</v>
      </c>
      <c r="R22" s="159"/>
      <c r="AK22" s="1467"/>
    </row>
    <row r="23" spans="1:37" s="719" customFormat="1" ht="15.6" customHeight="1" x14ac:dyDescent="0.25">
      <c r="A23" s="71" t="str">
        <f t="shared" si="0"/>
        <v>01</v>
      </c>
      <c r="C23" s="159"/>
      <c r="D23" s="2231" t="s">
        <v>883</v>
      </c>
      <c r="E23" s="2246"/>
      <c r="F23" s="159"/>
      <c r="G23" s="2503" t="s">
        <v>884</v>
      </c>
      <c r="H23" s="2503"/>
      <c r="I23" s="2503"/>
      <c r="J23" s="159"/>
      <c r="K23" s="2504" t="s">
        <v>885</v>
      </c>
      <c r="L23" s="2504"/>
      <c r="M23" s="2504"/>
      <c r="N23" s="2231"/>
      <c r="O23" s="2503" t="s">
        <v>886</v>
      </c>
      <c r="P23" s="2503"/>
      <c r="Q23" s="2503"/>
      <c r="R23" s="159"/>
      <c r="AK23" s="1467"/>
    </row>
    <row r="24" spans="1:37" s="719" customFormat="1" ht="15.75" x14ac:dyDescent="0.25">
      <c r="A24" s="71" t="str">
        <f t="shared" si="0"/>
        <v>01</v>
      </c>
      <c r="C24" s="159"/>
      <c r="D24" s="2261" t="s">
        <v>887</v>
      </c>
      <c r="E24" s="2246"/>
      <c r="F24" s="159"/>
      <c r="G24" s="2261" t="s">
        <v>888</v>
      </c>
      <c r="H24" s="2231"/>
      <c r="I24" s="2261" t="s">
        <v>889</v>
      </c>
      <c r="J24" s="159"/>
      <c r="K24" s="2261" t="s">
        <v>888</v>
      </c>
      <c r="L24" s="2231"/>
      <c r="M24" s="2261" t="s">
        <v>889</v>
      </c>
      <c r="N24" s="2231"/>
      <c r="O24" s="2261" t="s">
        <v>888</v>
      </c>
      <c r="P24" s="2231"/>
      <c r="Q24" s="2261" t="s">
        <v>889</v>
      </c>
      <c r="R24" s="159"/>
      <c r="AK24" s="1467"/>
    </row>
    <row r="25" spans="1:37" s="719" customFormat="1" ht="15.75" hidden="1" x14ac:dyDescent="0.25">
      <c r="A25" s="71" t="str">
        <f t="shared" si="0"/>
        <v>01</v>
      </c>
      <c r="C25" s="159"/>
      <c r="D25" s="2231"/>
      <c r="E25" s="2246"/>
      <c r="F25" s="159"/>
      <c r="G25" s="720" t="s">
        <v>890</v>
      </c>
      <c r="H25" s="720"/>
      <c r="I25" s="720"/>
      <c r="J25" s="159"/>
      <c r="K25" s="720" t="s">
        <v>891</v>
      </c>
      <c r="L25" s="720"/>
      <c r="M25" s="720"/>
      <c r="N25" s="2231"/>
      <c r="O25" s="720" t="s">
        <v>892</v>
      </c>
      <c r="P25" s="720"/>
      <c r="Q25" s="720"/>
      <c r="R25" s="159"/>
      <c r="AK25" s="1467"/>
    </row>
    <row r="26" spans="1:37" s="719" customFormat="1" ht="15.75" x14ac:dyDescent="0.25">
      <c r="A26" s="71" t="str">
        <f t="shared" si="0"/>
        <v>01</v>
      </c>
      <c r="B26" s="719">
        <v>105</v>
      </c>
      <c r="C26" s="159"/>
      <c r="D26" s="2246">
        <f>+YEAR(Data!$A$2)+1</f>
        <v>2024</v>
      </c>
      <c r="E26" s="2246"/>
      <c r="F26" s="1746"/>
      <c r="G26" s="1747">
        <v>0</v>
      </c>
      <c r="H26" s="2029"/>
      <c r="I26" s="2271"/>
      <c r="J26" s="1746"/>
      <c r="K26" s="1747"/>
      <c r="L26" s="2029"/>
      <c r="M26" s="2271"/>
      <c r="N26" s="1746"/>
      <c r="O26" s="1747"/>
      <c r="P26" s="2029"/>
      <c r="Q26" s="1747"/>
      <c r="R26" s="159"/>
      <c r="S26" s="719">
        <f>+_Agy302</f>
        <v>0</v>
      </c>
      <c r="T26" s="719" t="s">
        <v>893</v>
      </c>
      <c r="U26" s="1748" t="e">
        <f>+#REF!</f>
        <v>#REF!</v>
      </c>
      <c r="V26" s="1748" t="e">
        <f>+#REF!</f>
        <v>#REF!</v>
      </c>
      <c r="W26" s="1748" t="e">
        <f>+#REF!</f>
        <v>#REF!</v>
      </c>
      <c r="X26" s="1748" t="e">
        <f>+#REF!</f>
        <v>#REF!</v>
      </c>
      <c r="Y26" s="1748" t="e">
        <f>+#REF!</f>
        <v>#REF!</v>
      </c>
      <c r="Z26" s="1748" t="e">
        <f>+#REF!</f>
        <v>#REF!</v>
      </c>
      <c r="AA26" s="1748" t="e">
        <f>+#REF!</f>
        <v>#REF!</v>
      </c>
      <c r="AB26" s="1748" t="e">
        <f>+#REF!</f>
        <v>#REF!</v>
      </c>
      <c r="AC26" s="1748" t="e">
        <f>+#REF!</f>
        <v>#REF!</v>
      </c>
      <c r="AD26" s="1748" t="e">
        <f>+#REF!</f>
        <v>#REF!</v>
      </c>
      <c r="AE26" s="1748" t="e">
        <f>+#REF!</f>
        <v>#REF!</v>
      </c>
      <c r="AF26" s="1748" t="e">
        <f>+#REF!</f>
        <v>#REF!</v>
      </c>
      <c r="AG26" s="1748" t="e">
        <f>+#REF!</f>
        <v>#REF!</v>
      </c>
      <c r="AH26" s="1748" t="e">
        <f>+#REF!</f>
        <v>#REF!</v>
      </c>
      <c r="AK26" s="1467" t="s">
        <v>894</v>
      </c>
    </row>
    <row r="27" spans="1:37" s="719" customFormat="1" ht="15.75" x14ac:dyDescent="0.25">
      <c r="A27" s="71" t="str">
        <f t="shared" si="0"/>
        <v>01</v>
      </c>
      <c r="B27" s="719">
        <v>110</v>
      </c>
      <c r="C27" s="159"/>
      <c r="D27" s="2246">
        <f>D26+1</f>
        <v>2025</v>
      </c>
      <c r="E27" s="2246"/>
      <c r="F27" s="1746"/>
      <c r="G27" s="1747"/>
      <c r="H27" s="2029"/>
      <c r="I27" s="2271"/>
      <c r="J27" s="1746"/>
      <c r="K27" s="1747"/>
      <c r="L27" s="2029"/>
      <c r="M27" s="2271"/>
      <c r="N27" s="1746"/>
      <c r="O27" s="1747"/>
      <c r="P27" s="2029"/>
      <c r="Q27" s="1747"/>
      <c r="R27" s="159"/>
      <c r="S27" s="719">
        <f>+S26</f>
        <v>0</v>
      </c>
      <c r="T27" s="719" t="s">
        <v>895</v>
      </c>
      <c r="U27" s="1748" t="e">
        <f>+#REF!+$G$26+$K$26+$O$26</f>
        <v>#REF!</v>
      </c>
      <c r="V27" s="1748" t="e">
        <f>+#REF!+$G$27+$K$27+$O$27</f>
        <v>#REF!</v>
      </c>
      <c r="W27" s="1748" t="e">
        <f>+#REF!+$G$28+$K$28+$O$28</f>
        <v>#REF!</v>
      </c>
      <c r="X27" s="1748" t="e">
        <f>+#REF!+$G$29+$K$29+$O$29</f>
        <v>#REF!</v>
      </c>
      <c r="Y27" s="1748" t="e">
        <f>+#REF!+$G$30+$K$30+$O$30</f>
        <v>#REF!</v>
      </c>
      <c r="Z27" s="1748" t="e">
        <f>+#REF!+$G$31+$K$31+$O$31</f>
        <v>#REF!</v>
      </c>
      <c r="AA27" s="1748" t="e">
        <f>+#REF!+$G$32+$K$32+$O$32</f>
        <v>#REF!</v>
      </c>
      <c r="AB27" s="1748" t="e">
        <f>+#REF!+$G$33+$K$33+$O$33</f>
        <v>#REF!</v>
      </c>
      <c r="AC27" s="1748" t="e">
        <f>+#REF!+$G$34+$K$34+$O$34</f>
        <v>#REF!</v>
      </c>
      <c r="AD27" s="1748" t="e">
        <f>+#REF!+$G$35+$K$35+$O$35</f>
        <v>#REF!</v>
      </c>
      <c r="AE27" s="1748" t="e">
        <f>+#REF!+$G$36+$K$36+$O$36</f>
        <v>#REF!</v>
      </c>
      <c r="AF27" s="1748" t="e">
        <f>+#REF!+$G$37+$K$37+$O$37</f>
        <v>#REF!</v>
      </c>
      <c r="AG27" s="1748" t="e">
        <f>+#REF!+$G$38+$K$38+$O$38</f>
        <v>#REF!</v>
      </c>
      <c r="AH27" s="1748" t="e">
        <f>+#REF!+$G$39+$K$39+$O$39</f>
        <v>#REF!</v>
      </c>
      <c r="AI27" s="1748" t="e">
        <f>+#REF!+#REF!+#REF!+#REF!</f>
        <v>#REF!</v>
      </c>
      <c r="AK27" s="1467" t="s">
        <v>896</v>
      </c>
    </row>
    <row r="28" spans="1:37" s="719" customFormat="1" ht="15.75" x14ac:dyDescent="0.25">
      <c r="A28" s="71" t="str">
        <f t="shared" si="0"/>
        <v>01</v>
      </c>
      <c r="B28" s="719">
        <v>115</v>
      </c>
      <c r="C28" s="159"/>
      <c r="D28" s="2246">
        <f>D27+1</f>
        <v>2026</v>
      </c>
      <c r="E28" s="2246"/>
      <c r="F28" s="1746"/>
      <c r="G28" s="1747"/>
      <c r="H28" s="2029"/>
      <c r="I28" s="2271"/>
      <c r="J28" s="1746"/>
      <c r="K28" s="1747"/>
      <c r="L28" s="2029"/>
      <c r="M28" s="2271"/>
      <c r="N28" s="1746"/>
      <c r="O28" s="1747"/>
      <c r="P28" s="2029"/>
      <c r="Q28" s="1747"/>
      <c r="R28" s="159"/>
      <c r="U28" s="1748"/>
      <c r="AK28" s="1467" t="s">
        <v>897</v>
      </c>
    </row>
    <row r="29" spans="1:37" s="719" customFormat="1" ht="15.75" x14ac:dyDescent="0.25">
      <c r="A29" s="71" t="str">
        <f t="shared" si="0"/>
        <v>01</v>
      </c>
      <c r="B29" s="719">
        <v>120</v>
      </c>
      <c r="C29" s="159"/>
      <c r="D29" s="2246">
        <f>D28+1</f>
        <v>2027</v>
      </c>
      <c r="E29" s="2246"/>
      <c r="F29" s="1746"/>
      <c r="G29" s="1747"/>
      <c r="H29" s="2029"/>
      <c r="I29" s="2271"/>
      <c r="J29" s="1746"/>
      <c r="K29" s="1747"/>
      <c r="L29" s="2029"/>
      <c r="M29" s="2271"/>
      <c r="N29" s="1746"/>
      <c r="O29" s="1747"/>
      <c r="P29" s="2029"/>
      <c r="Q29" s="1747"/>
      <c r="R29" s="159"/>
      <c r="U29" s="1748"/>
      <c r="AK29" s="1467" t="s">
        <v>898</v>
      </c>
    </row>
    <row r="30" spans="1:37" s="719" customFormat="1" ht="15.75" x14ac:dyDescent="0.25">
      <c r="A30" s="71" t="str">
        <f t="shared" si="0"/>
        <v>01</v>
      </c>
      <c r="B30" s="719">
        <v>125</v>
      </c>
      <c r="C30" s="159"/>
      <c r="D30" s="2246">
        <f>D29+1</f>
        <v>2028</v>
      </c>
      <c r="E30" s="2246"/>
      <c r="F30" s="1746"/>
      <c r="G30" s="1747"/>
      <c r="H30" s="2029"/>
      <c r="I30" s="2271"/>
      <c r="J30" s="1746"/>
      <c r="K30" s="1747"/>
      <c r="L30" s="2029"/>
      <c r="M30" s="2271"/>
      <c r="N30" s="1746"/>
      <c r="O30" s="1747"/>
      <c r="P30" s="2029"/>
      <c r="Q30" s="1747"/>
      <c r="R30" s="159"/>
      <c r="U30" s="1748"/>
      <c r="AK30" s="1467" t="s">
        <v>899</v>
      </c>
    </row>
    <row r="31" spans="1:37" s="719" customFormat="1" ht="15.75" x14ac:dyDescent="0.25">
      <c r="A31" s="71" t="str">
        <f t="shared" si="0"/>
        <v>01</v>
      </c>
      <c r="B31" s="719">
        <v>130</v>
      </c>
      <c r="C31" s="1749">
        <f>D30+1</f>
        <v>2029</v>
      </c>
      <c r="D31" s="1750" t="str">
        <f>(C31)&amp;" - "&amp;(C31+4)</f>
        <v>2029 - 2033</v>
      </c>
      <c r="E31" s="2246"/>
      <c r="F31" s="1746"/>
      <c r="G31" s="1747"/>
      <c r="H31" s="2029"/>
      <c r="I31" s="2271"/>
      <c r="J31" s="1746"/>
      <c r="K31" s="1747"/>
      <c r="L31" s="2029"/>
      <c r="M31" s="2271"/>
      <c r="N31" s="1746"/>
      <c r="O31" s="1747"/>
      <c r="P31" s="2029"/>
      <c r="Q31" s="1747"/>
      <c r="R31" s="159"/>
      <c r="U31" s="1748"/>
      <c r="AK31" s="1467" t="s">
        <v>900</v>
      </c>
    </row>
    <row r="32" spans="1:37" s="719" customFormat="1" ht="15.75" x14ac:dyDescent="0.25">
      <c r="A32" s="71" t="str">
        <f t="shared" si="0"/>
        <v>01</v>
      </c>
      <c r="B32" s="719">
        <v>135</v>
      </c>
      <c r="C32" s="1749">
        <f t="shared" ref="C32:C40" si="1">C31+5</f>
        <v>2034</v>
      </c>
      <c r="D32" s="1750" t="str">
        <f>(C32)&amp;" - "&amp;(C32+4)</f>
        <v>2034 - 2038</v>
      </c>
      <c r="E32" s="2246"/>
      <c r="F32" s="1746"/>
      <c r="G32" s="1747">
        <v>0</v>
      </c>
      <c r="H32" s="2029"/>
      <c r="I32" s="2271"/>
      <c r="J32" s="1746"/>
      <c r="K32" s="1747">
        <v>0</v>
      </c>
      <c r="L32" s="2029"/>
      <c r="M32" s="2271"/>
      <c r="N32" s="1746"/>
      <c r="O32" s="1747">
        <v>0</v>
      </c>
      <c r="P32" s="2029"/>
      <c r="Q32" s="1747">
        <v>0</v>
      </c>
      <c r="R32" s="159"/>
      <c r="U32" s="1748"/>
      <c r="AK32" s="1467" t="s">
        <v>901</v>
      </c>
    </row>
    <row r="33" spans="1:37" s="719" customFormat="1" ht="15.75" x14ac:dyDescent="0.25">
      <c r="A33" s="71" t="str">
        <f t="shared" si="0"/>
        <v>01</v>
      </c>
      <c r="B33" s="719">
        <v>140</v>
      </c>
      <c r="C33" s="1749">
        <f t="shared" si="1"/>
        <v>2039</v>
      </c>
      <c r="D33" s="1750" t="str">
        <f>(C33)&amp;" - "&amp;(C33+4)</f>
        <v>2039 - 2043</v>
      </c>
      <c r="E33" s="2246"/>
      <c r="F33" s="1746"/>
      <c r="G33" s="1747"/>
      <c r="H33" s="2029"/>
      <c r="I33" s="2271"/>
      <c r="J33" s="1746"/>
      <c r="K33" s="1747">
        <v>0</v>
      </c>
      <c r="L33" s="2029"/>
      <c r="M33" s="2271"/>
      <c r="N33" s="1746"/>
      <c r="O33" s="1747">
        <v>0</v>
      </c>
      <c r="P33" s="2029"/>
      <c r="Q33" s="1747">
        <v>0</v>
      </c>
      <c r="R33" s="159"/>
      <c r="U33" s="1748"/>
      <c r="AK33" s="1467" t="s">
        <v>902</v>
      </c>
    </row>
    <row r="34" spans="1:37" s="719" customFormat="1" ht="15.75" x14ac:dyDescent="0.25">
      <c r="A34" s="71" t="str">
        <f t="shared" si="0"/>
        <v>01</v>
      </c>
      <c r="B34" s="719">
        <v>145</v>
      </c>
      <c r="C34" s="1749">
        <f t="shared" si="1"/>
        <v>2044</v>
      </c>
      <c r="D34" s="1750" t="str">
        <f t="shared" ref="D34:D39" si="2">(C34)&amp;" - "&amp;(C34+4)</f>
        <v>2044 - 2048</v>
      </c>
      <c r="E34" s="2246"/>
      <c r="F34" s="1746"/>
      <c r="G34" s="1747">
        <v>0</v>
      </c>
      <c r="H34" s="2029"/>
      <c r="I34" s="2271"/>
      <c r="J34" s="1746"/>
      <c r="K34" s="1747"/>
      <c r="L34" s="2029"/>
      <c r="M34" s="2271"/>
      <c r="N34" s="1746"/>
      <c r="O34" s="1747">
        <v>0</v>
      </c>
      <c r="P34" s="2029"/>
      <c r="Q34" s="1747">
        <v>0</v>
      </c>
      <c r="R34" s="159"/>
      <c r="U34" s="1748"/>
      <c r="AK34" s="1467" t="s">
        <v>903</v>
      </c>
    </row>
    <row r="35" spans="1:37" s="719" customFormat="1" ht="15.75" x14ac:dyDescent="0.25">
      <c r="A35" s="71" t="str">
        <f t="shared" si="0"/>
        <v>01</v>
      </c>
      <c r="B35" s="719">
        <v>150</v>
      </c>
      <c r="C35" s="1749">
        <f t="shared" si="1"/>
        <v>2049</v>
      </c>
      <c r="D35" s="1750" t="str">
        <f t="shared" si="2"/>
        <v>2049 - 2053</v>
      </c>
      <c r="E35" s="2246"/>
      <c r="F35" s="1746"/>
      <c r="G35" s="1747">
        <v>0</v>
      </c>
      <c r="H35" s="2029"/>
      <c r="I35" s="2271"/>
      <c r="J35" s="1746"/>
      <c r="K35" s="1747"/>
      <c r="L35" s="2029"/>
      <c r="M35" s="2271"/>
      <c r="N35" s="1746"/>
      <c r="O35" s="1747"/>
      <c r="P35" s="2029"/>
      <c r="Q35" s="1747"/>
      <c r="R35" s="159"/>
      <c r="U35" s="1748"/>
      <c r="AK35" s="1467" t="s">
        <v>904</v>
      </c>
    </row>
    <row r="36" spans="1:37" s="719" customFormat="1" ht="15.75" x14ac:dyDescent="0.25">
      <c r="A36" s="71" t="str">
        <f t="shared" si="0"/>
        <v>01</v>
      </c>
      <c r="B36" s="719">
        <v>155</v>
      </c>
      <c r="C36" s="1749">
        <f t="shared" si="1"/>
        <v>2054</v>
      </c>
      <c r="D36" s="1750" t="str">
        <f t="shared" si="2"/>
        <v>2054 - 2058</v>
      </c>
      <c r="E36" s="2246"/>
      <c r="F36" s="1746"/>
      <c r="G36" s="1747">
        <v>0</v>
      </c>
      <c r="H36" s="2029"/>
      <c r="I36" s="2271"/>
      <c r="J36" s="1746"/>
      <c r="K36" s="1747"/>
      <c r="L36" s="2029"/>
      <c r="M36" s="2271"/>
      <c r="N36" s="1746"/>
      <c r="O36" s="1747"/>
      <c r="P36" s="2029"/>
      <c r="Q36" s="1747"/>
      <c r="R36" s="159"/>
      <c r="U36" s="1748"/>
      <c r="AK36" s="1467" t="s">
        <v>905</v>
      </c>
    </row>
    <row r="37" spans="1:37" s="719" customFormat="1" ht="15.75" x14ac:dyDescent="0.25">
      <c r="A37" s="71" t="str">
        <f t="shared" si="0"/>
        <v>01</v>
      </c>
      <c r="B37" s="719">
        <v>160</v>
      </c>
      <c r="C37" s="1749">
        <f t="shared" si="1"/>
        <v>2059</v>
      </c>
      <c r="D37" s="1750" t="str">
        <f t="shared" si="2"/>
        <v>2059 - 2063</v>
      </c>
      <c r="E37" s="2246"/>
      <c r="F37" s="1746"/>
      <c r="G37" s="1747"/>
      <c r="H37" s="2029"/>
      <c r="I37" s="2271"/>
      <c r="J37" s="1746"/>
      <c r="K37" s="1747"/>
      <c r="L37" s="2029"/>
      <c r="M37" s="2271"/>
      <c r="N37" s="1746"/>
      <c r="O37" s="1747"/>
      <c r="P37" s="2029"/>
      <c r="Q37" s="1747"/>
      <c r="R37" s="159"/>
      <c r="U37" s="1748"/>
      <c r="AK37" s="1467" t="s">
        <v>906</v>
      </c>
    </row>
    <row r="38" spans="1:37" s="719" customFormat="1" ht="15.75" x14ac:dyDescent="0.25">
      <c r="A38" s="71" t="str">
        <f t="shared" si="0"/>
        <v>01</v>
      </c>
      <c r="B38" s="719">
        <v>165</v>
      </c>
      <c r="C38" s="1749">
        <f t="shared" si="1"/>
        <v>2064</v>
      </c>
      <c r="D38" s="1750" t="str">
        <f t="shared" si="2"/>
        <v>2064 - 2068</v>
      </c>
      <c r="E38" s="2246"/>
      <c r="F38" s="1746"/>
      <c r="G38" s="1747"/>
      <c r="H38" s="2029"/>
      <c r="I38" s="2271"/>
      <c r="J38" s="1746"/>
      <c r="K38" s="1747"/>
      <c r="L38" s="2029"/>
      <c r="M38" s="2271"/>
      <c r="N38" s="1746"/>
      <c r="O38" s="1747"/>
      <c r="P38" s="2029"/>
      <c r="Q38" s="1747"/>
      <c r="R38" s="159"/>
      <c r="U38" s="1748"/>
      <c r="AK38" s="1467" t="s">
        <v>907</v>
      </c>
    </row>
    <row r="39" spans="1:37" s="719" customFormat="1" ht="15.75" x14ac:dyDescent="0.25">
      <c r="A39" s="71" t="str">
        <f t="shared" si="0"/>
        <v>01</v>
      </c>
      <c r="B39" s="719">
        <v>170</v>
      </c>
      <c r="C39" s="1749">
        <f t="shared" si="1"/>
        <v>2069</v>
      </c>
      <c r="D39" s="1750" t="str">
        <f t="shared" si="2"/>
        <v>2069 - 2073</v>
      </c>
      <c r="E39" s="2246"/>
      <c r="F39" s="1746"/>
      <c r="G39" s="1751"/>
      <c r="H39" s="2029"/>
      <c r="I39" s="2271"/>
      <c r="J39" s="1746"/>
      <c r="K39" s="1751"/>
      <c r="L39" s="2029"/>
      <c r="M39" s="2271"/>
      <c r="N39" s="1746"/>
      <c r="O39" s="1751"/>
      <c r="P39" s="2029"/>
      <c r="Q39" s="1751"/>
      <c r="R39" s="159"/>
      <c r="U39" s="1748"/>
      <c r="AK39" s="1467" t="s">
        <v>908</v>
      </c>
    </row>
    <row r="40" spans="1:37" s="719" customFormat="1" ht="16.5" thickBot="1" x14ac:dyDescent="0.3">
      <c r="A40" s="71" t="str">
        <f t="shared" si="0"/>
        <v>01</v>
      </c>
      <c r="B40" s="719">
        <v>175</v>
      </c>
      <c r="C40" s="1749">
        <f t="shared" si="1"/>
        <v>2074</v>
      </c>
      <c r="D40" s="1750" t="str">
        <f>(C40)&amp;" - " &amp;"Beyond"</f>
        <v>2074 - Beyond</v>
      </c>
      <c r="E40" s="2246"/>
      <c r="F40" s="1746"/>
      <c r="G40" s="1752"/>
      <c r="H40" s="2029"/>
      <c r="I40" s="1752"/>
      <c r="J40" s="1746"/>
      <c r="K40" s="1752"/>
      <c r="L40" s="2029"/>
      <c r="M40" s="1752"/>
      <c r="N40" s="1746"/>
      <c r="O40" s="1752"/>
      <c r="P40" s="2029"/>
      <c r="Q40" s="1752"/>
      <c r="R40" s="159"/>
      <c r="U40" s="1748"/>
      <c r="AK40" s="1467" t="s">
        <v>909</v>
      </c>
    </row>
    <row r="41" spans="1:37" s="719" customFormat="1" ht="10.15" customHeight="1" x14ac:dyDescent="0.25">
      <c r="A41" s="71" t="str">
        <f t="shared" si="0"/>
        <v>01</v>
      </c>
      <c r="B41" s="719">
        <v>180</v>
      </c>
      <c r="C41" s="159"/>
      <c r="D41" s="159"/>
      <c r="E41" s="2246"/>
      <c r="F41" s="1746"/>
      <c r="G41" s="1746"/>
      <c r="H41" s="2030"/>
      <c r="I41" s="1746"/>
      <c r="J41" s="1746"/>
      <c r="K41" s="1746"/>
      <c r="L41" s="2030"/>
      <c r="M41" s="1746" t="s">
        <v>657</v>
      </c>
      <c r="N41" s="1746"/>
      <c r="O41" s="2030"/>
      <c r="P41" s="1746"/>
      <c r="Q41" s="1746"/>
      <c r="R41" s="159"/>
      <c r="AK41" s="1467"/>
    </row>
    <row r="42" spans="1:37" s="719" customFormat="1" ht="16.5" thickBot="1" x14ac:dyDescent="0.3">
      <c r="A42" s="71" t="str">
        <f t="shared" si="0"/>
        <v>01</v>
      </c>
      <c r="B42" s="719">
        <v>190</v>
      </c>
      <c r="C42" s="159"/>
      <c r="D42" s="159" t="s">
        <v>955</v>
      </c>
      <c r="E42" s="2246"/>
      <c r="F42" s="1746"/>
      <c r="G42" s="1753">
        <f>SUM(G26:G40)</f>
        <v>0</v>
      </c>
      <c r="H42" s="2030"/>
      <c r="I42" s="1753">
        <f>SUM(I26:I40)</f>
        <v>0</v>
      </c>
      <c r="J42" s="1746"/>
      <c r="K42" s="1753">
        <f>SUM(K26:K40)</f>
        <v>0</v>
      </c>
      <c r="L42" s="2030"/>
      <c r="M42" s="1753">
        <f>SUM(M26:M40)</f>
        <v>0</v>
      </c>
      <c r="N42" s="1746"/>
      <c r="O42" s="1753">
        <f>SUM(O26:O40)</f>
        <v>0</v>
      </c>
      <c r="P42" s="2030"/>
      <c r="Q42" s="1753">
        <f>SUM(Q26:Q40)</f>
        <v>0</v>
      </c>
      <c r="R42" s="159"/>
      <c r="AK42" s="1467"/>
    </row>
    <row r="43" spans="1:37" s="719" customFormat="1" ht="16.5" thickTop="1" x14ac:dyDescent="0.25">
      <c r="A43" s="71" t="str">
        <f t="shared" si="0"/>
        <v>01</v>
      </c>
      <c r="C43" s="159"/>
      <c r="D43" s="159"/>
      <c r="E43" s="159"/>
      <c r="F43" s="159"/>
      <c r="G43" s="159"/>
      <c r="H43" s="159"/>
      <c r="I43" s="159"/>
      <c r="J43" s="159"/>
      <c r="K43" s="159"/>
      <c r="L43" s="159"/>
      <c r="M43" s="159"/>
      <c r="N43" s="159"/>
      <c r="O43" s="159"/>
      <c r="P43" s="159"/>
      <c r="Q43" s="159"/>
      <c r="R43" s="159"/>
      <c r="AK43" s="1467"/>
    </row>
    <row r="44" spans="1:37" s="719" customFormat="1" ht="15.75" x14ac:dyDescent="0.25">
      <c r="A44" s="71"/>
      <c r="C44" s="74" t="s">
        <v>956</v>
      </c>
      <c r="D44" s="1"/>
      <c r="E44" s="1"/>
      <c r="F44" s="1"/>
      <c r="G44" s="2032">
        <f>G42</f>
        <v>0</v>
      </c>
      <c r="H44" s="159"/>
      <c r="I44" s="2032"/>
      <c r="J44" s="159"/>
      <c r="K44" s="2032">
        <f>K42</f>
        <v>0</v>
      </c>
      <c r="L44" s="159"/>
      <c r="M44" s="2032"/>
      <c r="N44" s="159"/>
      <c r="O44" s="2032">
        <f>O42</f>
        <v>0</v>
      </c>
      <c r="P44" s="159"/>
      <c r="Q44" s="2032"/>
      <c r="R44" s="159"/>
      <c r="AK44" s="1467"/>
    </row>
    <row r="45" spans="1:37" s="719" customFormat="1" ht="15.75" x14ac:dyDescent="0.25">
      <c r="A45" s="71" t="str">
        <f t="shared" si="0"/>
        <v>01</v>
      </c>
      <c r="C45" s="159"/>
      <c r="D45" s="721" t="s">
        <v>957</v>
      </c>
      <c r="E45" s="159" t="s">
        <v>958</v>
      </c>
      <c r="F45" s="159"/>
      <c r="G45" s="159"/>
      <c r="H45" s="159"/>
      <c r="I45" s="159"/>
      <c r="J45" s="159"/>
      <c r="K45" s="159"/>
      <c r="L45" s="159"/>
      <c r="M45" s="159"/>
      <c r="N45" s="159"/>
      <c r="O45" s="159"/>
      <c r="P45" s="159"/>
      <c r="Q45" s="159"/>
      <c r="R45" s="159"/>
      <c r="AK45" s="1467"/>
    </row>
    <row r="46" spans="1:37" s="719" customFormat="1" ht="15.75" x14ac:dyDescent="0.25">
      <c r="A46" s="71"/>
      <c r="C46" s="780" t="s">
        <v>914</v>
      </c>
      <c r="D46" s="427" t="s">
        <v>959</v>
      </c>
      <c r="E46" s="427"/>
      <c r="F46" s="427"/>
      <c r="G46" s="427"/>
      <c r="H46" s="427"/>
      <c r="I46" s="427"/>
      <c r="J46" s="427"/>
      <c r="K46" s="427"/>
      <c r="L46" s="427"/>
      <c r="M46" s="427"/>
      <c r="N46" s="427"/>
      <c r="O46" s="427"/>
      <c r="P46" s="427"/>
      <c r="Q46" s="427"/>
      <c r="R46" s="159"/>
      <c r="AK46" s="1467"/>
    </row>
    <row r="47" spans="1:37" s="719" customFormat="1" ht="15.75" x14ac:dyDescent="0.25">
      <c r="A47" s="71"/>
      <c r="C47" s="780"/>
      <c r="D47" s="781" t="s">
        <v>960</v>
      </c>
      <c r="E47" s="159"/>
      <c r="F47" s="159"/>
      <c r="G47" s="159"/>
      <c r="H47" s="159"/>
      <c r="I47" s="159"/>
      <c r="J47" s="159"/>
      <c r="K47" s="159"/>
      <c r="L47" s="159"/>
      <c r="M47" s="159"/>
      <c r="N47" s="159"/>
      <c r="O47" s="159"/>
      <c r="P47" s="159"/>
      <c r="Q47" s="159"/>
      <c r="R47" s="159"/>
      <c r="AK47" s="1467"/>
    </row>
    <row r="48" spans="1:37" s="719" customFormat="1" ht="15.75" x14ac:dyDescent="0.25">
      <c r="A48" s="71"/>
      <c r="C48" s="780"/>
      <c r="D48" s="781"/>
      <c r="E48" s="159"/>
      <c r="F48" s="159"/>
      <c r="G48" s="159"/>
      <c r="H48" s="159"/>
      <c r="I48" s="159"/>
      <c r="J48" s="159"/>
      <c r="K48" s="159"/>
      <c r="L48" s="159"/>
      <c r="M48" s="159"/>
      <c r="N48" s="159"/>
      <c r="O48" s="159"/>
      <c r="P48" s="159"/>
      <c r="Q48" s="159"/>
      <c r="R48" s="159"/>
      <c r="AK48" s="1467"/>
    </row>
    <row r="49" spans="1:37" s="719" customFormat="1" ht="15.75" x14ac:dyDescent="0.25">
      <c r="A49" s="71" t="str">
        <f t="shared" si="0"/>
        <v>01</v>
      </c>
      <c r="C49" s="1641" t="s">
        <v>961</v>
      </c>
      <c r="D49" s="716"/>
      <c r="E49" s="716"/>
      <c r="F49" s="716"/>
      <c r="G49" s="1641"/>
      <c r="H49" s="1641"/>
      <c r="I49" s="1641"/>
      <c r="J49" s="1641"/>
      <c r="K49" s="1641"/>
      <c r="L49" s="1641"/>
      <c r="M49" s="1641"/>
      <c r="N49" s="1641"/>
      <c r="O49" s="1641"/>
      <c r="P49" s="1641"/>
      <c r="Q49" s="1641"/>
      <c r="R49" s="1641"/>
      <c r="AK49" s="1467"/>
    </row>
  </sheetData>
  <sheetProtection algorithmName="SHA-512" hashValue="Uojq0PZKr0lDq9QDQ5yhh1Knd9B4g9kf3itcYbM3CPqToGuCCV0jH5fiyUCMsVsopY6pkBo1Py86rc9ZQhDK0A==" saltValue="tg3JzheLcTW/hgnLPJ7dnA==" spinCount="100000" sheet="1" objects="1" scenarios="1" autoFilter="0"/>
  <mergeCells count="16">
    <mergeCell ref="G23:I23"/>
    <mergeCell ref="K23:M23"/>
    <mergeCell ref="O23:Q23"/>
    <mergeCell ref="C1:O1"/>
    <mergeCell ref="R1:R3"/>
    <mergeCell ref="C2:O2"/>
    <mergeCell ref="C3:O3"/>
    <mergeCell ref="C16:Q16"/>
    <mergeCell ref="C11:Q11"/>
    <mergeCell ref="N5:Q5"/>
    <mergeCell ref="N6:Q6"/>
    <mergeCell ref="N7:Q7"/>
    <mergeCell ref="N8:Q8"/>
    <mergeCell ref="G21:I21"/>
    <mergeCell ref="K21:M21"/>
    <mergeCell ref="O21:Q21"/>
  </mergeCells>
  <conditionalFormatting sqref="R1:R3">
    <cfRule type="cellIs" dxfId="134" priority="2" stopIfTrue="1" operator="equal">
      <formula>"na"</formula>
    </cfRule>
  </conditionalFormatting>
  <conditionalFormatting sqref="AJ1:AJ3">
    <cfRule type="cellIs" dxfId="133" priority="1" stopIfTrue="1" operator="equal">
      <formula>"na"</formula>
    </cfRule>
  </conditionalFormatting>
  <dataValidations count="1">
    <dataValidation type="decimal" operator="greaterThanOrEqual" allowBlank="1" showInputMessage="1" showErrorMessage="1" errorTitle="Invalid amount!" error="Amount must be positive." sqref="I26:I39 M26:M39" xr:uid="{A4C0B4F1-17F2-46A1-9794-E9FE8C3E4863}">
      <formula1>0</formula1>
    </dataValidation>
  </dataValidations>
  <hyperlinks>
    <hyperlink ref="C1:O1" location="Index!A1" display="Index!A1" xr:uid="{35C740DE-1D10-465E-AEF4-012390FD4170}"/>
  </hyperlinks>
  <pageMargins left="0.6" right="0.6" top="0.5" bottom="0.5" header="0.3" footer="0.3"/>
  <pageSetup scale="7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CF74-E8F1-4C79-B01D-8E27F2ADDD9F}">
  <sheetPr codeName="Sheet101">
    <pageSetUpPr fitToPage="1"/>
  </sheetPr>
  <dimension ref="A1:T50"/>
  <sheetViews>
    <sheetView showGridLines="0" zoomScaleNormal="100" zoomScaleSheetLayoutView="100" workbookViewId="0">
      <selection activeCell="A3" sqref="A3:M3"/>
    </sheetView>
  </sheetViews>
  <sheetFormatPr defaultColWidth="10" defaultRowHeight="12.75" x14ac:dyDescent="0.2"/>
  <cols>
    <col min="1" max="1" width="2.7109375" style="159" customWidth="1"/>
    <col min="2" max="2" width="10.140625" style="159" customWidth="1"/>
    <col min="3" max="3" width="24.85546875" style="159" customWidth="1"/>
    <col min="4" max="4" width="1.42578125" style="159" customWidth="1"/>
    <col min="5" max="5" width="2.85546875" style="2002" customWidth="1"/>
    <col min="6" max="6" width="16.85546875" style="159" customWidth="1"/>
    <col min="7" max="7" width="2.85546875" style="2002" customWidth="1"/>
    <col min="8" max="8" width="16.7109375" style="159" customWidth="1"/>
    <col min="9" max="9" width="1.7109375" style="159" customWidth="1"/>
    <col min="10" max="10" width="17.7109375" style="159" customWidth="1"/>
    <col min="11" max="11" width="1.7109375" style="159" customWidth="1"/>
    <col min="12" max="12" width="20.5703125" style="159" customWidth="1"/>
    <col min="13" max="13" width="1.42578125" style="159" customWidth="1"/>
    <col min="14" max="14" width="17.7109375" style="159" customWidth="1"/>
    <col min="15" max="15" width="1.28515625" style="159" customWidth="1"/>
    <col min="16" max="16" width="17.7109375" style="159" customWidth="1"/>
    <col min="17" max="17" width="10" style="159"/>
    <col min="18" max="18" width="28.140625" style="159" customWidth="1"/>
    <col min="19" max="19" width="23" style="159" customWidth="1"/>
    <col min="20" max="16384" width="10" style="159"/>
  </cols>
  <sheetData>
    <row r="1" spans="1:20" ht="15.75" x14ac:dyDescent="0.25">
      <c r="A1" s="2455" t="str">
        <f>+Index!$A$1</f>
        <v xml:space="preserve">                                                               Office of the State Controller                                                                </v>
      </c>
      <c r="B1" s="2455"/>
      <c r="C1" s="2455"/>
      <c r="D1" s="2455"/>
      <c r="E1" s="2455"/>
      <c r="F1" s="2455"/>
      <c r="G1" s="2455"/>
      <c r="H1" s="2455"/>
      <c r="I1" s="2455"/>
      <c r="J1" s="2455"/>
      <c r="K1" s="2455"/>
      <c r="L1" s="2455"/>
      <c r="M1" s="2455"/>
      <c r="N1" s="88"/>
      <c r="O1" s="88"/>
      <c r="P1" s="88"/>
      <c r="T1" s="2215" t="str">
        <f>IF(Index!$B$29="na","NA","")</f>
        <v/>
      </c>
    </row>
    <row r="2" spans="1:20" ht="15.75" x14ac:dyDescent="0.25">
      <c r="A2" s="2457" t="str">
        <f>+Index!$A$2</f>
        <v>2023 ACFR Worksheets</v>
      </c>
      <c r="B2" s="2457"/>
      <c r="C2" s="2457"/>
      <c r="D2" s="2457"/>
      <c r="E2" s="2457"/>
      <c r="F2" s="2457"/>
      <c r="G2" s="2457"/>
      <c r="H2" s="2457"/>
      <c r="I2" s="2457"/>
      <c r="J2" s="2457"/>
      <c r="K2" s="2457"/>
      <c r="L2" s="2457"/>
      <c r="M2" s="2457"/>
      <c r="N2" s="88"/>
      <c r="O2" s="88"/>
      <c r="P2" s="88"/>
    </row>
    <row r="3" spans="1:20" ht="15.75" x14ac:dyDescent="0.25">
      <c r="A3" s="2457" t="s">
        <v>962</v>
      </c>
      <c r="B3" s="2457"/>
      <c r="C3" s="2457"/>
      <c r="D3" s="2457"/>
      <c r="E3" s="2457"/>
      <c r="F3" s="2457"/>
      <c r="G3" s="2457"/>
      <c r="H3" s="2457"/>
      <c r="I3" s="2457"/>
      <c r="J3" s="2457"/>
      <c r="K3" s="2457"/>
      <c r="L3" s="2457"/>
      <c r="M3" s="2457"/>
      <c r="N3" s="88"/>
      <c r="O3" s="88"/>
      <c r="P3" s="88"/>
    </row>
    <row r="4" spans="1:20" ht="15" x14ac:dyDescent="0.2">
      <c r="A4" s="2042"/>
      <c r="B4" s="2042"/>
      <c r="C4" s="2042"/>
      <c r="D4" s="2042"/>
      <c r="E4" s="2042"/>
      <c r="F4" s="2042"/>
      <c r="G4" s="2042"/>
      <c r="H4" s="719"/>
      <c r="I4" s="430" t="s">
        <v>864</v>
      </c>
      <c r="J4" s="430"/>
      <c r="K4" s="430"/>
      <c r="L4" s="719"/>
      <c r="M4" s="2042"/>
      <c r="N4" s="88"/>
      <c r="O4" s="88"/>
      <c r="P4" s="88"/>
    </row>
    <row r="5" spans="1:20" ht="15" x14ac:dyDescent="0.2">
      <c r="A5" s="2042"/>
      <c r="B5" s="2042"/>
      <c r="C5" s="2042"/>
      <c r="D5" s="2042"/>
      <c r="E5" s="2102"/>
      <c r="F5" s="2102"/>
      <c r="G5" s="2102"/>
      <c r="H5" s="2102"/>
      <c r="I5" s="2102"/>
      <c r="J5" s="1697" t="s">
        <v>317</v>
      </c>
      <c r="K5" s="27"/>
      <c r="L5" s="2499" t="str">
        <f>+Index!$E$10</f>
        <v>01</v>
      </c>
      <c r="M5" s="2499"/>
      <c r="N5" s="2499"/>
      <c r="O5" s="2499"/>
      <c r="P5" s="2499"/>
    </row>
    <row r="6" spans="1:20" ht="15" x14ac:dyDescent="0.2">
      <c r="A6" s="2042"/>
      <c r="B6" s="1754" t="s">
        <v>963</v>
      </c>
      <c r="C6" s="1539" t="s">
        <v>877</v>
      </c>
      <c r="D6" s="2042"/>
      <c r="E6" s="2102"/>
      <c r="F6" s="2102"/>
      <c r="G6" s="2102"/>
      <c r="H6" s="2102"/>
      <c r="I6" s="2102"/>
      <c r="J6" s="1697" t="s">
        <v>318</v>
      </c>
      <c r="K6" s="27"/>
      <c r="L6" s="2500" t="str">
        <f>+Index!$E$11</f>
        <v>North Carolina General Assembly</v>
      </c>
      <c r="M6" s="2500"/>
      <c r="N6" s="2500"/>
      <c r="O6" s="2500"/>
      <c r="P6" s="2500"/>
    </row>
    <row r="7" spans="1:20" ht="15" x14ac:dyDescent="0.2">
      <c r="A7" s="2042" t="s">
        <v>568</v>
      </c>
      <c r="B7" s="2042"/>
      <c r="C7" s="2043" t="s">
        <v>754</v>
      </c>
      <c r="D7" s="2042"/>
      <c r="E7" s="2101"/>
      <c r="F7" s="2101"/>
      <c r="G7" s="2101"/>
      <c r="H7" s="2101"/>
      <c r="I7" s="2101"/>
      <c r="J7" s="1697" t="s">
        <v>319</v>
      </c>
      <c r="K7" s="27"/>
      <c r="L7" s="2501" t="str">
        <f>CONCATENATE(Index!$E$12," ",Index!$E$14)</f>
        <v xml:space="preserve"> </v>
      </c>
      <c r="M7" s="2501"/>
      <c r="N7" s="2501"/>
      <c r="O7" s="2501"/>
      <c r="P7" s="2501"/>
    </row>
    <row r="8" spans="1:20" ht="15" x14ac:dyDescent="0.2">
      <c r="A8" s="2042"/>
      <c r="B8" s="2042"/>
      <c r="C8" s="2042"/>
      <c r="D8" s="2042"/>
      <c r="E8" s="2101"/>
      <c r="F8" s="2101"/>
      <c r="G8" s="2101"/>
      <c r="H8" s="2101"/>
      <c r="I8" s="2101"/>
      <c r="J8" s="1697" t="s">
        <v>71</v>
      </c>
      <c r="K8" s="27"/>
      <c r="L8" s="2501">
        <f>+Index!$E$13</f>
        <v>0</v>
      </c>
      <c r="M8" s="2501"/>
      <c r="N8" s="2501"/>
      <c r="O8" s="2501"/>
      <c r="P8" s="2501"/>
    </row>
    <row r="9" spans="1:20" ht="15.75" thickBot="1" x14ac:dyDescent="0.25">
      <c r="A9" s="2044"/>
      <c r="B9" s="2044"/>
      <c r="C9" s="2044"/>
      <c r="D9" s="2044"/>
      <c r="E9" s="2045"/>
      <c r="F9" s="2045"/>
      <c r="G9" s="2045"/>
      <c r="H9" s="2045"/>
      <c r="I9" s="2045"/>
      <c r="J9" s="2045"/>
      <c r="K9" s="2045"/>
      <c r="L9" s="2045"/>
      <c r="M9" s="2045"/>
      <c r="N9" s="2046"/>
      <c r="O9" s="2046"/>
      <c r="P9" s="2046"/>
    </row>
    <row r="10" spans="1:20" x14ac:dyDescent="0.2">
      <c r="A10" s="719"/>
      <c r="B10" s="719"/>
      <c r="C10" s="719"/>
      <c r="D10" s="719"/>
      <c r="E10" s="2047"/>
      <c r="F10" s="2047"/>
      <c r="G10" s="2047"/>
      <c r="H10" s="2047"/>
      <c r="I10" s="2047"/>
      <c r="J10" s="2047"/>
      <c r="K10" s="2047"/>
      <c r="L10" s="2047"/>
      <c r="M10" s="2047"/>
    </row>
    <row r="11" spans="1:20" x14ac:dyDescent="0.2">
      <c r="A11" s="1" t="s">
        <v>964</v>
      </c>
      <c r="B11" s="1"/>
      <c r="C11" s="1"/>
      <c r="D11" s="1"/>
      <c r="E11" s="2274"/>
      <c r="F11" s="1"/>
      <c r="G11" s="2274"/>
      <c r="H11" s="1"/>
      <c r="I11" s="1"/>
      <c r="J11" s="1"/>
    </row>
    <row r="12" spans="1:20" ht="47.25" customHeight="1" x14ac:dyDescent="0.2">
      <c r="A12" s="1"/>
      <c r="B12" s="1"/>
      <c r="C12" s="1"/>
      <c r="D12" s="1"/>
      <c r="E12" s="2274"/>
      <c r="F12" s="2142" t="s">
        <v>965</v>
      </c>
      <c r="G12" s="2142"/>
      <c r="H12" s="2142" t="s">
        <v>966</v>
      </c>
      <c r="I12" s="2232"/>
      <c r="J12" s="2142" t="s">
        <v>967</v>
      </c>
      <c r="K12" s="2142"/>
      <c r="L12" s="2142" t="s">
        <v>968</v>
      </c>
      <c r="M12" s="2142"/>
      <c r="N12" s="2142" t="s">
        <v>969</v>
      </c>
      <c r="O12" s="2142"/>
      <c r="P12" s="2142" t="s">
        <v>970</v>
      </c>
    </row>
    <row r="13" spans="1:20" x14ac:dyDescent="0.2">
      <c r="F13" s="1312" t="s">
        <v>880</v>
      </c>
      <c r="J13" s="2246"/>
    </row>
    <row r="14" spans="1:20" x14ac:dyDescent="0.2">
      <c r="A14" s="1313"/>
      <c r="B14" s="1313"/>
      <c r="C14" s="1313"/>
      <c r="D14" s="1313"/>
      <c r="E14" s="2048"/>
      <c r="F14" s="1312" t="s">
        <v>971</v>
      </c>
      <c r="G14" s="2048"/>
      <c r="J14" s="1312" t="s">
        <v>972</v>
      </c>
      <c r="K14" s="1312"/>
      <c r="L14" s="1312" t="s">
        <v>972</v>
      </c>
      <c r="M14" s="1312"/>
      <c r="N14" s="1312"/>
      <c r="O14" s="1312"/>
      <c r="P14" s="1312"/>
    </row>
    <row r="15" spans="1:20" ht="13.15" customHeight="1" x14ac:dyDescent="0.2">
      <c r="A15" s="1313"/>
      <c r="B15" s="1313"/>
      <c r="C15" s="1313"/>
      <c r="D15" s="1313"/>
      <c r="E15" s="2048"/>
      <c r="F15" s="1312" t="s">
        <v>973</v>
      </c>
      <c r="G15" s="2048"/>
      <c r="H15" s="1312" t="s">
        <v>974</v>
      </c>
      <c r="J15" s="2234" t="s">
        <v>975</v>
      </c>
      <c r="K15" s="2049"/>
      <c r="L15" s="2234" t="s">
        <v>975</v>
      </c>
      <c r="M15" s="1312"/>
      <c r="N15" s="2149" t="s">
        <v>976</v>
      </c>
      <c r="O15" s="1312"/>
      <c r="P15" s="2508" t="s">
        <v>970</v>
      </c>
    </row>
    <row r="16" spans="1:20" ht="13.15" customHeight="1" x14ac:dyDescent="0.2">
      <c r="A16" s="2510" t="s">
        <v>977</v>
      </c>
      <c r="B16" s="2510"/>
      <c r="C16" s="2510"/>
      <c r="D16" s="1313"/>
      <c r="E16" s="2048"/>
      <c r="F16" s="2050" t="s">
        <v>978</v>
      </c>
      <c r="G16" s="2048"/>
      <c r="H16" s="2236" t="s">
        <v>979</v>
      </c>
      <c r="J16" s="2235" t="s">
        <v>980</v>
      </c>
      <c r="K16" s="2049"/>
      <c r="L16" s="2235" t="s">
        <v>981</v>
      </c>
      <c r="M16" s="1312"/>
      <c r="N16" s="2150" t="s">
        <v>982</v>
      </c>
      <c r="O16" s="1312"/>
      <c r="P16" s="2509"/>
    </row>
    <row r="17" spans="1:18" ht="19.899999999999999" customHeight="1" x14ac:dyDescent="0.2">
      <c r="A17" s="1312"/>
      <c r="B17" s="1312"/>
      <c r="C17" s="1312"/>
      <c r="D17" s="1313"/>
      <c r="E17" s="2048"/>
      <c r="F17" s="2051"/>
      <c r="G17" s="2048"/>
      <c r="H17" s="1312"/>
      <c r="J17" s="2052"/>
      <c r="K17" s="2049"/>
      <c r="L17" s="2234"/>
      <c r="M17" s="1312"/>
      <c r="N17" s="2234"/>
      <c r="O17" s="1312"/>
      <c r="P17" s="2234"/>
    </row>
    <row r="18" spans="1:18" ht="19.899999999999999" customHeight="1" x14ac:dyDescent="0.2">
      <c r="A18" s="2040" t="s">
        <v>875</v>
      </c>
      <c r="B18" s="2040"/>
      <c r="C18" s="2040"/>
      <c r="D18" s="2040"/>
      <c r="E18" s="2053"/>
      <c r="F18" s="2054"/>
      <c r="G18" s="2053"/>
      <c r="H18" s="2054"/>
      <c r="I18" s="2040"/>
      <c r="J18" s="2040"/>
      <c r="K18" s="2040"/>
      <c r="L18" s="2040"/>
      <c r="M18" s="2040"/>
      <c r="N18" s="2040"/>
      <c r="O18" s="2040"/>
      <c r="P18" s="2040"/>
    </row>
    <row r="19" spans="1:18" ht="19.899999999999999" customHeight="1" x14ac:dyDescent="0.2">
      <c r="A19" s="1313"/>
      <c r="B19" s="1313" t="s">
        <v>983</v>
      </c>
      <c r="C19" s="1313"/>
      <c r="D19" s="1313"/>
      <c r="E19" s="2048" t="s">
        <v>984</v>
      </c>
      <c r="F19" s="2170"/>
      <c r="G19" s="2048" t="s">
        <v>984</v>
      </c>
      <c r="H19" s="2170"/>
      <c r="I19" s="1313"/>
      <c r="J19" s="2172"/>
      <c r="K19" s="2056"/>
      <c r="L19" s="2172"/>
      <c r="M19" s="1313"/>
      <c r="N19" s="2174"/>
      <c r="O19" s="2056"/>
      <c r="P19" s="2175"/>
      <c r="R19" s="2148" t="s">
        <v>985</v>
      </c>
    </row>
    <row r="20" spans="1:18" ht="15" customHeight="1" x14ac:dyDescent="0.2">
      <c r="A20" s="1313"/>
      <c r="B20" s="1313" t="s">
        <v>986</v>
      </c>
      <c r="C20" s="1313"/>
      <c r="D20" s="1313"/>
      <c r="E20" s="2048"/>
      <c r="F20" s="2171"/>
      <c r="G20" s="2048"/>
      <c r="H20" s="2171"/>
      <c r="I20" s="1313"/>
      <c r="J20" s="2173"/>
      <c r="K20" s="2056"/>
      <c r="L20" s="2173"/>
      <c r="M20" s="1313"/>
      <c r="N20" s="2175"/>
      <c r="O20" s="2057"/>
      <c r="P20" s="2175"/>
      <c r="R20" s="2148" t="s">
        <v>987</v>
      </c>
    </row>
    <row r="21" spans="1:18" ht="15" customHeight="1" x14ac:dyDescent="0.2">
      <c r="A21" s="1313"/>
      <c r="B21" s="1313" t="s">
        <v>988</v>
      </c>
      <c r="C21" s="1313"/>
      <c r="D21" s="1313"/>
      <c r="E21" s="2048"/>
      <c r="F21" s="2171"/>
      <c r="G21" s="2048"/>
      <c r="H21" s="2171"/>
      <c r="I21" s="1313"/>
      <c r="J21" s="2172"/>
      <c r="K21" s="2056"/>
      <c r="L21" s="2172"/>
      <c r="M21" s="1313"/>
      <c r="N21" s="2175"/>
      <c r="O21" s="2057"/>
      <c r="P21" s="2175"/>
      <c r="R21" s="2148" t="s">
        <v>989</v>
      </c>
    </row>
    <row r="22" spans="1:18" ht="16.149999999999999" customHeight="1" x14ac:dyDescent="0.2">
      <c r="A22" s="1313"/>
      <c r="B22" s="1313" t="s">
        <v>990</v>
      </c>
      <c r="C22" s="1313"/>
      <c r="D22" s="1313"/>
      <c r="E22" s="2048"/>
      <c r="F22" s="2170"/>
      <c r="G22" s="2048"/>
      <c r="H22" s="2170"/>
      <c r="I22" s="1313"/>
      <c r="J22" s="2172"/>
      <c r="K22" s="2056"/>
      <c r="L22" s="2172"/>
      <c r="M22" s="1313"/>
      <c r="N22" s="2175"/>
      <c r="O22" s="2057"/>
      <c r="P22" s="2175"/>
      <c r="R22" s="2148" t="s">
        <v>991</v>
      </c>
    </row>
    <row r="23" spans="1:18" ht="19.899999999999999" customHeight="1" x14ac:dyDescent="0.2">
      <c r="A23" s="1313"/>
      <c r="B23" s="1313"/>
      <c r="C23" s="1313"/>
      <c r="D23" s="1313"/>
      <c r="E23" s="2048"/>
      <c r="F23" s="2058"/>
      <c r="G23" s="2048"/>
      <c r="H23" s="2058"/>
      <c r="I23" s="1313"/>
      <c r="J23" s="2056"/>
      <c r="K23" s="2056"/>
      <c r="L23" s="1313"/>
      <c r="M23" s="1313"/>
      <c r="N23" s="2057"/>
      <c r="O23" s="2057"/>
      <c r="P23" s="2057"/>
      <c r="R23" s="2243"/>
    </row>
    <row r="24" spans="1:18" ht="19.899999999999999" customHeight="1" thickBot="1" x14ac:dyDescent="0.25">
      <c r="A24" s="1313"/>
      <c r="B24" s="1313"/>
      <c r="C24" s="2040" t="s">
        <v>955</v>
      </c>
      <c r="D24" s="1313"/>
      <c r="E24" s="2048" t="s">
        <v>984</v>
      </c>
      <c r="F24" s="2059">
        <f>SUM(F19:F22)</f>
        <v>0</v>
      </c>
      <c r="G24" s="2048" t="s">
        <v>984</v>
      </c>
      <c r="H24" s="2059">
        <f>SUM(H19:H22)</f>
        <v>0</v>
      </c>
      <c r="I24" s="1313"/>
      <c r="J24" s="1313"/>
      <c r="K24" s="1313"/>
      <c r="L24" s="1313"/>
      <c r="M24" s="1313"/>
      <c r="N24" s="1313"/>
      <c r="O24" s="1313"/>
      <c r="P24" s="1313"/>
      <c r="R24" s="2243"/>
    </row>
    <row r="25" spans="1:18" ht="19.899999999999999" customHeight="1" thickTop="1" x14ac:dyDescent="0.2">
      <c r="A25" s="1313"/>
      <c r="B25" s="1313"/>
      <c r="C25" s="1313"/>
      <c r="D25" s="1313"/>
      <c r="E25" s="2048"/>
      <c r="F25" s="2060"/>
      <c r="G25" s="2048"/>
      <c r="H25" s="2060"/>
      <c r="I25" s="1313"/>
      <c r="J25" s="1313"/>
      <c r="K25" s="1313"/>
      <c r="L25" s="1313"/>
      <c r="M25" s="1313"/>
      <c r="N25" s="1313"/>
      <c r="O25" s="1313"/>
      <c r="P25" s="1313"/>
      <c r="R25" s="2243"/>
    </row>
    <row r="26" spans="1:18" x14ac:dyDescent="0.2">
      <c r="A26" s="2040" t="s">
        <v>992</v>
      </c>
      <c r="B26" s="2040"/>
      <c r="C26" s="2040"/>
      <c r="D26" s="2040"/>
      <c r="E26" s="2053"/>
      <c r="F26" s="2061"/>
      <c r="G26" s="2053"/>
      <c r="H26" s="2061"/>
      <c r="I26" s="2040"/>
      <c r="J26" s="2040"/>
      <c r="K26" s="2040"/>
      <c r="L26" s="1313"/>
      <c r="M26" s="1313"/>
      <c r="N26" s="1313"/>
      <c r="O26" s="1313"/>
      <c r="P26" s="1313"/>
      <c r="R26" s="2243"/>
    </row>
    <row r="27" spans="1:18" x14ac:dyDescent="0.2">
      <c r="A27" s="1313"/>
      <c r="B27" s="1313"/>
      <c r="C27" s="1313"/>
      <c r="D27" s="1313"/>
      <c r="E27" s="2048"/>
      <c r="F27" s="2062"/>
      <c r="G27" s="2048"/>
      <c r="H27" s="2062"/>
      <c r="I27" s="1313"/>
      <c r="J27" s="1313"/>
      <c r="K27" s="1313"/>
      <c r="L27" s="1313"/>
      <c r="M27" s="1313"/>
      <c r="N27" s="1313"/>
      <c r="O27" s="1313"/>
      <c r="P27" s="1313"/>
      <c r="R27" s="2243"/>
    </row>
    <row r="28" spans="1:18" x14ac:dyDescent="0.2">
      <c r="A28" s="2040" t="s">
        <v>932</v>
      </c>
      <c r="B28" s="1313"/>
      <c r="C28" s="1313"/>
      <c r="D28" s="1313"/>
      <c r="E28" s="2048"/>
      <c r="F28" s="1360"/>
      <c r="G28" s="2048"/>
      <c r="H28" s="1313"/>
      <c r="I28" s="1313"/>
      <c r="J28" s="1313"/>
      <c r="K28" s="1313"/>
      <c r="L28" s="1313"/>
      <c r="M28" s="1313"/>
      <c r="N28" s="1313"/>
      <c r="O28" s="1313"/>
      <c r="P28" s="1313"/>
      <c r="R28" s="2243"/>
    </row>
    <row r="29" spans="1:18" x14ac:dyDescent="0.2">
      <c r="A29" s="1313"/>
      <c r="B29" s="1313" t="s">
        <v>983</v>
      </c>
      <c r="C29" s="1313"/>
      <c r="D29" s="1313"/>
      <c r="E29" s="2048" t="s">
        <v>984</v>
      </c>
      <c r="F29" s="2170"/>
      <c r="G29" s="2048" t="s">
        <v>984</v>
      </c>
      <c r="H29" s="2170"/>
      <c r="I29" s="1313"/>
      <c r="J29" s="2172"/>
      <c r="K29" s="2056"/>
      <c r="L29" s="2172"/>
      <c r="M29" s="1313"/>
      <c r="N29" s="2175"/>
      <c r="O29" s="2056"/>
      <c r="P29" s="2175"/>
      <c r="R29" s="2148" t="s">
        <v>993</v>
      </c>
    </row>
    <row r="30" spans="1:18" x14ac:dyDescent="0.2">
      <c r="A30" s="1313"/>
      <c r="B30" s="1313" t="s">
        <v>986</v>
      </c>
      <c r="C30" s="1313"/>
      <c r="D30" s="1313"/>
      <c r="E30" s="2048"/>
      <c r="F30" s="2170"/>
      <c r="G30" s="2048"/>
      <c r="H30" s="2170"/>
      <c r="I30" s="1313"/>
      <c r="J30" s="2172"/>
      <c r="K30" s="2056"/>
      <c r="L30" s="2172"/>
      <c r="M30" s="1313"/>
      <c r="N30" s="2175"/>
      <c r="O30" s="2057"/>
      <c r="P30" s="2175"/>
      <c r="R30" s="2148" t="s">
        <v>994</v>
      </c>
    </row>
    <row r="31" spans="1:18" x14ac:dyDescent="0.2">
      <c r="A31" s="1313"/>
      <c r="B31" s="1313" t="s">
        <v>988</v>
      </c>
      <c r="C31" s="1313"/>
      <c r="D31" s="1313"/>
      <c r="E31" s="2048"/>
      <c r="F31" s="2170"/>
      <c r="G31" s="2048"/>
      <c r="H31" s="2170"/>
      <c r="I31" s="1313"/>
      <c r="J31" s="2172"/>
      <c r="K31" s="2056"/>
      <c r="L31" s="2172"/>
      <c r="M31" s="1313"/>
      <c r="N31" s="2175"/>
      <c r="O31" s="2056"/>
      <c r="P31" s="2175"/>
      <c r="R31" s="2148" t="s">
        <v>995</v>
      </c>
    </row>
    <row r="32" spans="1:18" x14ac:dyDescent="0.2">
      <c r="A32" s="1313"/>
      <c r="B32" s="1313" t="s">
        <v>990</v>
      </c>
      <c r="C32" s="1313"/>
      <c r="D32" s="1313"/>
      <c r="E32" s="2048"/>
      <c r="F32" s="2170"/>
      <c r="G32" s="2048"/>
      <c r="H32" s="2170"/>
      <c r="I32" s="1313"/>
      <c r="J32" s="2172"/>
      <c r="K32" s="2056"/>
      <c r="L32" s="2172"/>
      <c r="M32" s="1313"/>
      <c r="N32" s="2175"/>
      <c r="O32" s="2057"/>
      <c r="P32" s="2175"/>
      <c r="R32" s="2148" t="s">
        <v>996</v>
      </c>
    </row>
    <row r="33" spans="1:18" x14ac:dyDescent="0.2">
      <c r="A33" s="1313"/>
      <c r="B33" s="1313"/>
      <c r="C33" s="1313"/>
      <c r="D33" s="1313"/>
      <c r="E33" s="2048"/>
      <c r="F33" s="2058"/>
      <c r="G33" s="2048"/>
      <c r="H33" s="2058"/>
      <c r="I33" s="1313"/>
      <c r="J33" s="2056"/>
      <c r="K33" s="2056"/>
      <c r="L33" s="1313"/>
      <c r="M33" s="1313"/>
      <c r="N33" s="2056"/>
      <c r="O33" s="2056"/>
      <c r="P33" s="2056"/>
    </row>
    <row r="34" spans="1:18" ht="13.5" thickBot="1" x14ac:dyDescent="0.25">
      <c r="A34" s="1313"/>
      <c r="B34" s="1313"/>
      <c r="C34" s="2040" t="s">
        <v>955</v>
      </c>
      <c r="D34" s="1313"/>
      <c r="E34" s="2048" t="s">
        <v>984</v>
      </c>
      <c r="F34" s="2059">
        <f>SUM(F29:F32)</f>
        <v>0</v>
      </c>
      <c r="G34" s="2048" t="s">
        <v>984</v>
      </c>
      <c r="H34" s="2059">
        <f>SUM(H29:H32)</f>
        <v>0</v>
      </c>
      <c r="I34" s="1313"/>
      <c r="J34" s="1313"/>
      <c r="K34" s="1313"/>
      <c r="L34" s="1313"/>
      <c r="M34" s="1313"/>
      <c r="N34" s="1313"/>
      <c r="O34" s="1313"/>
      <c r="P34" s="1313"/>
    </row>
    <row r="35" spans="1:18" ht="13.5" thickTop="1" x14ac:dyDescent="0.2">
      <c r="A35" s="1313"/>
      <c r="B35" s="1313"/>
      <c r="C35" s="1313"/>
      <c r="D35" s="1313"/>
      <c r="E35" s="2048"/>
      <c r="F35" s="2063"/>
      <c r="G35" s="2048"/>
      <c r="H35" s="2063"/>
      <c r="I35" s="1313"/>
      <c r="J35" s="1313"/>
      <c r="K35" s="1313"/>
      <c r="L35" s="1313"/>
      <c r="M35" s="1313"/>
      <c r="N35" s="1313"/>
      <c r="O35" s="1313"/>
      <c r="P35" s="1313"/>
    </row>
    <row r="36" spans="1:18" x14ac:dyDescent="0.2">
      <c r="A36" s="2040" t="s">
        <v>997</v>
      </c>
      <c r="B36" s="2040"/>
      <c r="C36" s="2040"/>
      <c r="D36" s="2040"/>
      <c r="E36" s="2053"/>
      <c r="F36" s="2061"/>
      <c r="G36" s="2053"/>
      <c r="H36" s="2061"/>
      <c r="I36" s="2040"/>
      <c r="J36" s="2040"/>
      <c r="K36" s="2040"/>
      <c r="L36" s="1313"/>
      <c r="M36" s="1313"/>
      <c r="N36" s="1313"/>
      <c r="O36" s="1313"/>
      <c r="P36" s="1313"/>
    </row>
    <row r="37" spans="1:18" x14ac:dyDescent="0.2">
      <c r="A37" s="2064"/>
      <c r="B37" s="2065"/>
      <c r="C37" s="2065"/>
      <c r="D37" s="2065"/>
      <c r="E37" s="2048"/>
      <c r="F37" s="2065"/>
      <c r="G37" s="2048"/>
      <c r="H37" s="2065"/>
      <c r="I37" s="2065"/>
      <c r="J37" s="2065"/>
      <c r="K37" s="2065"/>
      <c r="L37" s="2065"/>
      <c r="M37" s="2065"/>
    </row>
    <row r="38" spans="1:18" ht="27" customHeight="1" x14ac:dyDescent="0.2">
      <c r="A38" s="2497" t="s">
        <v>998</v>
      </c>
      <c r="B38" s="2497"/>
      <c r="C38" s="2497"/>
      <c r="D38" s="2497"/>
      <c r="E38" s="2497"/>
      <c r="F38" s="2497"/>
      <c r="G38" s="2497"/>
      <c r="H38" s="2497"/>
      <c r="I38" s="2497"/>
      <c r="J38" s="2497"/>
      <c r="K38" s="2497"/>
      <c r="L38" s="2497"/>
      <c r="M38" s="2497"/>
      <c r="N38" s="2497"/>
      <c r="O38" s="2497"/>
      <c r="P38" s="2497"/>
    </row>
    <row r="39" spans="1:18" ht="27" customHeight="1" x14ac:dyDescent="0.2">
      <c r="A39" s="2229"/>
      <c r="B39" s="2229"/>
      <c r="C39" s="2229"/>
      <c r="D39" s="2229"/>
      <c r="E39" s="2229"/>
      <c r="F39" s="2229"/>
      <c r="G39" s="2229"/>
      <c r="H39" s="2229"/>
      <c r="I39" s="2229"/>
      <c r="J39" s="2229"/>
      <c r="K39" s="2229"/>
      <c r="L39" s="2229"/>
      <c r="M39" s="2229"/>
      <c r="N39" s="2229"/>
      <c r="O39" s="2229"/>
      <c r="P39" s="2229"/>
    </row>
    <row r="40" spans="1:18" x14ac:dyDescent="0.2">
      <c r="A40" s="1313"/>
      <c r="B40" s="1313"/>
      <c r="C40" s="1313"/>
      <c r="D40" s="1313"/>
      <c r="E40" s="2048"/>
      <c r="F40" s="1312" t="s">
        <v>999</v>
      </c>
      <c r="G40" s="2048"/>
      <c r="J40" s="1312" t="s">
        <v>1000</v>
      </c>
      <c r="K40" s="1312"/>
      <c r="L40" s="1312" t="s">
        <v>1000</v>
      </c>
      <c r="M40" s="1312"/>
      <c r="N40" s="1312"/>
      <c r="O40" s="1312"/>
      <c r="P40" s="1312"/>
    </row>
    <row r="41" spans="1:18" ht="13.15" customHeight="1" x14ac:dyDescent="0.2">
      <c r="A41" s="1313"/>
      <c r="B41" s="1313"/>
      <c r="C41" s="1313"/>
      <c r="D41" s="1313"/>
      <c r="E41" s="2048"/>
      <c r="F41" s="1312" t="s">
        <v>973</v>
      </c>
      <c r="G41" s="2048"/>
      <c r="H41" s="1312" t="s">
        <v>974</v>
      </c>
      <c r="J41" s="2234" t="s">
        <v>975</v>
      </c>
      <c r="K41" s="2049"/>
      <c r="L41" s="2234" t="s">
        <v>975</v>
      </c>
      <c r="M41" s="1312"/>
      <c r="N41" s="2149" t="s">
        <v>976</v>
      </c>
      <c r="O41" s="1312"/>
      <c r="P41" s="2508" t="s">
        <v>970</v>
      </c>
    </row>
    <row r="42" spans="1:18" x14ac:dyDescent="0.2">
      <c r="A42" s="2510" t="s">
        <v>977</v>
      </c>
      <c r="B42" s="2510"/>
      <c r="C42" s="2510"/>
      <c r="D42" s="1313"/>
      <c r="E42" s="2048"/>
      <c r="F42" s="2050" t="s">
        <v>978</v>
      </c>
      <c r="G42" s="2048"/>
      <c r="H42" s="2236" t="s">
        <v>979</v>
      </c>
      <c r="J42" s="2235" t="s">
        <v>980</v>
      </c>
      <c r="K42" s="2049"/>
      <c r="L42" s="2235" t="s">
        <v>981</v>
      </c>
      <c r="M42" s="1312"/>
      <c r="N42" s="2150" t="s">
        <v>982</v>
      </c>
      <c r="O42" s="1312"/>
      <c r="P42" s="2509"/>
    </row>
    <row r="43" spans="1:18" x14ac:dyDescent="0.2">
      <c r="B43" s="2066"/>
    </row>
    <row r="44" spans="1:18" x14ac:dyDescent="0.2">
      <c r="A44" s="2040" t="s">
        <v>875</v>
      </c>
      <c r="B44" s="2040"/>
      <c r="C44" s="2040"/>
      <c r="D44" s="2040"/>
      <c r="E44" s="2053"/>
      <c r="F44" s="2054"/>
      <c r="G44" s="2053"/>
      <c r="H44" s="2054"/>
      <c r="I44" s="2040"/>
      <c r="J44" s="2040"/>
      <c r="K44" s="2040"/>
      <c r="L44" s="2040"/>
      <c r="M44" s="2040"/>
      <c r="N44" s="2040"/>
      <c r="O44" s="2040"/>
      <c r="P44" s="2040"/>
      <c r="R44" s="2142"/>
    </row>
    <row r="45" spans="1:18" x14ac:dyDescent="0.2">
      <c r="A45" s="1313"/>
      <c r="B45" s="1313" t="s">
        <v>1001</v>
      </c>
      <c r="C45" s="1313"/>
      <c r="D45" s="1313"/>
      <c r="E45" s="2048" t="s">
        <v>984</v>
      </c>
      <c r="F45" s="2170"/>
      <c r="G45" s="2048" t="s">
        <v>984</v>
      </c>
      <c r="H45" s="2170"/>
      <c r="I45" s="1313"/>
      <c r="J45" s="2172"/>
      <c r="K45" s="2056"/>
      <c r="L45" s="2172"/>
      <c r="M45" s="1313"/>
      <c r="N45" s="2175"/>
      <c r="O45" s="2056"/>
      <c r="P45" s="2175"/>
      <c r="R45" s="2148" t="s">
        <v>1002</v>
      </c>
    </row>
    <row r="46" spans="1:18" x14ac:dyDescent="0.2">
      <c r="A46" s="1313"/>
      <c r="B46" s="1313" t="s">
        <v>1003</v>
      </c>
      <c r="C46" s="1313"/>
      <c r="D46" s="1313"/>
      <c r="E46" s="2048"/>
      <c r="F46" s="2170"/>
      <c r="G46" s="2048"/>
      <c r="H46" s="2170"/>
      <c r="I46" s="1313"/>
      <c r="J46" s="2172"/>
      <c r="K46" s="2056"/>
      <c r="L46" s="2172"/>
      <c r="M46" s="1313"/>
      <c r="N46" s="2175"/>
      <c r="O46" s="2056"/>
      <c r="P46" s="2175"/>
      <c r="R46" s="2148" t="s">
        <v>1004</v>
      </c>
    </row>
    <row r="47" spans="1:18" x14ac:dyDescent="0.2">
      <c r="B47" s="2066"/>
      <c r="F47" s="159" t="s">
        <v>657</v>
      </c>
    </row>
    <row r="48" spans="1:18" ht="13.5" thickBot="1" x14ac:dyDescent="0.25">
      <c r="B48" s="2066"/>
      <c r="C48" s="2040" t="s">
        <v>955</v>
      </c>
      <c r="D48" s="1313"/>
      <c r="E48" s="2048" t="s">
        <v>984</v>
      </c>
      <c r="F48" s="2059">
        <f>SUM(F45:F46)</f>
        <v>0</v>
      </c>
      <c r="G48" s="2048" t="s">
        <v>984</v>
      </c>
      <c r="H48" s="2059">
        <f>SUM(H43:H46)</f>
        <v>0</v>
      </c>
      <c r="I48" s="1313"/>
      <c r="J48" s="1313"/>
    </row>
    <row r="49" spans="1:16" ht="13.5" thickTop="1" x14ac:dyDescent="0.2">
      <c r="B49" s="2066"/>
      <c r="C49" s="2040"/>
      <c r="D49" s="1313"/>
      <c r="E49" s="2048"/>
      <c r="F49" s="2055"/>
      <c r="G49" s="2048"/>
      <c r="H49" s="2055"/>
      <c r="I49" s="1313"/>
      <c r="J49" s="1313"/>
    </row>
    <row r="50" spans="1:16" x14ac:dyDescent="0.2">
      <c r="A50" s="2040" t="s">
        <v>992</v>
      </c>
      <c r="B50" s="2040"/>
      <c r="C50" s="2040"/>
      <c r="D50" s="2040"/>
      <c r="E50" s="2053"/>
      <c r="F50" s="2061"/>
      <c r="G50" s="2053"/>
      <c r="H50" s="2061"/>
      <c r="I50" s="2040"/>
      <c r="J50" s="2040"/>
      <c r="K50" s="2040"/>
      <c r="L50" s="1313"/>
      <c r="M50" s="1313"/>
      <c r="N50" s="1313"/>
      <c r="O50" s="1313"/>
      <c r="P50" s="1313"/>
    </row>
  </sheetData>
  <sheetProtection algorithmName="SHA-512" hashValue="d8ra19PpDy4BksG4f6YatrLTjuV1Znfk82gaysL7dnV7ZTpVeCoL+mgGFsprZNTZO9dFxnn3PToHAgaMCSxkqw==" saltValue="i50uLszwv/1gx3Gmy6akdA==" spinCount="100000" sheet="1" objects="1" scenarios="1" autoFilter="0"/>
  <mergeCells count="12">
    <mergeCell ref="L5:P5"/>
    <mergeCell ref="L6:P6"/>
    <mergeCell ref="L7:P7"/>
    <mergeCell ref="A1:M1"/>
    <mergeCell ref="A2:M2"/>
    <mergeCell ref="A3:M3"/>
    <mergeCell ref="L8:P8"/>
    <mergeCell ref="P15:P16"/>
    <mergeCell ref="A16:C16"/>
    <mergeCell ref="P41:P42"/>
    <mergeCell ref="A42:C42"/>
    <mergeCell ref="A38:P38"/>
  </mergeCells>
  <conditionalFormatting sqref="T1">
    <cfRule type="cellIs" dxfId="132" priority="1" stopIfTrue="1" operator="equal">
      <formula>"na"</formula>
    </cfRule>
  </conditionalFormatting>
  <dataValidations count="4">
    <dataValidation type="whole" operator="greaterThan" allowBlank="1" showInputMessage="1" showErrorMessage="1" error="Please enter a positive value._x000a_" sqref="F32 H32" xr:uid="{F3A6B416-9679-4928-B418-C9570574AE68}">
      <formula1>0</formula1>
    </dataValidation>
    <dataValidation type="whole" operator="greaterThan" allowBlank="1" showInputMessage="1" showErrorMessage="1" error="Please enter a positive value." sqref="F29:F31 H29:H31" xr:uid="{1D57DF57-5528-41A5-AD25-DBBBFEB55887}">
      <formula1>0</formula1>
    </dataValidation>
    <dataValidation type="decimal" operator="lessThanOrEqual" allowBlank="1" showInputMessage="1" showErrorMessage="1" error="Please enter a negative value." sqref="H45:H46 F19:F22 F45:F46 H19:H22" xr:uid="{3613D3F3-3FEF-4A29-B634-96EE8696D9D2}">
      <formula1>0</formula1>
    </dataValidation>
    <dataValidation type="list" allowBlank="1" showInputMessage="1" showErrorMessage="1" sqref="C6" xr:uid="{89FDE500-B770-4224-872E-4788CF627057}">
      <formula1>"GovtAct,BTAAct,UnivFounds"</formula1>
    </dataValidation>
  </dataValidations>
  <hyperlinks>
    <hyperlink ref="A1:M1" location="Index!A1" display="Index!A1" xr:uid="{E735B4FE-73F0-4379-9516-B5805D04681C}"/>
  </hyperlinks>
  <pageMargins left="0.6" right="0.6" top="0.5" bottom="0.5" header="0.3" footer="0.3"/>
  <pageSetup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Y57"/>
  <sheetViews>
    <sheetView showGridLines="0" zoomScaleNormal="100" workbookViewId="0">
      <selection activeCell="I48" sqref="I48"/>
    </sheetView>
  </sheetViews>
  <sheetFormatPr defaultColWidth="16.5703125" defaultRowHeight="12.75" x14ac:dyDescent="0.2"/>
  <cols>
    <col min="1" max="1" width="5.140625" style="288" bestFit="1" customWidth="1"/>
    <col min="2" max="2" width="16.5703125" style="289" customWidth="1"/>
    <col min="3" max="3" width="1.42578125" style="289" customWidth="1"/>
    <col min="4" max="4" width="13.85546875" style="289" customWidth="1"/>
    <col min="5" max="5" width="15.5703125" style="289" customWidth="1"/>
    <col min="6" max="6" width="1.42578125" style="289" customWidth="1"/>
    <col min="7" max="7" width="15.5703125" style="289" customWidth="1"/>
    <col min="8" max="8" width="1.42578125" style="289" customWidth="1"/>
    <col min="9" max="9" width="15.5703125" style="289" customWidth="1"/>
    <col min="10" max="10" width="1.42578125" style="289" customWidth="1"/>
    <col min="11" max="11" width="15.5703125" style="289" customWidth="1"/>
    <col min="12" max="12" width="1.42578125" style="289" customWidth="1"/>
    <col min="13" max="13" width="15.5703125" style="289" customWidth="1"/>
    <col min="14" max="14" width="1.42578125" style="289" customWidth="1"/>
    <col min="15" max="15" width="15.5703125" style="289" customWidth="1"/>
    <col min="16" max="16" width="4.5703125" style="289" customWidth="1"/>
    <col min="17" max="19" width="9.42578125" style="289" customWidth="1"/>
    <col min="20" max="20" width="21.7109375" style="289" bestFit="1" customWidth="1"/>
    <col min="21" max="21" width="10.28515625" style="289" bestFit="1" customWidth="1"/>
    <col min="22" max="22" width="13.85546875" style="289" customWidth="1"/>
    <col min="23" max="24" width="9.42578125" style="289" customWidth="1"/>
    <col min="25" max="25" width="10.5703125" style="289" customWidth="1"/>
    <col min="26" max="33" width="9.42578125" style="289" customWidth="1"/>
    <col min="34" max="16384" width="16.5703125" style="289"/>
  </cols>
  <sheetData>
    <row r="1" spans="1:22" s="12" customFormat="1" ht="25.15" customHeight="1" x14ac:dyDescent="0.25">
      <c r="A1" s="284"/>
      <c r="B1" s="2455" t="str">
        <f>+Index!$A$1</f>
        <v xml:space="preserve">                                                               Office of the State Controller                                                                </v>
      </c>
      <c r="C1" s="2455"/>
      <c r="D1" s="2455"/>
      <c r="E1" s="2455"/>
      <c r="F1" s="2455"/>
      <c r="G1" s="2455"/>
      <c r="H1" s="2455"/>
      <c r="I1" s="2455"/>
      <c r="J1" s="2455"/>
      <c r="K1" s="2455"/>
      <c r="L1" s="2455"/>
      <c r="M1" s="2455"/>
      <c r="N1" s="2455"/>
      <c r="O1" s="2455"/>
      <c r="P1" s="880" t="str">
        <f>IF(Index!$B$30="na","NA","")</f>
        <v/>
      </c>
    </row>
    <row r="2" spans="1:22" s="12" customFormat="1" ht="15" customHeight="1" x14ac:dyDescent="0.25">
      <c r="A2" s="284"/>
      <c r="B2" s="2511" t="str">
        <f>+Index!$A$2</f>
        <v>2023 ACFR Worksheets</v>
      </c>
      <c r="C2" s="2511"/>
      <c r="D2" s="2511"/>
      <c r="E2" s="2511"/>
      <c r="F2" s="2511"/>
      <c r="G2" s="2511"/>
      <c r="H2" s="2511"/>
      <c r="I2" s="2511"/>
      <c r="J2" s="2511"/>
      <c r="K2" s="2511"/>
      <c r="L2" s="2511"/>
      <c r="M2" s="2511"/>
      <c r="N2" s="2511"/>
      <c r="O2" s="2511"/>
      <c r="P2" s="880"/>
    </row>
    <row r="3" spans="1:22" s="12" customFormat="1" ht="15" customHeight="1" x14ac:dyDescent="0.25">
      <c r="A3" s="284"/>
      <c r="B3" s="2511" t="s">
        <v>1005</v>
      </c>
      <c r="C3" s="2511"/>
      <c r="D3" s="2511"/>
      <c r="E3" s="2511"/>
      <c r="F3" s="2511"/>
      <c r="G3" s="2511"/>
      <c r="H3" s="2511"/>
      <c r="I3" s="2511"/>
      <c r="J3" s="2511"/>
      <c r="K3" s="2511"/>
      <c r="L3" s="2511"/>
      <c r="M3" s="2511"/>
      <c r="N3" s="2511"/>
      <c r="O3" s="2511"/>
      <c r="P3" s="880"/>
    </row>
    <row r="4" spans="1:22" s="75" customFormat="1" ht="15" customHeight="1" x14ac:dyDescent="0.25">
      <c r="A4" s="288"/>
      <c r="B4" s="2511" t="s">
        <v>1006</v>
      </c>
      <c r="C4" s="2511"/>
      <c r="D4" s="2511"/>
      <c r="E4" s="2511"/>
      <c r="F4" s="2511"/>
      <c r="G4" s="2511"/>
      <c r="H4" s="2511"/>
      <c r="I4" s="2511"/>
      <c r="J4" s="2511"/>
      <c r="K4" s="2511"/>
      <c r="L4" s="2511"/>
      <c r="M4" s="2511"/>
      <c r="N4" s="2511"/>
      <c r="O4" s="2511"/>
      <c r="P4" s="2237"/>
      <c r="Q4" s="289"/>
      <c r="R4" s="289"/>
      <c r="S4" s="289"/>
      <c r="T4" s="289"/>
      <c r="U4" s="289"/>
      <c r="V4" s="289"/>
    </row>
    <row r="5" spans="1:22" s="75" customFormat="1" ht="12.75" customHeight="1" x14ac:dyDescent="0.25">
      <c r="A5" s="288"/>
      <c r="B5" s="2237"/>
      <c r="C5" s="2237"/>
      <c r="D5" s="2237"/>
      <c r="E5" s="2237"/>
      <c r="F5" s="2237"/>
      <c r="G5" s="2237"/>
      <c r="H5" s="2237"/>
      <c r="I5" s="2512"/>
      <c r="J5" s="2512"/>
      <c r="K5" s="2512"/>
      <c r="L5" s="2512"/>
      <c r="M5" s="2512"/>
      <c r="N5" s="2512"/>
      <c r="O5" s="2512"/>
      <c r="P5" s="2237"/>
      <c r="Q5" s="289"/>
      <c r="R5" s="289"/>
      <c r="S5" s="289"/>
      <c r="T5" s="289"/>
      <c r="U5" s="289"/>
      <c r="V5" s="289"/>
    </row>
    <row r="6" spans="1:22" s="75" customFormat="1" ht="14.85" customHeight="1" x14ac:dyDescent="0.2">
      <c r="A6" s="288"/>
      <c r="B6" s="289"/>
      <c r="C6" s="289"/>
      <c r="D6" s="288"/>
      <c r="E6" s="289"/>
      <c r="F6" s="289"/>
      <c r="G6" s="289"/>
      <c r="H6" s="289"/>
      <c r="I6" s="1754" t="s">
        <v>317</v>
      </c>
      <c r="J6" s="1755"/>
      <c r="K6" s="2513" t="str">
        <f>+Index!$E$10</f>
        <v>01</v>
      </c>
      <c r="L6" s="2513"/>
      <c r="M6" s="2513"/>
      <c r="N6" s="2513"/>
      <c r="O6" s="2513"/>
      <c r="P6" s="289"/>
      <c r="Q6" s="289"/>
      <c r="R6" s="289"/>
      <c r="S6" s="289"/>
      <c r="T6" s="289"/>
      <c r="U6" s="289"/>
      <c r="V6" s="289"/>
    </row>
    <row r="7" spans="1:22" s="75" customFormat="1" ht="14.85" customHeight="1" x14ac:dyDescent="0.2">
      <c r="A7" s="288"/>
      <c r="B7" s="1439" t="s">
        <v>566</v>
      </c>
      <c r="C7" s="289"/>
      <c r="D7" s="1531" t="s">
        <v>673</v>
      </c>
      <c r="E7" s="2518"/>
      <c r="F7" s="289"/>
      <c r="G7" s="289"/>
      <c r="H7" s="289"/>
      <c r="I7" s="1754" t="s">
        <v>318</v>
      </c>
      <c r="J7" s="1755"/>
      <c r="K7" s="2514" t="str">
        <f>+Index!$E$11</f>
        <v>North Carolina General Assembly</v>
      </c>
      <c r="L7" s="2514"/>
      <c r="M7" s="2514"/>
      <c r="N7" s="2514"/>
      <c r="O7" s="2514"/>
      <c r="P7" s="289"/>
      <c r="Q7" s="289"/>
      <c r="R7" s="289"/>
      <c r="S7" s="289"/>
      <c r="T7" s="289"/>
      <c r="U7" s="289"/>
      <c r="V7" s="289"/>
    </row>
    <row r="8" spans="1:22" s="75" customFormat="1" ht="14.85" customHeight="1" x14ac:dyDescent="0.2">
      <c r="A8" s="288"/>
      <c r="B8" s="429" t="s">
        <v>568</v>
      </c>
      <c r="C8" s="288"/>
      <c r="D8" s="1436">
        <v>5200</v>
      </c>
      <c r="E8" s="2518"/>
      <c r="F8" s="289"/>
      <c r="G8" s="289"/>
      <c r="H8" s="289"/>
      <c r="I8" s="1754" t="s">
        <v>319</v>
      </c>
      <c r="J8" s="1755"/>
      <c r="K8" s="2515" t="str">
        <f>CONCATENATE(Index!$E$12," ",Index!$E$14)</f>
        <v xml:space="preserve"> </v>
      </c>
      <c r="L8" s="2515"/>
      <c r="M8" s="2515"/>
      <c r="N8" s="2515"/>
      <c r="O8" s="2515"/>
      <c r="P8" s="289"/>
      <c r="Q8" s="289"/>
      <c r="R8" s="289"/>
      <c r="S8" s="289"/>
      <c r="T8" s="289"/>
      <c r="U8" s="289"/>
      <c r="V8" s="289"/>
    </row>
    <row r="9" spans="1:22" s="75" customFormat="1" ht="14.85" customHeight="1" x14ac:dyDescent="0.2">
      <c r="A9" s="288"/>
      <c r="B9" s="429"/>
      <c r="C9" s="288"/>
      <c r="D9" s="433"/>
      <c r="E9" s="2239"/>
      <c r="F9" s="289"/>
      <c r="G9" s="289"/>
      <c r="H9" s="289"/>
      <c r="I9" s="1754" t="s">
        <v>71</v>
      </c>
      <c r="J9" s="1755"/>
      <c r="K9" s="2515">
        <f>+Index!$E$13</f>
        <v>0</v>
      </c>
      <c r="L9" s="2515"/>
      <c r="M9" s="2515"/>
      <c r="N9" s="2515"/>
      <c r="O9" s="2515"/>
      <c r="P9" s="289"/>
      <c r="Q9" s="289"/>
      <c r="R9" s="289"/>
      <c r="S9" s="289"/>
      <c r="T9" s="289"/>
      <c r="U9" s="289"/>
      <c r="V9" s="289"/>
    </row>
    <row r="10" spans="1:22" s="75" customFormat="1" ht="6" customHeight="1" thickBot="1" x14ac:dyDescent="0.25">
      <c r="A10" s="288"/>
      <c r="B10" s="1756"/>
      <c r="C10" s="1756"/>
      <c r="D10" s="1756"/>
      <c r="E10" s="1756"/>
      <c r="F10" s="1756"/>
      <c r="G10" s="1756"/>
      <c r="H10" s="1756"/>
      <c r="I10" s="1756"/>
      <c r="J10" s="1756"/>
      <c r="K10" s="1756"/>
      <c r="L10" s="1756"/>
      <c r="M10" s="1756"/>
      <c r="N10" s="1756"/>
      <c r="O10" s="1756"/>
      <c r="P10" s="289"/>
      <c r="Q10" s="289"/>
      <c r="R10" s="289"/>
      <c r="S10" s="289"/>
      <c r="T10" s="289"/>
      <c r="U10" s="289"/>
      <c r="V10" s="289"/>
    </row>
    <row r="11" spans="1:22" s="75" customFormat="1" ht="5.25" customHeight="1" x14ac:dyDescent="0.2">
      <c r="A11" s="288"/>
      <c r="B11" s="289"/>
      <c r="C11" s="289"/>
      <c r="D11" s="289"/>
      <c r="E11" s="289"/>
      <c r="F11" s="289"/>
      <c r="G11" s="289"/>
      <c r="H11" s="289"/>
      <c r="I11" s="289"/>
      <c r="J11" s="289"/>
      <c r="K11" s="289"/>
      <c r="L11" s="289"/>
      <c r="M11" s="289"/>
      <c r="N11" s="289"/>
      <c r="O11" s="289"/>
      <c r="P11" s="289"/>
      <c r="Q11" s="289"/>
      <c r="R11" s="289"/>
      <c r="S11" s="289"/>
      <c r="T11" s="289"/>
      <c r="U11" s="289"/>
      <c r="V11" s="289"/>
    </row>
    <row r="12" spans="1:22" s="75" customFormat="1" ht="12" customHeight="1" x14ac:dyDescent="0.2">
      <c r="A12" s="288"/>
      <c r="B12" s="2240"/>
      <c r="C12" s="2240"/>
      <c r="D12" s="285"/>
      <c r="E12" s="285" t="s">
        <v>508</v>
      </c>
      <c r="F12" s="285"/>
      <c r="G12" s="285" t="s">
        <v>677</v>
      </c>
      <c r="H12" s="285"/>
      <c r="I12" s="285"/>
      <c r="J12" s="285"/>
      <c r="K12" s="285"/>
      <c r="L12" s="285"/>
      <c r="M12" s="285" t="s">
        <v>508</v>
      </c>
      <c r="N12" s="2240"/>
      <c r="O12" s="285" t="s">
        <v>1007</v>
      </c>
      <c r="P12" s="289"/>
      <c r="Q12" s="289"/>
      <c r="R12" s="289"/>
      <c r="S12" s="289"/>
      <c r="T12" s="289"/>
      <c r="U12" s="289"/>
      <c r="V12" s="289"/>
    </row>
    <row r="13" spans="1:22" s="75" customFormat="1" ht="12" customHeight="1" x14ac:dyDescent="0.2">
      <c r="A13" s="288"/>
      <c r="B13" s="285"/>
      <c r="C13" s="285"/>
      <c r="D13" s="285"/>
      <c r="E13" s="286" t="str">
        <f>+TEXT(Data!$A$3,"mmmm d, yyyy")</f>
        <v>July 1, 2022</v>
      </c>
      <c r="F13" s="285"/>
      <c r="G13" s="287" t="s">
        <v>581</v>
      </c>
      <c r="H13" s="285"/>
      <c r="I13" s="287" t="s">
        <v>511</v>
      </c>
      <c r="J13" s="285"/>
      <c r="K13" s="287" t="s">
        <v>1008</v>
      </c>
      <c r="L13" s="285"/>
      <c r="M13" s="286" t="str">
        <f>+TEXT(Data!$A$2,"mmmm d, yyyy")</f>
        <v>June 30, 2023</v>
      </c>
      <c r="N13" s="2240"/>
      <c r="O13" s="287" t="s">
        <v>1009</v>
      </c>
      <c r="P13" s="289"/>
      <c r="Q13" s="289"/>
      <c r="R13" s="289"/>
      <c r="S13" s="289"/>
      <c r="T13" s="289"/>
      <c r="U13" s="289"/>
      <c r="V13" s="289"/>
    </row>
    <row r="14" spans="1:22" s="75" customFormat="1" ht="12" customHeight="1" x14ac:dyDescent="0.2">
      <c r="A14" s="288"/>
      <c r="B14" s="285"/>
      <c r="C14" s="285"/>
      <c r="D14" s="285"/>
      <c r="E14" s="1470"/>
      <c r="F14" s="285"/>
      <c r="G14" s="1471" t="s">
        <v>585</v>
      </c>
      <c r="H14" s="1472"/>
      <c r="I14" s="1471" t="s">
        <v>1010</v>
      </c>
      <c r="J14" s="1472"/>
      <c r="K14" s="1471" t="s">
        <v>1011</v>
      </c>
      <c r="L14" s="1472"/>
      <c r="M14" s="1473"/>
      <c r="N14" s="1474"/>
      <c r="O14" s="1471" t="s">
        <v>1012</v>
      </c>
      <c r="P14" s="289"/>
      <c r="Q14" s="289"/>
      <c r="R14" s="289"/>
      <c r="S14" s="289"/>
      <c r="T14" s="1439"/>
      <c r="U14" s="1475"/>
      <c r="V14" s="289"/>
    </row>
    <row r="15" spans="1:22" s="75" customFormat="1" ht="11.1" customHeight="1" x14ac:dyDescent="0.2">
      <c r="A15" s="288"/>
      <c r="B15" s="2240"/>
      <c r="C15" s="2240"/>
      <c r="D15" s="285"/>
      <c r="E15" s="1757" t="s">
        <v>592</v>
      </c>
      <c r="F15" s="503"/>
      <c r="G15" s="1757" t="s">
        <v>593</v>
      </c>
      <c r="H15" s="503"/>
      <c r="I15" s="1757" t="s">
        <v>594</v>
      </c>
      <c r="J15" s="503"/>
      <c r="K15" s="1757" t="s">
        <v>595</v>
      </c>
      <c r="L15" s="503"/>
      <c r="M15" s="1757" t="s">
        <v>596</v>
      </c>
      <c r="N15" s="503"/>
      <c r="O15" s="1757" t="s">
        <v>597</v>
      </c>
      <c r="P15" s="289"/>
      <c r="Q15" s="289"/>
      <c r="R15" s="289"/>
      <c r="S15" s="289"/>
      <c r="T15" s="289"/>
      <c r="U15" s="289"/>
      <c r="V15" s="289"/>
    </row>
    <row r="16" spans="1:22" s="75" customFormat="1" ht="12.75" customHeight="1" x14ac:dyDescent="0.2">
      <c r="A16" s="288"/>
      <c r="B16" s="2240" t="s">
        <v>1013</v>
      </c>
      <c r="C16" s="1758"/>
      <c r="D16" s="1759"/>
      <c r="E16" s="787"/>
      <c r="F16" s="787"/>
      <c r="G16" s="787"/>
      <c r="H16" s="787"/>
      <c r="I16" s="787"/>
      <c r="J16" s="787"/>
      <c r="K16" s="787"/>
      <c r="L16" s="787"/>
      <c r="M16" s="787"/>
      <c r="N16" s="787"/>
      <c r="O16" s="787"/>
      <c r="P16" s="289"/>
      <c r="Q16" s="289"/>
      <c r="R16" s="289"/>
      <c r="S16" s="289"/>
      <c r="T16" s="289"/>
      <c r="U16" s="289"/>
      <c r="V16" s="289"/>
    </row>
    <row r="17" spans="2:25" s="75" customFormat="1" ht="14.1" customHeight="1" x14ac:dyDescent="0.2">
      <c r="B17" s="808" t="s">
        <v>1014</v>
      </c>
      <c r="C17" s="2240"/>
      <c r="D17" s="1759"/>
      <c r="E17" s="1410"/>
      <c r="F17" s="787"/>
      <c r="G17" s="1410"/>
      <c r="H17" s="787"/>
      <c r="I17" s="1410"/>
      <c r="J17" s="787"/>
      <c r="K17" s="1410"/>
      <c r="L17" s="787"/>
      <c r="M17" s="1760">
        <f t="shared" ref="M17:M28" si="0">E17+G17+I17+K17</f>
        <v>0</v>
      </c>
      <c r="N17" s="787"/>
      <c r="O17" s="1410"/>
      <c r="P17" s="289"/>
      <c r="Q17" s="289"/>
      <c r="R17" s="289"/>
      <c r="S17" s="288"/>
      <c r="T17" s="1475">
        <v>22610100</v>
      </c>
      <c r="U17" s="1440">
        <v>21610100</v>
      </c>
      <c r="V17" s="1440" t="s">
        <v>673</v>
      </c>
      <c r="W17" s="1476"/>
      <c r="X17" s="1476"/>
      <c r="Y17" s="1476"/>
    </row>
    <row r="18" spans="2:25" s="75" customFormat="1" ht="14.1" customHeight="1" x14ac:dyDescent="0.2">
      <c r="B18" s="808" t="s">
        <v>1015</v>
      </c>
      <c r="C18" s="2240"/>
      <c r="D18" s="1759"/>
      <c r="E18" s="1410"/>
      <c r="F18" s="787"/>
      <c r="G18" s="1410"/>
      <c r="H18" s="787"/>
      <c r="I18" s="1410"/>
      <c r="J18" s="787"/>
      <c r="K18" s="1410"/>
      <c r="L18" s="787"/>
      <c r="M18" s="1760">
        <f t="shared" si="0"/>
        <v>0</v>
      </c>
      <c r="N18" s="787"/>
      <c r="O18" s="1410"/>
      <c r="P18" s="289"/>
      <c r="Q18" s="289"/>
      <c r="R18" s="289"/>
      <c r="S18" s="288"/>
      <c r="T18" s="1475">
        <v>22610300</v>
      </c>
      <c r="U18" s="1440">
        <v>21610300</v>
      </c>
      <c r="V18" s="1440" t="s">
        <v>673</v>
      </c>
      <c r="W18" s="1476"/>
      <c r="X18" s="1476"/>
      <c r="Y18" s="1476"/>
    </row>
    <row r="19" spans="2:25" s="75" customFormat="1" ht="14.1" customHeight="1" x14ac:dyDescent="0.2">
      <c r="B19" s="808" t="s">
        <v>1016</v>
      </c>
      <c r="C19" s="2240"/>
      <c r="D19" s="1759"/>
      <c r="E19" s="1410"/>
      <c r="F19" s="787"/>
      <c r="G19" s="1410"/>
      <c r="H19" s="787"/>
      <c r="I19" s="1410"/>
      <c r="J19" s="787"/>
      <c r="K19" s="1410"/>
      <c r="L19" s="787"/>
      <c r="M19" s="1760">
        <f t="shared" si="0"/>
        <v>0</v>
      </c>
      <c r="N19" s="787"/>
      <c r="O19" s="1410"/>
      <c r="P19" s="289"/>
      <c r="Q19" s="289"/>
      <c r="R19" s="289"/>
      <c r="S19" s="288"/>
      <c r="T19" s="1439">
        <v>22610400</v>
      </c>
      <c r="U19" s="1440">
        <v>21610400</v>
      </c>
      <c r="V19" s="1440" t="s">
        <v>673</v>
      </c>
      <c r="W19" s="1476"/>
      <c r="X19" s="1476"/>
      <c r="Y19" s="1476"/>
    </row>
    <row r="20" spans="2:25" s="75" customFormat="1" ht="14.1" customHeight="1" x14ac:dyDescent="0.2">
      <c r="B20" s="808" t="s">
        <v>1017</v>
      </c>
      <c r="C20" s="2240"/>
      <c r="D20" s="1759"/>
      <c r="E20" s="1410"/>
      <c r="F20" s="787"/>
      <c r="G20" s="1410"/>
      <c r="H20" s="787"/>
      <c r="I20" s="1410"/>
      <c r="J20" s="787"/>
      <c r="K20" s="1410"/>
      <c r="L20" s="787"/>
      <c r="M20" s="1760">
        <f t="shared" si="0"/>
        <v>0</v>
      </c>
      <c r="N20" s="787"/>
      <c r="O20" s="1410"/>
      <c r="P20" s="289"/>
      <c r="Q20" s="289"/>
      <c r="R20" s="289"/>
      <c r="S20" s="288"/>
      <c r="T20" s="1475">
        <v>22610500</v>
      </c>
      <c r="U20" s="1440">
        <v>21610500</v>
      </c>
      <c r="V20" s="1440" t="s">
        <v>673</v>
      </c>
      <c r="W20" s="1476"/>
      <c r="X20" s="1476"/>
      <c r="Y20" s="1476"/>
    </row>
    <row r="21" spans="2:25" s="75" customFormat="1" ht="14.1" customHeight="1" x14ac:dyDescent="0.2">
      <c r="B21" s="808" t="s">
        <v>1018</v>
      </c>
      <c r="C21" s="2240"/>
      <c r="D21" s="1759"/>
      <c r="E21" s="1410"/>
      <c r="F21" s="787"/>
      <c r="G21" s="1410"/>
      <c r="H21" s="787"/>
      <c r="I21" s="1410"/>
      <c r="J21" s="787"/>
      <c r="K21" s="1410"/>
      <c r="L21" s="787"/>
      <c r="M21" s="1760">
        <f t="shared" si="0"/>
        <v>0</v>
      </c>
      <c r="N21" s="787"/>
      <c r="O21" s="1410"/>
      <c r="P21" s="289"/>
      <c r="Q21" s="289"/>
      <c r="R21" s="289"/>
      <c r="S21" s="288"/>
      <c r="T21" s="1475">
        <v>22610600</v>
      </c>
      <c r="U21" s="1440">
        <v>21610600</v>
      </c>
      <c r="V21" s="1440" t="s">
        <v>673</v>
      </c>
      <c r="W21" s="1476"/>
      <c r="X21" s="1476"/>
      <c r="Y21" s="1476"/>
    </row>
    <row r="22" spans="2:25" s="75" customFormat="1" ht="14.1" customHeight="1" x14ac:dyDescent="0.2">
      <c r="B22" s="2517" t="s">
        <v>1019</v>
      </c>
      <c r="C22" s="2517"/>
      <c r="D22" s="2517"/>
      <c r="E22" s="1410"/>
      <c r="F22" s="787"/>
      <c r="G22" s="1410"/>
      <c r="H22" s="787"/>
      <c r="I22" s="1410"/>
      <c r="J22" s="787"/>
      <c r="K22" s="1410"/>
      <c r="L22" s="787"/>
      <c r="M22" s="1760">
        <f t="shared" si="0"/>
        <v>0</v>
      </c>
      <c r="N22" s="787"/>
      <c r="O22" s="1046"/>
      <c r="P22" s="289"/>
      <c r="Q22" s="289"/>
      <c r="R22" s="289"/>
      <c r="S22" s="288"/>
      <c r="T22" s="1475">
        <v>22611000</v>
      </c>
      <c r="U22" s="1440"/>
      <c r="V22" s="1440" t="s">
        <v>673</v>
      </c>
      <c r="W22" s="1476"/>
      <c r="X22" s="1476"/>
      <c r="Y22" s="1476"/>
    </row>
    <row r="23" spans="2:25" s="75" customFormat="1" ht="14.1" customHeight="1" thickBot="1" x14ac:dyDescent="0.25">
      <c r="B23" s="2517" t="s">
        <v>1020</v>
      </c>
      <c r="C23" s="2517"/>
      <c r="D23" s="2517"/>
      <c r="E23" s="1761"/>
      <c r="F23" s="787"/>
      <c r="G23" s="1761"/>
      <c r="H23" s="787"/>
      <c r="I23" s="1761"/>
      <c r="J23" s="787"/>
      <c r="K23" s="1761"/>
      <c r="L23" s="787"/>
      <c r="M23" s="2191">
        <f t="shared" si="0"/>
        <v>0</v>
      </c>
      <c r="N23" s="787"/>
      <c r="O23" s="1763"/>
      <c r="P23" s="289"/>
      <c r="Q23" s="289"/>
      <c r="R23" s="289"/>
      <c r="S23" s="288"/>
      <c r="T23" s="1475">
        <v>22612000</v>
      </c>
      <c r="U23" s="289"/>
      <c r="V23" s="1440" t="s">
        <v>673</v>
      </c>
      <c r="W23" s="1476"/>
      <c r="X23" s="1476"/>
      <c r="Y23" s="1476"/>
    </row>
    <row r="24" spans="2:25" s="75" customFormat="1" ht="14.1" customHeight="1" x14ac:dyDescent="0.2">
      <c r="B24" s="2240" t="s">
        <v>1021</v>
      </c>
      <c r="C24" s="1758"/>
      <c r="D24" s="1759"/>
      <c r="E24" s="1410"/>
      <c r="F24" s="787"/>
      <c r="G24" s="1410"/>
      <c r="H24" s="787"/>
      <c r="I24" s="1410"/>
      <c r="J24" s="787"/>
      <c r="K24" s="1410"/>
      <c r="L24" s="787"/>
      <c r="M24" s="1760">
        <f t="shared" si="0"/>
        <v>0</v>
      </c>
      <c r="N24" s="787"/>
      <c r="O24" s="1410"/>
      <c r="P24" s="289"/>
      <c r="Q24" s="289"/>
      <c r="R24" s="289"/>
      <c r="S24" s="288"/>
      <c r="T24" s="1475">
        <v>22140000</v>
      </c>
      <c r="U24" s="1440">
        <v>21140000</v>
      </c>
      <c r="V24" s="1440"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24" s="1476"/>
      <c r="X24" s="1476"/>
      <c r="Y24" s="1476"/>
    </row>
    <row r="25" spans="2:25" s="75" customFormat="1" ht="14.1" customHeight="1" x14ac:dyDescent="0.2">
      <c r="B25" s="2240" t="s">
        <v>1022</v>
      </c>
      <c r="C25" s="1758"/>
      <c r="D25" s="1759"/>
      <c r="E25" s="1410"/>
      <c r="F25" s="787"/>
      <c r="G25" s="1410"/>
      <c r="H25" s="787"/>
      <c r="I25" s="1410"/>
      <c r="J25" s="787"/>
      <c r="K25" s="1410"/>
      <c r="L25" s="787"/>
      <c r="M25" s="1760">
        <f t="shared" si="0"/>
        <v>0</v>
      </c>
      <c r="N25" s="787"/>
      <c r="O25" s="1410"/>
      <c r="P25" s="289"/>
      <c r="Q25" s="289"/>
      <c r="R25" s="289"/>
      <c r="S25" s="288"/>
      <c r="T25" s="1475">
        <v>22150000</v>
      </c>
      <c r="U25" s="1440">
        <v>21150000</v>
      </c>
      <c r="V25" s="1440"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25" s="1476"/>
      <c r="X25" s="1476"/>
      <c r="Y25" s="1476"/>
    </row>
    <row r="26" spans="2:25" s="75" customFormat="1" ht="14.1" customHeight="1" x14ac:dyDescent="0.2">
      <c r="B26" s="2240" t="s">
        <v>1023</v>
      </c>
      <c r="C26" s="1758"/>
      <c r="D26" s="1759"/>
      <c r="E26" s="1410"/>
      <c r="F26" s="787"/>
      <c r="G26" s="1410"/>
      <c r="H26" s="787"/>
      <c r="I26" s="1410"/>
      <c r="J26" s="787"/>
      <c r="K26" s="1410"/>
      <c r="L26" s="787"/>
      <c r="M26" s="1760">
        <f t="shared" si="0"/>
        <v>0</v>
      </c>
      <c r="N26" s="787"/>
      <c r="O26" s="1410"/>
      <c r="P26" s="289"/>
      <c r="Q26" s="289"/>
      <c r="R26" s="289"/>
      <c r="S26" s="288"/>
      <c r="T26" s="1475">
        <v>22199000</v>
      </c>
      <c r="U26" s="1440">
        <v>21191000</v>
      </c>
      <c r="V26" s="1440"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26" s="1476"/>
      <c r="X26" s="1476"/>
      <c r="Y26" s="1476"/>
    </row>
    <row r="27" spans="2:25" s="75" customFormat="1" ht="14.1" customHeight="1" x14ac:dyDescent="0.2">
      <c r="B27" s="2240" t="s">
        <v>1024</v>
      </c>
      <c r="C27" s="1758"/>
      <c r="D27" s="1759"/>
      <c r="E27" s="1410"/>
      <c r="F27" s="787"/>
      <c r="G27" s="1410"/>
      <c r="H27" s="787"/>
      <c r="I27" s="1410"/>
      <c r="J27" s="787"/>
      <c r="K27" s="1410"/>
      <c r="L27" s="787"/>
      <c r="M27" s="1760">
        <f t="shared" si="0"/>
        <v>0</v>
      </c>
      <c r="N27" s="787"/>
      <c r="O27" s="1410"/>
      <c r="P27" s="289"/>
      <c r="Q27" s="289"/>
      <c r="R27" s="289"/>
      <c r="S27" s="288"/>
      <c r="T27" s="1475">
        <v>22320000</v>
      </c>
      <c r="U27" s="1440">
        <v>21320000</v>
      </c>
      <c r="V27" s="1440" t="s">
        <v>673</v>
      </c>
      <c r="W27" s="1476"/>
      <c r="X27" s="1476"/>
      <c r="Y27" s="1476"/>
    </row>
    <row r="28" spans="2:25" s="75" customFormat="1" ht="14.1" customHeight="1" x14ac:dyDescent="0.2">
      <c r="B28" s="2240" t="s">
        <v>1025</v>
      </c>
      <c r="C28" s="1758"/>
      <c r="D28" s="1764"/>
      <c r="E28" s="1410"/>
      <c r="F28" s="787"/>
      <c r="G28" s="1410"/>
      <c r="H28" s="787"/>
      <c r="I28" s="1410"/>
      <c r="J28" s="787"/>
      <c r="K28" s="1410"/>
      <c r="L28" s="787"/>
      <c r="M28" s="1760">
        <f t="shared" si="0"/>
        <v>0</v>
      </c>
      <c r="N28" s="787"/>
      <c r="O28" s="1410"/>
      <c r="P28" s="289"/>
      <c r="Q28" s="289"/>
      <c r="R28" s="289"/>
      <c r="S28" s="288"/>
      <c r="T28" s="1475">
        <v>22410000</v>
      </c>
      <c r="U28" s="1440">
        <v>21410000</v>
      </c>
      <c r="V28" s="1440" t="s">
        <v>673</v>
      </c>
      <c r="W28" s="1476"/>
      <c r="X28" s="1476"/>
      <c r="Y28" s="1476"/>
    </row>
    <row r="29" spans="2:25" s="75" customFormat="1" ht="14.1" customHeight="1" x14ac:dyDescent="0.2">
      <c r="B29" s="2519" t="s">
        <v>1026</v>
      </c>
      <c r="C29" s="2383"/>
      <c r="D29" s="2383"/>
      <c r="E29" s="2105"/>
      <c r="F29" s="787"/>
      <c r="G29" s="1410"/>
      <c r="H29" s="787"/>
      <c r="I29" s="1410"/>
      <c r="J29" s="787"/>
      <c r="K29" s="1410"/>
      <c r="L29" s="787"/>
      <c r="M29" s="1760">
        <f>G29+I29+K29</f>
        <v>0</v>
      </c>
      <c r="N29" s="787"/>
      <c r="O29" s="1410"/>
      <c r="P29" s="289"/>
      <c r="Q29" s="289"/>
      <c r="R29" s="289"/>
      <c r="S29" s="288"/>
      <c r="T29" s="1475">
        <v>22420000</v>
      </c>
      <c r="U29" s="1440">
        <v>21420000</v>
      </c>
      <c r="V29" s="1440" t="s">
        <v>673</v>
      </c>
      <c r="W29" s="1476"/>
      <c r="X29" s="1476"/>
      <c r="Y29" s="1476"/>
    </row>
    <row r="30" spans="2:25" s="75" customFormat="1" ht="14.1" customHeight="1" x14ac:dyDescent="0.2">
      <c r="B30" s="2240" t="s">
        <v>1027</v>
      </c>
      <c r="C30" s="1758"/>
      <c r="D30" s="1764"/>
      <c r="E30" s="1410"/>
      <c r="F30" s="787"/>
      <c r="G30" s="1410"/>
      <c r="H30" s="787"/>
      <c r="I30" s="1410"/>
      <c r="J30" s="787"/>
      <c r="K30" s="1410"/>
      <c r="L30" s="787"/>
      <c r="M30" s="1760">
        <f>E30+G30+I30+K30</f>
        <v>0</v>
      </c>
      <c r="N30" s="787"/>
      <c r="O30" s="1410"/>
      <c r="P30" s="289"/>
      <c r="Q30" s="289"/>
      <c r="R30" s="289"/>
      <c r="S30" s="288"/>
      <c r="T30" s="1475">
        <v>22191900</v>
      </c>
      <c r="U30" s="1440">
        <v>21191900</v>
      </c>
      <c r="V30" s="1440"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30" s="1476"/>
      <c r="X30" s="1476"/>
      <c r="Y30" s="1476"/>
    </row>
    <row r="31" spans="2:25" s="75" customFormat="1" ht="14.1" customHeight="1" x14ac:dyDescent="0.2">
      <c r="B31" s="2240" t="s">
        <v>1028</v>
      </c>
      <c r="C31" s="1758"/>
      <c r="D31" s="1764"/>
      <c r="E31" s="1410"/>
      <c r="F31" s="787"/>
      <c r="G31" s="1410"/>
      <c r="H31" s="787"/>
      <c r="I31" s="1410"/>
      <c r="J31" s="787"/>
      <c r="K31" s="1410"/>
      <c r="L31" s="787"/>
      <c r="M31" s="1760">
        <f>E31+G31+I31+K31</f>
        <v>0</v>
      </c>
      <c r="N31" s="787"/>
      <c r="O31" s="1410"/>
      <c r="P31" s="289"/>
      <c r="Q31" s="289"/>
      <c r="R31" s="289"/>
      <c r="S31" s="288"/>
      <c r="T31" s="1475">
        <v>22192500</v>
      </c>
      <c r="U31" s="1440">
        <v>21192500</v>
      </c>
      <c r="V31" s="1440" t="s">
        <v>673</v>
      </c>
      <c r="W31" s="1476"/>
      <c r="X31" s="1476"/>
      <c r="Y31" s="1476"/>
    </row>
    <row r="32" spans="2:25" s="75" customFormat="1" ht="14.1" customHeight="1" x14ac:dyDescent="0.25">
      <c r="B32" s="912" t="s">
        <v>1029</v>
      </c>
      <c r="C32" s="1758"/>
      <c r="D32" s="1764"/>
      <c r="E32" s="1765"/>
      <c r="F32" s="787"/>
      <c r="G32" s="1765"/>
      <c r="H32" s="787"/>
      <c r="I32" s="1765"/>
      <c r="J32" s="787"/>
      <c r="K32" s="1765"/>
      <c r="L32" s="787"/>
      <c r="M32" s="1760">
        <f>E32+G32+I32+K32</f>
        <v>0</v>
      </c>
      <c r="N32" s="787"/>
      <c r="O32" s="1765"/>
      <c r="P32" s="289"/>
      <c r="Q32" s="289"/>
      <c r="R32" s="289"/>
      <c r="S32" s="288"/>
      <c r="T32" s="1475">
        <v>22192000</v>
      </c>
      <c r="U32" s="1440">
        <v>21192000</v>
      </c>
      <c r="V32" s="1440"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32" s="1476"/>
      <c r="X32" s="1476"/>
      <c r="Y32" s="1476"/>
    </row>
    <row r="33" spans="1:25" s="75" customFormat="1" ht="14.1" customHeight="1" x14ac:dyDescent="0.2">
      <c r="A33" s="289"/>
      <c r="B33" s="2240" t="s">
        <v>1030</v>
      </c>
      <c r="C33" s="1758"/>
      <c r="D33" s="1764"/>
      <c r="E33" s="1766"/>
      <c r="F33" s="787"/>
      <c r="G33" s="1766"/>
      <c r="H33" s="787"/>
      <c r="I33" s="1766"/>
      <c r="J33" s="787"/>
      <c r="K33" s="1766"/>
      <c r="L33" s="787"/>
      <c r="M33" s="1760">
        <f>E33+G33+I33+K33</f>
        <v>0</v>
      </c>
      <c r="N33" s="787"/>
      <c r="O33" s="1766"/>
      <c r="P33" s="289"/>
      <c r="Q33" s="289"/>
      <c r="R33" s="289"/>
      <c r="S33" s="288"/>
      <c r="T33" s="1475"/>
      <c r="U33" s="1440"/>
      <c r="V33" s="1440"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33" s="1476"/>
      <c r="X33" s="1476"/>
      <c r="Y33" s="1476"/>
    </row>
    <row r="34" spans="1:25" s="75" customFormat="1" ht="14.1" customHeight="1" thickBot="1" x14ac:dyDescent="0.3">
      <c r="A34" s="289"/>
      <c r="B34" s="2240" t="s">
        <v>1031</v>
      </c>
      <c r="C34" s="1758"/>
      <c r="D34" s="1764"/>
      <c r="E34" s="1761"/>
      <c r="F34" s="787"/>
      <c r="G34" s="1761"/>
      <c r="H34" s="787"/>
      <c r="I34" s="1761"/>
      <c r="J34" s="787"/>
      <c r="K34" s="1761"/>
      <c r="L34" s="787"/>
      <c r="M34" s="2191">
        <f>E34+G34+I34+K34</f>
        <v>0</v>
      </c>
      <c r="N34" s="787"/>
      <c r="O34" s="1761"/>
      <c r="P34" s="289"/>
      <c r="Q34" s="289"/>
      <c r="R34" s="289"/>
      <c r="S34" s="288"/>
      <c r="T34" s="289"/>
      <c r="U34" s="289"/>
      <c r="V34" s="1476"/>
      <c r="W34" s="1476"/>
      <c r="X34" s="1476"/>
      <c r="Y34" s="1476"/>
    </row>
    <row r="35" spans="1:25" s="75" customFormat="1" ht="14.1" customHeight="1" x14ac:dyDescent="0.25">
      <c r="A35" s="289"/>
      <c r="B35" s="2240" t="s">
        <v>1032</v>
      </c>
      <c r="C35" s="1758"/>
      <c r="D35" s="1764"/>
      <c r="E35" s="1767"/>
      <c r="F35" s="787"/>
      <c r="G35" s="1767"/>
      <c r="H35" s="787"/>
      <c r="I35" s="1767"/>
      <c r="J35" s="787"/>
      <c r="K35" s="1767"/>
      <c r="L35" s="787"/>
      <c r="M35" s="1760">
        <f t="shared" ref="M35:M40" si="1">SUM(E35:K35)</f>
        <v>0</v>
      </c>
      <c r="N35" s="787"/>
      <c r="O35" s="1046"/>
      <c r="P35" s="289"/>
      <c r="Q35" s="289"/>
      <c r="R35" s="289"/>
      <c r="S35" s="288"/>
      <c r="T35" s="1475">
        <v>21622000</v>
      </c>
      <c r="U35" s="1475"/>
      <c r="V35" s="1440" t="s">
        <v>673</v>
      </c>
      <c r="W35" s="1476"/>
      <c r="X35" s="1476"/>
      <c r="Y35" s="1476"/>
    </row>
    <row r="36" spans="1:25" s="75" customFormat="1" ht="24.6" customHeight="1" x14ac:dyDescent="0.2">
      <c r="A36" s="288"/>
      <c r="B36" s="2516" t="s">
        <v>1033</v>
      </c>
      <c r="C36" s="2516"/>
      <c r="D36" s="2516"/>
      <c r="E36" s="1765"/>
      <c r="F36" s="787"/>
      <c r="G36" s="1410"/>
      <c r="H36" s="787"/>
      <c r="I36" s="1410"/>
      <c r="J36" s="787"/>
      <c r="K36" s="1410"/>
      <c r="L36" s="787"/>
      <c r="M36" s="1760">
        <f t="shared" si="1"/>
        <v>0</v>
      </c>
      <c r="N36" s="787"/>
      <c r="O36" s="1046"/>
      <c r="P36" s="289"/>
      <c r="Q36" s="289"/>
      <c r="R36" s="289"/>
      <c r="S36" s="289"/>
      <c r="T36" s="1475">
        <v>21910000</v>
      </c>
      <c r="U36" s="1475"/>
      <c r="V36" s="1440" t="s">
        <v>673</v>
      </c>
      <c r="W36" s="289"/>
      <c r="X36" s="289"/>
      <c r="Y36" s="289"/>
    </row>
    <row r="37" spans="1:25" s="75" customFormat="1" ht="14.1" customHeight="1" x14ac:dyDescent="0.2">
      <c r="A37" s="288"/>
      <c r="B37" s="808" t="s">
        <v>1034</v>
      </c>
      <c r="C37" s="1758"/>
      <c r="D37" s="1759"/>
      <c r="E37" s="2190"/>
      <c r="F37" s="787"/>
      <c r="G37" s="1765"/>
      <c r="H37" s="787"/>
      <c r="I37" s="1765"/>
      <c r="J37" s="787"/>
      <c r="K37" s="1765"/>
      <c r="L37" s="787"/>
      <c r="M37" s="1760">
        <f t="shared" si="1"/>
        <v>0</v>
      </c>
      <c r="N37" s="787"/>
      <c r="O37" s="1768"/>
      <c r="P37" s="289"/>
      <c r="Q37" s="289"/>
      <c r="R37" s="289"/>
      <c r="S37" s="289"/>
      <c r="T37" s="1475">
        <v>21910100</v>
      </c>
      <c r="U37" s="1475"/>
      <c r="V37" s="1440" t="s">
        <v>673</v>
      </c>
      <c r="W37" s="289"/>
      <c r="X37" s="289"/>
      <c r="Y37" s="289"/>
    </row>
    <row r="38" spans="1:25" s="75" customFormat="1" ht="14.1" customHeight="1" x14ac:dyDescent="0.2">
      <c r="A38" s="288"/>
      <c r="B38" s="808" t="s">
        <v>1024</v>
      </c>
      <c r="C38" s="1758"/>
      <c r="D38" s="1759"/>
      <c r="E38" s="1765"/>
      <c r="F38" s="787"/>
      <c r="G38" s="1765"/>
      <c r="H38" s="787"/>
      <c r="I38" s="1765"/>
      <c r="J38" s="787"/>
      <c r="K38" s="1765"/>
      <c r="L38" s="787"/>
      <c r="M38" s="1760">
        <f t="shared" si="1"/>
        <v>0</v>
      </c>
      <c r="N38" s="787"/>
      <c r="O38" s="1768"/>
      <c r="P38" s="289"/>
      <c r="Q38" s="289"/>
      <c r="R38" s="289"/>
      <c r="S38" s="289"/>
      <c r="T38" s="1475" t="s">
        <v>1035</v>
      </c>
      <c r="U38" s="1475"/>
      <c r="V38" s="1440" t="s">
        <v>673</v>
      </c>
      <c r="W38" s="289"/>
      <c r="X38" s="289"/>
      <c r="Y38" s="289"/>
    </row>
    <row r="39" spans="1:25" s="75" customFormat="1" ht="14.1" customHeight="1" x14ac:dyDescent="0.2">
      <c r="A39" s="288"/>
      <c r="B39" s="808" t="s">
        <v>1016</v>
      </c>
      <c r="C39" s="1758"/>
      <c r="D39" s="1759"/>
      <c r="E39" s="1765"/>
      <c r="F39" s="787"/>
      <c r="G39" s="1765"/>
      <c r="H39" s="787"/>
      <c r="I39" s="1765"/>
      <c r="J39" s="787"/>
      <c r="K39" s="1765"/>
      <c r="L39" s="787"/>
      <c r="M39" s="1760">
        <f t="shared" si="1"/>
        <v>0</v>
      </c>
      <c r="N39" s="787"/>
      <c r="O39" s="1768"/>
      <c r="P39" s="289"/>
      <c r="Q39" s="289"/>
      <c r="R39" s="289"/>
      <c r="S39" s="289"/>
      <c r="T39" s="1475" t="s">
        <v>1036</v>
      </c>
      <c r="U39" s="1475"/>
      <c r="V39" s="1440" t="s">
        <v>673</v>
      </c>
      <c r="W39" s="289"/>
      <c r="X39" s="289"/>
      <c r="Y39" s="289"/>
    </row>
    <row r="40" spans="1:25" s="75" customFormat="1" ht="14.1" customHeight="1" x14ac:dyDescent="0.2">
      <c r="A40" s="288"/>
      <c r="B40" s="808" t="s">
        <v>1037</v>
      </c>
      <c r="C40" s="1758"/>
      <c r="D40" s="1759"/>
      <c r="E40" s="1765"/>
      <c r="F40" s="787"/>
      <c r="G40" s="1765"/>
      <c r="H40" s="787"/>
      <c r="I40" s="1765"/>
      <c r="J40" s="787"/>
      <c r="K40" s="1765"/>
      <c r="L40" s="787"/>
      <c r="M40" s="1760">
        <f t="shared" si="1"/>
        <v>0</v>
      </c>
      <c r="N40" s="787"/>
      <c r="O40" s="1768"/>
      <c r="P40" s="289"/>
      <c r="Q40" s="289"/>
      <c r="R40" s="289"/>
      <c r="S40" s="289"/>
      <c r="T40" s="1475">
        <v>21910200</v>
      </c>
      <c r="U40" s="1475"/>
      <c r="V40" s="1440" t="s">
        <v>673</v>
      </c>
      <c r="W40" s="289"/>
      <c r="X40" s="289"/>
      <c r="Y40" s="289"/>
    </row>
    <row r="41" spans="1:25" s="75" customFormat="1" ht="9" customHeight="1" x14ac:dyDescent="0.2">
      <c r="A41" s="288"/>
      <c r="B41" s="808"/>
      <c r="C41" s="1758"/>
      <c r="D41" s="1759"/>
      <c r="E41" s="1411"/>
      <c r="F41" s="787"/>
      <c r="G41" s="1411"/>
      <c r="H41" s="787"/>
      <c r="I41" s="1411"/>
      <c r="J41" s="787"/>
      <c r="K41" s="1411"/>
      <c r="L41" s="787"/>
      <c r="M41" s="787"/>
      <c r="N41" s="787"/>
      <c r="O41" s="787"/>
      <c r="P41" s="289"/>
      <c r="Q41" s="289"/>
      <c r="R41" s="289"/>
      <c r="S41" s="289"/>
      <c r="T41" s="1475"/>
      <c r="U41" s="1475"/>
      <c r="V41" s="289"/>
      <c r="W41" s="289"/>
      <c r="X41" s="289"/>
      <c r="Y41" s="289"/>
    </row>
    <row r="42" spans="1:25" ht="12.75" customHeight="1" x14ac:dyDescent="0.2">
      <c r="B42" s="500" t="s">
        <v>1038</v>
      </c>
      <c r="T42" s="1475"/>
      <c r="U42" s="1475"/>
    </row>
    <row r="43" spans="1:25" ht="5.0999999999999996" customHeight="1" x14ac:dyDescent="0.2">
      <c r="B43" s="520"/>
    </row>
    <row r="44" spans="1:25" x14ac:dyDescent="0.2">
      <c r="B44" s="427" t="s">
        <v>1039</v>
      </c>
      <c r="C44" s="187"/>
      <c r="D44" s="500"/>
      <c r="E44" s="187"/>
      <c r="F44" s="187"/>
      <c r="G44" s="187"/>
      <c r="H44" s="456"/>
      <c r="I44" s="501" t="s">
        <v>339</v>
      </c>
      <c r="J44" s="205"/>
      <c r="K44" s="2344"/>
      <c r="L44" s="205"/>
      <c r="M44" s="501" t="s">
        <v>340</v>
      </c>
      <c r="N44" s="500"/>
      <c r="O44" s="2344"/>
    </row>
    <row r="47" spans="1:25" ht="15" x14ac:dyDescent="0.2">
      <c r="A47" s="1483" t="str">
        <f ca="1">MID(CELL("filename",A1),FIND("]",CELL("filename",A1))+1,256)</f>
        <v>305</v>
      </c>
      <c r="B47" s="445" t="s">
        <v>636</v>
      </c>
      <c r="C47" s="1483"/>
    </row>
    <row r="48" spans="1:25" ht="15" x14ac:dyDescent="0.2">
      <c r="A48" s="1483" t="s">
        <v>380</v>
      </c>
      <c r="B48" s="445" t="str">
        <f ca="1">IF(ISNA(INDEX(ErrorTable,MATCH($A$47&amp;$A48&amp;FALSE,ErrorKey,0),6)),"",INDEX(ErrorTable,MATCH($A$47&amp;$A48&amp;FALSE,ErrorKey,0),6))</f>
        <v/>
      </c>
      <c r="C48" s="1483"/>
    </row>
    <row r="49" spans="1:3" ht="15" x14ac:dyDescent="0.2">
      <c r="A49" s="1483" t="s">
        <v>381</v>
      </c>
      <c r="B49" s="445" t="str">
        <f t="shared" ref="B49:B57" ca="1" si="2">IF(ISNA(INDEX(ErrorTable,MATCH($A$47&amp;$A49&amp;FALSE,ErrorKey,0),6)),"",INDEX(ErrorTable,MATCH($A$47&amp;$A49&amp;FALSE,ErrorKey,0),6))</f>
        <v/>
      </c>
      <c r="C49" s="1483"/>
    </row>
    <row r="50" spans="1:3" ht="15" x14ac:dyDescent="0.2">
      <c r="A50" s="1483" t="s">
        <v>382</v>
      </c>
      <c r="B50" s="445" t="str">
        <f t="shared" ca="1" si="2"/>
        <v/>
      </c>
      <c r="C50" s="1483"/>
    </row>
    <row r="51" spans="1:3" ht="15" x14ac:dyDescent="0.2">
      <c r="A51" s="1483" t="s">
        <v>383</v>
      </c>
      <c r="B51" s="445" t="str">
        <f t="shared" ca="1" si="2"/>
        <v/>
      </c>
      <c r="C51" s="1483"/>
    </row>
    <row r="52" spans="1:3" ht="15" x14ac:dyDescent="0.2">
      <c r="A52" s="1483" t="s">
        <v>384</v>
      </c>
      <c r="B52" s="445" t="str">
        <f t="shared" ca="1" si="2"/>
        <v/>
      </c>
      <c r="C52" s="1483"/>
    </row>
    <row r="53" spans="1:3" ht="15" x14ac:dyDescent="0.2">
      <c r="A53" s="1483" t="s">
        <v>385</v>
      </c>
      <c r="B53" s="445" t="str">
        <f t="shared" ca="1" si="2"/>
        <v/>
      </c>
      <c r="C53" s="1483"/>
    </row>
    <row r="54" spans="1:3" ht="15" x14ac:dyDescent="0.2">
      <c r="A54" s="1483" t="s">
        <v>386</v>
      </c>
      <c r="B54" s="445" t="str">
        <f t="shared" ca="1" si="2"/>
        <v/>
      </c>
      <c r="C54" s="1483"/>
    </row>
    <row r="55" spans="1:3" ht="15" x14ac:dyDescent="0.2">
      <c r="A55" s="1483" t="s">
        <v>387</v>
      </c>
      <c r="B55" s="445" t="str">
        <f t="shared" ca="1" si="2"/>
        <v/>
      </c>
      <c r="C55" s="1483"/>
    </row>
    <row r="56" spans="1:3" ht="15" x14ac:dyDescent="0.2">
      <c r="A56" s="1483" t="s">
        <v>388</v>
      </c>
      <c r="B56" s="445" t="str">
        <f t="shared" ca="1" si="2"/>
        <v/>
      </c>
      <c r="C56" s="1483"/>
    </row>
    <row r="57" spans="1:3" ht="15" x14ac:dyDescent="0.2">
      <c r="A57" s="1483" t="s">
        <v>389</v>
      </c>
      <c r="B57" s="445" t="str">
        <f t="shared" ca="1" si="2"/>
        <v/>
      </c>
      <c r="C57" s="1483"/>
    </row>
  </sheetData>
  <sheetProtection algorithmName="SHA-512" hashValue="JFvYCJXBpp6kvaRvqYEguuQBJ+p3UnzD3KEh8YVTRu8ObOzw1oyrAcBJkc1q49hMirC1r5mj8tnJdNW3oNtpMg==" saltValue="Gqf+yidIn9hn0AAHOp8dIg==" spinCount="100000" sheet="1" objects="1" scenarios="1" autoFilter="0"/>
  <customSheetViews>
    <customSheetView guid="{9FCFC836-1CA5-48BF-958D-24D2EA94B219}" showGridLines="0" fitToPage="1" hiddenColumns="1" topLeftCell="B4">
      <selection activeCell="E16" sqref="E16"/>
      <pageMargins left="0" right="0" top="0" bottom="0" header="0" footer="0"/>
      <pageSetup orientation="landscape" r:id="rId1"/>
      <headerFooter alignWithMargins="0">
        <oddFooter>&amp;R&amp;A</oddFooter>
      </headerFooter>
    </customSheetView>
    <customSheetView guid="{B08879A4-635B-4C39-9937-AC7883D562FC}" showGridLines="0" fitToPage="1" hiddenColumns="1" topLeftCell="B4">
      <selection activeCell="E16" sqref="E16"/>
      <pageMargins left="0" right="0" top="0" bottom="0" header="0" footer="0"/>
      <pageSetup orientation="landscape" r:id="rId2"/>
      <headerFooter alignWithMargins="0">
        <oddFooter>&amp;R&amp;A</oddFooter>
      </headerFooter>
    </customSheetView>
  </customSheetViews>
  <mergeCells count="14">
    <mergeCell ref="K6:O6"/>
    <mergeCell ref="K7:O7"/>
    <mergeCell ref="K8:O8"/>
    <mergeCell ref="B36:D36"/>
    <mergeCell ref="B22:D22"/>
    <mergeCell ref="B23:D23"/>
    <mergeCell ref="K9:O9"/>
    <mergeCell ref="E7:E8"/>
    <mergeCell ref="B29:D29"/>
    <mergeCell ref="B1:O1"/>
    <mergeCell ref="B2:O2"/>
    <mergeCell ref="B3:O3"/>
    <mergeCell ref="B4:O4"/>
    <mergeCell ref="I5:O5"/>
  </mergeCells>
  <phoneticPr fontId="16" type="noConversion"/>
  <conditionalFormatting sqref="P1:P3">
    <cfRule type="cellIs" dxfId="131" priority="1" stopIfTrue="1" operator="equal">
      <formula>"na"</formula>
    </cfRule>
  </conditionalFormatting>
  <dataValidations xWindow="234" yWindow="289" count="5">
    <dataValidation type="decimal" operator="lessThanOrEqual" allowBlank="1" showInputMessage="1" showErrorMessage="1" errorTitle="Invalid data!" error="Amount must be negative." sqref="K17:K21 E22 I22 K23:K41" xr:uid="{00000000-0002-0000-0C00-000000000000}">
      <formula1>0</formula1>
    </dataValidation>
    <dataValidation type="decimal" operator="greaterThanOrEqual" allowBlank="1" showInputMessage="1" showErrorMessage="1" errorTitle="Invalid data!" error="Amount must be positive!" sqref="I17:I21 I23:I41" xr:uid="{00000000-0002-0000-0C00-000001000000}">
      <formula1>0</formula1>
    </dataValidation>
    <dataValidation type="decimal" operator="greaterThanOrEqual" allowBlank="1" showInputMessage="1" showErrorMessage="1" errorTitle="Invalid data!" error="Amount must be positive." sqref="K22" xr:uid="{00000000-0002-0000-0C00-000002000000}">
      <formula1>0</formula1>
    </dataValidation>
    <dataValidation type="textLength" operator="equal" allowBlank="1" showInputMessage="1" showErrorMessage="1" errorTitle="Invalid data!" error="GASB number must be 4 digits." promptTitle="Long-Term Liabilities GASB Num" prompt="For primary government governmental fund types, the GASB fund number for Long-Term Liabilities should be 5200." sqref="D8:D9" xr:uid="{00000000-0002-0000-0C00-000003000000}">
      <formula1>4</formula1>
    </dataValidation>
    <dataValidation type="list" allowBlank="1" showInputMessage="1" showErrorMessage="1" sqref="D7" xr:uid="{1CD89224-60F5-459B-BB78-31E04112806F}">
      <formula1>"No Function,General government,Primary and secondary education, Higher education, Health and human services,Economic development, Environment and natural resources, Public safety, Transportation, Agriculture"</formula1>
    </dataValidation>
  </dataValidations>
  <hyperlinks>
    <hyperlink ref="B1:O1" location="Index!A1" display="Index!A1" xr:uid="{00000000-0004-0000-0C00-000000000000}"/>
  </hyperlinks>
  <pageMargins left="0.6" right="0.6" top="0.5" bottom="0.5" header="0.3" footer="0.3"/>
  <pageSetup scale="90" orientation="landscape"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5">
    <pageSetUpPr fitToPage="1"/>
  </sheetPr>
  <dimension ref="A1:Y59"/>
  <sheetViews>
    <sheetView showGridLines="0" topLeftCell="B3" zoomScale="90" zoomScaleNormal="90" zoomScaleSheetLayoutView="145" workbookViewId="0">
      <selection activeCell="M38" sqref="M38"/>
    </sheetView>
  </sheetViews>
  <sheetFormatPr defaultColWidth="16.5703125" defaultRowHeight="12.75" x14ac:dyDescent="0.2"/>
  <cols>
    <col min="1" max="1" width="4" style="288" hidden="1" customWidth="1"/>
    <col min="2" max="2" width="18.5703125" style="289" customWidth="1"/>
    <col min="3" max="3" width="1.42578125" style="289" customWidth="1"/>
    <col min="4" max="4" width="13.85546875" style="289" customWidth="1"/>
    <col min="5" max="5" width="19.5703125" style="289" customWidth="1"/>
    <col min="6" max="6" width="1.42578125" style="289" customWidth="1"/>
    <col min="7" max="7" width="17.85546875" style="289" customWidth="1"/>
    <col min="8" max="8" width="1.42578125" style="289" customWidth="1"/>
    <col min="9" max="9" width="18" style="289" customWidth="1"/>
    <col min="10" max="10" width="1.42578125" style="289" customWidth="1"/>
    <col min="11" max="11" width="18.42578125" style="289" customWidth="1"/>
    <col min="12" max="12" width="1.42578125" style="289" customWidth="1"/>
    <col min="13" max="13" width="18.7109375" style="289" customWidth="1"/>
    <col min="14" max="14" width="1.42578125" style="289" customWidth="1"/>
    <col min="15" max="15" width="17.5703125" style="289" customWidth="1"/>
    <col min="16" max="16" width="4.5703125" style="289" customWidth="1"/>
    <col min="17" max="17" width="4.42578125" style="289" customWidth="1"/>
    <col min="18" max="18" width="6.42578125" style="289" customWidth="1"/>
    <col min="19" max="19" width="5.42578125" style="289" customWidth="1"/>
    <col min="20" max="20" width="22.28515625" style="1478" bestFit="1" customWidth="1"/>
    <col min="21" max="21" width="11" style="1478" customWidth="1"/>
    <col min="22" max="22" width="16.5703125" style="289" customWidth="1"/>
    <col min="23" max="23" width="9.42578125" style="289" customWidth="1"/>
    <col min="24" max="24" width="10.42578125" style="289" customWidth="1"/>
    <col min="25" max="25" width="10.5703125" style="289" customWidth="1"/>
    <col min="26" max="32" width="9.42578125" style="289" customWidth="1"/>
    <col min="33" max="16384" width="16.5703125" style="289"/>
  </cols>
  <sheetData>
    <row r="1" spans="1:23" s="12" customFormat="1" ht="15" customHeight="1" x14ac:dyDescent="0.25">
      <c r="A1" s="284"/>
      <c r="B1" s="2455" t="str">
        <f>+Index!$A$1</f>
        <v xml:space="preserve">                                                               Office of the State Controller                                                                </v>
      </c>
      <c r="C1" s="2455"/>
      <c r="D1" s="2455"/>
      <c r="E1" s="2455"/>
      <c r="F1" s="2455"/>
      <c r="G1" s="2455"/>
      <c r="H1" s="2455"/>
      <c r="I1" s="2455"/>
      <c r="J1" s="2455"/>
      <c r="K1" s="2455"/>
      <c r="L1" s="2455"/>
      <c r="M1" s="2455"/>
      <c r="N1" s="2455"/>
      <c r="O1" s="2455"/>
      <c r="P1" s="2520" t="str">
        <f>IF(Index!$B$32="na","NA","")</f>
        <v/>
      </c>
      <c r="T1" s="1477"/>
      <c r="U1" s="1477"/>
      <c r="W1" s="1494" t="s">
        <v>1040</v>
      </c>
    </row>
    <row r="2" spans="1:23" s="12" customFormat="1" ht="15" customHeight="1" x14ac:dyDescent="0.25">
      <c r="A2" s="284"/>
      <c r="B2" s="2511" t="str">
        <f>+Index!$A$2</f>
        <v>2023 ACFR Worksheets</v>
      </c>
      <c r="C2" s="2511"/>
      <c r="D2" s="2511"/>
      <c r="E2" s="2511"/>
      <c r="F2" s="2511"/>
      <c r="G2" s="2511"/>
      <c r="H2" s="2511"/>
      <c r="I2" s="2511"/>
      <c r="J2" s="2511"/>
      <c r="K2" s="2511"/>
      <c r="L2" s="2511"/>
      <c r="M2" s="2511"/>
      <c r="N2" s="2511"/>
      <c r="O2" s="2511"/>
      <c r="P2" s="2520"/>
      <c r="T2" s="1477"/>
      <c r="U2" s="1477"/>
    </row>
    <row r="3" spans="1:23" s="12" customFormat="1" ht="15" customHeight="1" x14ac:dyDescent="0.25">
      <c r="A3" s="284"/>
      <c r="B3" s="2511" t="s">
        <v>1041</v>
      </c>
      <c r="C3" s="2511"/>
      <c r="D3" s="2511"/>
      <c r="E3" s="2511"/>
      <c r="F3" s="2511"/>
      <c r="G3" s="2511"/>
      <c r="H3" s="2511"/>
      <c r="I3" s="2511"/>
      <c r="J3" s="2511"/>
      <c r="K3" s="2511"/>
      <c r="L3" s="2511"/>
      <c r="M3" s="2511"/>
      <c r="N3" s="2511"/>
      <c r="O3" s="2511"/>
      <c r="P3" s="2520"/>
      <c r="T3" s="1477"/>
      <c r="U3" s="1477"/>
    </row>
    <row r="4" spans="1:23" s="12" customFormat="1" ht="15" customHeight="1" x14ac:dyDescent="0.25">
      <c r="A4" s="284"/>
      <c r="B4" s="2511" t="s">
        <v>1042</v>
      </c>
      <c r="C4" s="2511"/>
      <c r="D4" s="2511"/>
      <c r="E4" s="2511"/>
      <c r="F4" s="2511"/>
      <c r="G4" s="2511"/>
      <c r="H4" s="2511"/>
      <c r="I4" s="2511"/>
      <c r="J4" s="2511"/>
      <c r="K4" s="2511"/>
      <c r="L4" s="2511"/>
      <c r="M4" s="2511"/>
      <c r="N4" s="2511"/>
      <c r="O4" s="2511"/>
      <c r="P4" s="289"/>
      <c r="T4" s="1477"/>
      <c r="U4" s="1477"/>
    </row>
    <row r="5" spans="1:23" s="12" customFormat="1" ht="15" customHeight="1" x14ac:dyDescent="0.25">
      <c r="A5" s="284"/>
      <c r="B5" s="2237"/>
      <c r="C5" s="2237"/>
      <c r="D5" s="2237"/>
      <c r="E5" s="2237"/>
      <c r="F5" s="2237"/>
      <c r="G5" s="2237"/>
      <c r="H5" s="2237"/>
      <c r="I5" s="2512" t="s">
        <v>1043</v>
      </c>
      <c r="J5" s="2512"/>
      <c r="K5" s="2512"/>
      <c r="L5" s="2512"/>
      <c r="M5" s="2512"/>
      <c r="N5" s="2512"/>
      <c r="O5" s="2512"/>
      <c r="P5" s="289"/>
      <c r="T5" s="1477"/>
      <c r="U5" s="1477"/>
    </row>
    <row r="6" spans="1:23" s="75" customFormat="1" ht="15" customHeight="1" x14ac:dyDescent="0.2">
      <c r="A6" s="288"/>
      <c r="B6" s="289"/>
      <c r="C6" s="289"/>
      <c r="D6" s="288"/>
      <c r="E6" s="289"/>
      <c r="F6" s="289"/>
      <c r="G6" s="289"/>
      <c r="H6" s="289"/>
      <c r="I6" s="1754" t="s">
        <v>317</v>
      </c>
      <c r="J6" s="1755"/>
      <c r="K6" s="2513" t="str">
        <f>+Index!$E$10</f>
        <v>01</v>
      </c>
      <c r="L6" s="2513"/>
      <c r="M6" s="2513"/>
      <c r="N6" s="2513"/>
      <c r="O6" s="2513"/>
      <c r="P6" s="289"/>
      <c r="Q6" s="289"/>
      <c r="R6" s="289"/>
      <c r="S6" s="289"/>
      <c r="T6" s="1478"/>
      <c r="U6" s="1478"/>
      <c r="V6" s="289"/>
      <c r="W6" s="289"/>
    </row>
    <row r="7" spans="1:23" s="75" customFormat="1" ht="15" customHeight="1" x14ac:dyDescent="0.2">
      <c r="A7" s="288"/>
      <c r="B7" s="289"/>
      <c r="C7" s="289"/>
      <c r="D7" s="289"/>
      <c r="E7" s="2518" t="s">
        <v>1044</v>
      </c>
      <c r="F7" s="289"/>
      <c r="G7" s="289"/>
      <c r="H7" s="289"/>
      <c r="I7" s="1754" t="s">
        <v>318</v>
      </c>
      <c r="J7" s="1755"/>
      <c r="K7" s="2514" t="str">
        <f>+Index!$E$11</f>
        <v>North Carolina General Assembly</v>
      </c>
      <c r="L7" s="2514"/>
      <c r="M7" s="2514"/>
      <c r="N7" s="2514"/>
      <c r="O7" s="2514"/>
      <c r="P7" s="289"/>
      <c r="Q7" s="289"/>
      <c r="R7" s="289"/>
      <c r="S7" s="289"/>
      <c r="T7" s="1478"/>
      <c r="U7" s="1478"/>
      <c r="V7" s="289"/>
      <c r="W7" s="289"/>
    </row>
    <row r="8" spans="1:23" s="75" customFormat="1" ht="15" customHeight="1" x14ac:dyDescent="0.2">
      <c r="A8" s="288"/>
      <c r="B8" s="289" t="s">
        <v>568</v>
      </c>
      <c r="C8" s="288"/>
      <c r="D8" s="1769"/>
      <c r="E8" s="2518"/>
      <c r="F8" s="289"/>
      <c r="G8" s="289"/>
      <c r="H8" s="289"/>
      <c r="I8" s="1754" t="s">
        <v>319</v>
      </c>
      <c r="J8" s="1755"/>
      <c r="K8" s="2515" t="str">
        <f>CONCATENATE(Index!$E$12," ",Index!$E$14)</f>
        <v xml:space="preserve"> </v>
      </c>
      <c r="L8" s="2515"/>
      <c r="M8" s="2515"/>
      <c r="N8" s="2515"/>
      <c r="O8" s="2515"/>
      <c r="P8" s="289"/>
      <c r="Q8" s="289"/>
      <c r="R8" s="289"/>
      <c r="S8" s="289"/>
      <c r="T8" s="1478"/>
      <c r="U8" s="1478"/>
      <c r="V8" s="289"/>
      <c r="W8" s="289"/>
    </row>
    <row r="9" spans="1:23" s="75" customFormat="1" ht="15" customHeight="1" x14ac:dyDescent="0.2">
      <c r="A9" s="288"/>
      <c r="B9" s="752" t="s">
        <v>1045</v>
      </c>
      <c r="C9" s="753"/>
      <c r="D9" s="754"/>
      <c r="E9" s="755"/>
      <c r="F9" s="289"/>
      <c r="G9" s="289"/>
      <c r="H9" s="289"/>
      <c r="I9" s="1754" t="s">
        <v>71</v>
      </c>
      <c r="J9" s="1755"/>
      <c r="K9" s="2515">
        <f>+Index!$E$13</f>
        <v>0</v>
      </c>
      <c r="L9" s="2515"/>
      <c r="M9" s="2515"/>
      <c r="N9" s="2515"/>
      <c r="O9" s="2515"/>
      <c r="P9" s="289"/>
      <c r="Q9" s="289"/>
      <c r="R9" s="289"/>
      <c r="S9" s="289"/>
      <c r="T9" s="1478"/>
      <c r="U9" s="1478"/>
      <c r="V9" s="289"/>
      <c r="W9" s="289"/>
    </row>
    <row r="10" spans="1:23" s="75" customFormat="1" ht="6.75" customHeight="1" thickBot="1" x14ac:dyDescent="0.25">
      <c r="A10" s="288"/>
      <c r="B10" s="1756"/>
      <c r="C10" s="1756"/>
      <c r="D10" s="1756"/>
      <c r="E10" s="1756"/>
      <c r="F10" s="1756"/>
      <c r="G10" s="1756"/>
      <c r="H10" s="1756"/>
      <c r="I10" s="1756"/>
      <c r="J10" s="1756"/>
      <c r="K10" s="1756"/>
      <c r="L10" s="1756"/>
      <c r="M10" s="1756"/>
      <c r="N10" s="1756"/>
      <c r="O10" s="1756"/>
      <c r="P10" s="289"/>
      <c r="Q10" s="289"/>
      <c r="R10" s="289"/>
      <c r="S10" s="289"/>
      <c r="T10" s="1478"/>
      <c r="U10" s="1478"/>
      <c r="V10" s="289"/>
      <c r="W10" s="289"/>
    </row>
    <row r="11" spans="1:23" s="75" customFormat="1" ht="5.25" customHeight="1" x14ac:dyDescent="0.2">
      <c r="A11" s="288"/>
      <c r="B11" s="289"/>
      <c r="C11" s="289"/>
      <c r="D11" s="289"/>
      <c r="E11" s="289"/>
      <c r="F11" s="289"/>
      <c r="G11" s="289"/>
      <c r="H11" s="289"/>
      <c r="I11" s="289"/>
      <c r="J11" s="289"/>
      <c r="K11" s="289"/>
      <c r="L11" s="289"/>
      <c r="M11" s="289"/>
      <c r="N11" s="289"/>
      <c r="O11" s="289"/>
      <c r="P11" s="289"/>
      <c r="Q11" s="289"/>
      <c r="R11" s="289"/>
      <c r="S11" s="289"/>
      <c r="T11" s="1478"/>
      <c r="U11" s="1478"/>
      <c r="V11" s="289"/>
      <c r="W11" s="289"/>
    </row>
    <row r="12" spans="1:23" s="75" customFormat="1" ht="12" customHeight="1" x14ac:dyDescent="0.2">
      <c r="A12" s="288"/>
      <c r="B12" s="2240"/>
      <c r="C12" s="2240"/>
      <c r="D12" s="285"/>
      <c r="E12" s="285" t="s">
        <v>508</v>
      </c>
      <c r="F12" s="285"/>
      <c r="G12" s="285" t="s">
        <v>677</v>
      </c>
      <c r="H12" s="285"/>
      <c r="I12" s="285"/>
      <c r="J12" s="285"/>
      <c r="K12" s="285"/>
      <c r="L12" s="285"/>
      <c r="M12" s="285" t="s">
        <v>508</v>
      </c>
      <c r="N12" s="2240"/>
      <c r="O12" s="285" t="s">
        <v>1007</v>
      </c>
      <c r="P12" s="289"/>
      <c r="Q12" s="289"/>
      <c r="R12" s="289"/>
      <c r="S12" s="289"/>
      <c r="T12" s="1478"/>
      <c r="U12" s="1478"/>
      <c r="V12" s="289"/>
      <c r="W12" s="289"/>
    </row>
    <row r="13" spans="1:23" s="75" customFormat="1" ht="12" customHeight="1" x14ac:dyDescent="0.2">
      <c r="A13" s="288"/>
      <c r="B13" s="285"/>
      <c r="C13" s="285"/>
      <c r="D13" s="285"/>
      <c r="E13" s="286" t="str">
        <f>+TEXT(Data!$A$3,"mmmm d, yyyy")</f>
        <v>July 1, 2022</v>
      </c>
      <c r="F13" s="285"/>
      <c r="G13" s="287" t="s">
        <v>581</v>
      </c>
      <c r="H13" s="285"/>
      <c r="I13" s="287" t="s">
        <v>511</v>
      </c>
      <c r="J13" s="285"/>
      <c r="K13" s="287" t="s">
        <v>1008</v>
      </c>
      <c r="L13" s="285"/>
      <c r="M13" s="286" t="str">
        <f>+TEXT(Data!$A$2,"mmmm d, yyyy")</f>
        <v>June 30, 2023</v>
      </c>
      <c r="N13" s="2240"/>
      <c r="O13" s="287" t="s">
        <v>1009</v>
      </c>
      <c r="P13" s="289"/>
      <c r="Q13" s="289"/>
      <c r="R13" s="289"/>
      <c r="S13" s="289"/>
      <c r="T13" s="1478"/>
      <c r="U13" s="1478"/>
      <c r="V13" s="289"/>
      <c r="W13" s="289"/>
    </row>
    <row r="14" spans="1:23" s="75" customFormat="1" ht="12" customHeight="1" x14ac:dyDescent="0.2">
      <c r="A14" s="288"/>
      <c r="B14" s="285"/>
      <c r="C14" s="285"/>
      <c r="D14" s="285"/>
      <c r="E14" s="1470"/>
      <c r="F14" s="285"/>
      <c r="G14" s="1471" t="s">
        <v>585</v>
      </c>
      <c r="H14" s="1472"/>
      <c r="I14" s="1471" t="s">
        <v>1010</v>
      </c>
      <c r="J14" s="1472"/>
      <c r="K14" s="1471" t="s">
        <v>1011</v>
      </c>
      <c r="L14" s="1472"/>
      <c r="M14" s="1473"/>
      <c r="N14" s="1474"/>
      <c r="O14" s="1471" t="s">
        <v>1012</v>
      </c>
      <c r="P14" s="289"/>
      <c r="Q14" s="289"/>
      <c r="R14" s="289"/>
      <c r="S14" s="289"/>
      <c r="T14" s="1475"/>
      <c r="U14" s="1475"/>
      <c r="V14" s="289"/>
      <c r="W14" s="289"/>
    </row>
    <row r="15" spans="1:23" s="75" customFormat="1" ht="12" customHeight="1" x14ac:dyDescent="0.2">
      <c r="A15" s="288"/>
      <c r="B15" s="2240"/>
      <c r="C15" s="2240"/>
      <c r="D15" s="285"/>
      <c r="E15" s="285" t="s">
        <v>592</v>
      </c>
      <c r="F15" s="2240"/>
      <c r="G15" s="285" t="s">
        <v>593</v>
      </c>
      <c r="H15" s="2240"/>
      <c r="I15" s="285" t="s">
        <v>594</v>
      </c>
      <c r="J15" s="2240"/>
      <c r="K15" s="285" t="s">
        <v>595</v>
      </c>
      <c r="L15" s="2240"/>
      <c r="M15" s="285" t="s">
        <v>596</v>
      </c>
      <c r="N15" s="2240"/>
      <c r="O15" s="285" t="s">
        <v>597</v>
      </c>
      <c r="P15" s="289"/>
      <c r="Q15" s="289"/>
      <c r="R15" s="289"/>
      <c r="S15" s="289"/>
      <c r="T15" s="1478"/>
      <c r="U15" s="1478"/>
      <c r="V15" s="289"/>
      <c r="W15" s="289"/>
    </row>
    <row r="16" spans="1:23" s="75" customFormat="1" ht="14.1" customHeight="1" x14ac:dyDescent="0.2">
      <c r="A16" s="288"/>
      <c r="B16" s="2240" t="s">
        <v>1013</v>
      </c>
      <c r="C16" s="2240"/>
      <c r="D16" s="1764"/>
      <c r="E16" s="1476"/>
      <c r="F16" s="1476"/>
      <c r="G16" s="1476"/>
      <c r="H16" s="1476"/>
      <c r="I16" s="1476"/>
      <c r="J16" s="1476"/>
      <c r="K16" s="1476"/>
      <c r="L16" s="1476"/>
      <c r="M16" s="1476"/>
      <c r="N16" s="1476"/>
      <c r="O16" s="1476"/>
      <c r="P16" s="289"/>
      <c r="Q16" s="289"/>
      <c r="R16" s="289"/>
      <c r="S16" s="289"/>
      <c r="T16" s="1478"/>
      <c r="U16" s="1478"/>
      <c r="V16" s="289"/>
      <c r="W16" s="289"/>
    </row>
    <row r="17" spans="1:25" s="75" customFormat="1" ht="14.1" customHeight="1" x14ac:dyDescent="0.2">
      <c r="A17" s="289">
        <v>1</v>
      </c>
      <c r="B17" s="808" t="s">
        <v>1046</v>
      </c>
      <c r="C17" s="2240"/>
      <c r="D17" s="1759"/>
      <c r="E17" s="1410" t="str">
        <f>IFERROR(INDEX(PY905Data,MATCH($A17,PY905Row,0),MATCH($K$6,PY905Col,0)),"")</f>
        <v/>
      </c>
      <c r="F17" s="787"/>
      <c r="G17" s="1410"/>
      <c r="H17" s="787"/>
      <c r="I17" s="1410"/>
      <c r="J17" s="787"/>
      <c r="K17" s="1410"/>
      <c r="L17" s="787"/>
      <c r="M17" s="1760">
        <f t="shared" ref="M17:M42" si="0">IF(E17="",0,E17+G17+I17+K17)</f>
        <v>0</v>
      </c>
      <c r="N17" s="787"/>
      <c r="O17" s="1410"/>
      <c r="P17" s="289"/>
      <c r="Q17" s="289"/>
      <c r="R17" s="289"/>
      <c r="S17" s="288"/>
      <c r="T17" s="1478">
        <v>22610000</v>
      </c>
      <c r="U17" s="1479">
        <v>21610000</v>
      </c>
      <c r="V17" s="1476"/>
      <c r="W17" s="1476"/>
      <c r="X17" s="1476"/>
      <c r="Y17" s="1476"/>
    </row>
    <row r="18" spans="1:25" s="75" customFormat="1" ht="14.1" customHeight="1" x14ac:dyDescent="0.2">
      <c r="A18" s="289">
        <v>2</v>
      </c>
      <c r="B18" s="808" t="s">
        <v>1015</v>
      </c>
      <c r="C18" s="2240"/>
      <c r="D18" s="1759"/>
      <c r="E18" s="1410">
        <f>IFERROR(INDEX(PY905Data,MATCH($A18,PY905Row,0),MATCH($K$6,PY905Col,0)),0)</f>
        <v>0</v>
      </c>
      <c r="F18" s="787"/>
      <c r="G18" s="1410"/>
      <c r="H18" s="787"/>
      <c r="I18" s="1410"/>
      <c r="J18" s="787"/>
      <c r="K18" s="1410"/>
      <c r="L18" s="787"/>
      <c r="M18" s="1760">
        <f t="shared" si="0"/>
        <v>0</v>
      </c>
      <c r="N18" s="787"/>
      <c r="O18" s="1410"/>
      <c r="P18" s="289"/>
      <c r="Q18" s="289"/>
      <c r="R18" s="289"/>
      <c r="S18" s="288"/>
      <c r="T18" s="1478">
        <v>22610300</v>
      </c>
      <c r="U18" s="1479">
        <v>21610300</v>
      </c>
      <c r="V18" s="1476"/>
      <c r="W18" s="1476"/>
      <c r="X18" s="1476"/>
      <c r="Y18" s="1476"/>
    </row>
    <row r="19" spans="1:25" s="75" customFormat="1" ht="14.1" customHeight="1" x14ac:dyDescent="0.2">
      <c r="A19" s="289">
        <v>23</v>
      </c>
      <c r="B19" s="808" t="s">
        <v>1016</v>
      </c>
      <c r="C19" s="2240"/>
      <c r="D19" s="1759"/>
      <c r="E19" s="1410" t="str">
        <f>IFERROR(INDEX(PY905Data,MATCH($A19,PY905Row,0),MATCH($K$6,PY905Col,0)),"")</f>
        <v/>
      </c>
      <c r="F19" s="787"/>
      <c r="G19" s="1410"/>
      <c r="H19" s="787"/>
      <c r="I19" s="1410"/>
      <c r="J19" s="787"/>
      <c r="K19" s="1410"/>
      <c r="L19" s="787"/>
      <c r="M19" s="1760">
        <f t="shared" si="0"/>
        <v>0</v>
      </c>
      <c r="N19" s="787"/>
      <c r="O19" s="1410"/>
      <c r="P19" s="289"/>
      <c r="Q19" s="289"/>
      <c r="R19" s="289"/>
      <c r="S19" s="288"/>
      <c r="T19" s="1478">
        <v>22610400</v>
      </c>
      <c r="U19" s="1479">
        <v>21610400</v>
      </c>
      <c r="V19" s="1476"/>
      <c r="W19" s="1476"/>
      <c r="X19" s="1476"/>
      <c r="Y19" s="1476"/>
    </row>
    <row r="20" spans="1:25" s="75" customFormat="1" ht="14.1" customHeight="1" x14ac:dyDescent="0.2">
      <c r="A20" s="289">
        <v>3</v>
      </c>
      <c r="B20" s="808" t="s">
        <v>1017</v>
      </c>
      <c r="C20" s="2240"/>
      <c r="D20" s="1759"/>
      <c r="E20" s="1410" t="str">
        <f>IFERROR(INDEX(PY905Data,MATCH($A20,PY905Row,0),MATCH($K$6,PY905Col,0)),"")</f>
        <v/>
      </c>
      <c r="F20" s="787"/>
      <c r="G20" s="1765"/>
      <c r="H20" s="787"/>
      <c r="I20" s="1765"/>
      <c r="J20" s="787"/>
      <c r="K20" s="1765"/>
      <c r="L20" s="787"/>
      <c r="M20" s="1760">
        <f t="shared" si="0"/>
        <v>0</v>
      </c>
      <c r="N20" s="787"/>
      <c r="O20" s="1765"/>
      <c r="P20" s="289"/>
      <c r="Q20" s="289"/>
      <c r="R20" s="289"/>
      <c r="S20" s="288"/>
      <c r="T20" s="1478">
        <v>22610500</v>
      </c>
      <c r="U20" s="1479">
        <v>21610500</v>
      </c>
      <c r="V20" s="1476"/>
      <c r="W20" s="1476"/>
      <c r="X20" s="1476"/>
      <c r="Y20" s="1476"/>
    </row>
    <row r="21" spans="1:25" s="75" customFormat="1" ht="14.1" customHeight="1" x14ac:dyDescent="0.2">
      <c r="A21" s="289">
        <v>4</v>
      </c>
      <c r="B21" s="808" t="s">
        <v>1018</v>
      </c>
      <c r="C21" s="2240"/>
      <c r="D21" s="1759"/>
      <c r="E21" s="3034" t="str">
        <f>IFERROR(INDEX(PY905Data,MATCH($A21,PY905Row,0),MATCH($K$6,PY905Col,0)),"")</f>
        <v/>
      </c>
      <c r="F21" s="787"/>
      <c r="G21" s="1410"/>
      <c r="H21" s="787"/>
      <c r="I21" s="1410"/>
      <c r="J21" s="787"/>
      <c r="K21" s="1410"/>
      <c r="L21" s="787"/>
      <c r="M21" s="1760">
        <f t="shared" si="0"/>
        <v>0</v>
      </c>
      <c r="N21" s="787"/>
      <c r="O21" s="1410"/>
      <c r="P21" s="289"/>
      <c r="Q21" s="289"/>
      <c r="R21" s="289"/>
      <c r="S21" s="288"/>
      <c r="T21" s="1478">
        <v>22610600</v>
      </c>
      <c r="U21" s="1479">
        <v>21610600</v>
      </c>
      <c r="V21" s="1476"/>
      <c r="W21" s="1476"/>
      <c r="X21" s="1476"/>
      <c r="Y21" s="1476"/>
    </row>
    <row r="22" spans="1:25" s="75" customFormat="1" ht="14.1" customHeight="1" x14ac:dyDescent="0.2">
      <c r="A22" s="289">
        <v>5</v>
      </c>
      <c r="B22" s="2517" t="s">
        <v>1019</v>
      </c>
      <c r="C22" s="2517"/>
      <c r="D22" s="2517"/>
      <c r="E22" s="1410" t="str">
        <f>IFERROR(INDEX(PY905Data,MATCH($A22,PY905Row,0),MATCH($K$6,PY905Col,0)),"")</f>
        <v/>
      </c>
      <c r="F22" s="787"/>
      <c r="G22" s="1410"/>
      <c r="H22" s="787"/>
      <c r="I22" s="1410"/>
      <c r="J22" s="787"/>
      <c r="K22" s="1410"/>
      <c r="L22" s="787"/>
      <c r="M22" s="1760">
        <f t="shared" si="0"/>
        <v>0</v>
      </c>
      <c r="N22" s="787"/>
      <c r="O22" s="1046"/>
      <c r="P22" s="289"/>
      <c r="Q22" s="289"/>
      <c r="R22" s="289"/>
      <c r="S22" s="288"/>
      <c r="T22" s="1475">
        <v>22611000</v>
      </c>
      <c r="U22" s="1479"/>
      <c r="V22" s="1476"/>
      <c r="W22" s="1476"/>
      <c r="X22" s="1476"/>
      <c r="Y22" s="1476"/>
    </row>
    <row r="23" spans="1:25" s="75" customFormat="1" ht="14.1" customHeight="1" thickBot="1" x14ac:dyDescent="0.25">
      <c r="A23" s="289">
        <v>6</v>
      </c>
      <c r="B23" s="808" t="s">
        <v>1020</v>
      </c>
      <c r="C23" s="2240"/>
      <c r="D23" s="2240"/>
      <c r="E23" s="1761" t="str">
        <f>IFERROR(INDEX(PY905Data,MATCH($A23,PY905Row,0),MATCH($K$6,PY905Col,0)),"")</f>
        <v/>
      </c>
      <c r="F23" s="787"/>
      <c r="G23" s="1761"/>
      <c r="H23" s="787"/>
      <c r="I23" s="1761"/>
      <c r="J23" s="787"/>
      <c r="K23" s="1761"/>
      <c r="L23" s="787"/>
      <c r="M23" s="1762">
        <f t="shared" si="0"/>
        <v>0</v>
      </c>
      <c r="N23" s="787"/>
      <c r="O23" s="1763"/>
      <c r="P23" s="289"/>
      <c r="Q23" s="289"/>
      <c r="R23" s="289"/>
      <c r="S23" s="288"/>
      <c r="T23" s="1475">
        <v>22612000</v>
      </c>
      <c r="U23" s="1479"/>
      <c r="V23" s="1476"/>
      <c r="W23" s="1476"/>
      <c r="X23" s="1476"/>
      <c r="Y23" s="1476"/>
    </row>
    <row r="24" spans="1:25" s="75" customFormat="1" ht="14.1" customHeight="1" x14ac:dyDescent="0.2">
      <c r="A24" s="289">
        <v>7</v>
      </c>
      <c r="B24" s="2240" t="s">
        <v>1021</v>
      </c>
      <c r="C24" s="1758"/>
      <c r="D24" s="1759"/>
      <c r="E24" s="1410" t="str">
        <f>IFERROR(INDEX(PY905Data,MATCH($A24,PY905Row,0),MATCH($K$6,PY905Col,0)),"")</f>
        <v/>
      </c>
      <c r="F24" s="787"/>
      <c r="G24" s="1410"/>
      <c r="H24" s="787"/>
      <c r="I24" s="1410"/>
      <c r="J24" s="787"/>
      <c r="K24" s="1410"/>
      <c r="L24" s="787"/>
      <c r="M24" s="1760">
        <f t="shared" si="0"/>
        <v>0</v>
      </c>
      <c r="N24" s="787"/>
      <c r="O24" s="1410"/>
      <c r="P24" s="289"/>
      <c r="Q24" s="289"/>
      <c r="R24" s="289"/>
      <c r="S24" s="288"/>
      <c r="T24" s="1475">
        <v>22140000</v>
      </c>
      <c r="U24" s="1440">
        <v>21140000</v>
      </c>
      <c r="V24" s="1476"/>
      <c r="W24" s="1476"/>
      <c r="X24" s="1476"/>
      <c r="Y24" s="1476"/>
    </row>
    <row r="25" spans="1:25" s="75" customFormat="1" ht="14.1" customHeight="1" x14ac:dyDescent="0.2">
      <c r="A25" s="289">
        <v>8</v>
      </c>
      <c r="B25" s="2240" t="s">
        <v>1023</v>
      </c>
      <c r="C25" s="1758"/>
      <c r="D25" s="1759"/>
      <c r="E25" s="1410" t="str">
        <f>IFERROR(INDEX(PY905Data,MATCH($A25,PY905Row,0),MATCH($K$6,PY905Col,0)),"")</f>
        <v/>
      </c>
      <c r="F25" s="787"/>
      <c r="G25" s="1410"/>
      <c r="H25" s="787"/>
      <c r="I25" s="1410"/>
      <c r="J25" s="787"/>
      <c r="K25" s="1410"/>
      <c r="L25" s="787"/>
      <c r="M25" s="1760">
        <f t="shared" si="0"/>
        <v>0</v>
      </c>
      <c r="N25" s="787"/>
      <c r="O25" s="1410"/>
      <c r="P25" s="289"/>
      <c r="Q25" s="289"/>
      <c r="R25" s="289"/>
      <c r="S25" s="288"/>
      <c r="T25" s="1475">
        <v>22199000</v>
      </c>
      <c r="U25" s="1440">
        <v>21191000</v>
      </c>
      <c r="V25" s="1476"/>
      <c r="W25" s="1476"/>
      <c r="X25" s="1476"/>
      <c r="Y25" s="1476"/>
    </row>
    <row r="26" spans="1:25" s="75" customFormat="1" ht="14.1" customHeight="1" x14ac:dyDescent="0.2">
      <c r="A26" s="289">
        <v>22</v>
      </c>
      <c r="B26" s="2240" t="s">
        <v>1024</v>
      </c>
      <c r="C26" s="1758"/>
      <c r="D26" s="1759"/>
      <c r="E26" s="1410" t="str">
        <f>IFERROR(INDEX(PY905Data,MATCH($A26,PY905Row,0),MATCH($K$6,PY905Col,0)),"")</f>
        <v/>
      </c>
      <c r="F26" s="787"/>
      <c r="G26" s="1410"/>
      <c r="H26" s="787"/>
      <c r="I26" s="1410"/>
      <c r="J26" s="787"/>
      <c r="K26" s="1410"/>
      <c r="L26" s="787"/>
      <c r="M26" s="1760">
        <f t="shared" si="0"/>
        <v>0</v>
      </c>
      <c r="N26" s="787"/>
      <c r="O26" s="1410"/>
      <c r="P26" s="289"/>
      <c r="Q26" s="289"/>
      <c r="R26" s="289"/>
      <c r="S26" s="288"/>
      <c r="T26" s="1475">
        <v>22320000</v>
      </c>
      <c r="U26" s="1440">
        <v>21320000</v>
      </c>
      <c r="V26" s="1476"/>
      <c r="W26" s="1476"/>
      <c r="X26" s="1476"/>
      <c r="Y26" s="1476"/>
    </row>
    <row r="27" spans="1:25" s="75" customFormat="1" ht="14.1" customHeight="1" x14ac:dyDescent="0.2">
      <c r="A27" s="289">
        <v>10</v>
      </c>
      <c r="B27" s="2240" t="s">
        <v>1025</v>
      </c>
      <c r="C27" s="1758"/>
      <c r="D27" s="1764"/>
      <c r="E27" s="1410" t="str">
        <f>IFERROR(INDEX(PY905Data,MATCH($A27,PY905Row,0),MATCH($K$6,PY905Col,0)),"")</f>
        <v/>
      </c>
      <c r="F27" s="787"/>
      <c r="G27" s="1410"/>
      <c r="H27" s="787"/>
      <c r="I27" s="1410"/>
      <c r="J27" s="787"/>
      <c r="K27" s="1410"/>
      <c r="L27" s="787"/>
      <c r="M27" s="1760">
        <f t="shared" si="0"/>
        <v>0</v>
      </c>
      <c r="N27" s="787"/>
      <c r="O27" s="1410"/>
      <c r="P27" s="289"/>
      <c r="Q27" s="289"/>
      <c r="R27" s="289"/>
      <c r="S27" s="288"/>
      <c r="T27" s="1475">
        <v>22410000</v>
      </c>
      <c r="U27" s="1440">
        <v>21410000</v>
      </c>
      <c r="V27" s="1476"/>
      <c r="W27" s="1476"/>
      <c r="X27" s="1476"/>
      <c r="Y27" s="1476"/>
    </row>
    <row r="28" spans="1:25" s="75" customFormat="1" ht="14.1" customHeight="1" x14ac:dyDescent="0.2">
      <c r="A28" s="289"/>
      <c r="B28" s="2240" t="s">
        <v>1026</v>
      </c>
      <c r="C28" s="1758"/>
      <c r="D28" s="1764"/>
      <c r="E28" s="2105"/>
      <c r="F28" s="787"/>
      <c r="G28" s="1410"/>
      <c r="H28" s="787"/>
      <c r="I28" s="1410"/>
      <c r="J28" s="787"/>
      <c r="K28" s="1410"/>
      <c r="L28" s="787"/>
      <c r="M28" s="1760">
        <f t="shared" si="0"/>
        <v>0</v>
      </c>
      <c r="N28" s="787"/>
      <c r="O28" s="1410"/>
      <c r="P28" s="289"/>
      <c r="Q28" s="289"/>
      <c r="R28" s="289"/>
      <c r="S28" s="288"/>
      <c r="T28" s="1475">
        <v>22420000</v>
      </c>
      <c r="U28" s="1440">
        <v>21420000</v>
      </c>
      <c r="V28" s="1476"/>
      <c r="W28" s="1476"/>
      <c r="X28" s="1476"/>
      <c r="Y28" s="1476"/>
    </row>
    <row r="29" spans="1:25" s="75" customFormat="1" ht="14.1" customHeight="1" x14ac:dyDescent="0.2">
      <c r="A29" s="289">
        <v>11</v>
      </c>
      <c r="B29" s="2240" t="s">
        <v>1047</v>
      </c>
      <c r="C29" s="1758"/>
      <c r="D29" s="1764"/>
      <c r="E29" s="1410" t="str">
        <f>IFERROR(INDEX(PY905Data,MATCH($A29,PY905Row,0),MATCH($K$6,PY905Col,0)),"")</f>
        <v/>
      </c>
      <c r="F29" s="787"/>
      <c r="G29" s="1410"/>
      <c r="H29" s="787"/>
      <c r="I29" s="1410"/>
      <c r="J29" s="787"/>
      <c r="K29" s="1410"/>
      <c r="L29" s="787"/>
      <c r="M29" s="1760">
        <f t="shared" si="0"/>
        <v>0</v>
      </c>
      <c r="N29" s="787"/>
      <c r="O29" s="1410"/>
      <c r="P29" s="289"/>
      <c r="Q29" s="289"/>
      <c r="R29" s="289"/>
      <c r="S29" s="288"/>
      <c r="T29" s="1475">
        <v>22191500</v>
      </c>
      <c r="U29" s="1440">
        <v>21191500</v>
      </c>
      <c r="V29" s="1476"/>
      <c r="W29" s="1476"/>
      <c r="X29" s="1476"/>
      <c r="Y29" s="1476"/>
    </row>
    <row r="30" spans="1:25" s="75" customFormat="1" ht="14.1" customHeight="1" x14ac:dyDescent="0.2">
      <c r="A30" s="289">
        <v>12</v>
      </c>
      <c r="B30" s="2240" t="s">
        <v>1048</v>
      </c>
      <c r="C30" s="1758"/>
      <c r="D30" s="1764"/>
      <c r="E30" s="1410" t="str">
        <f>IFERROR(INDEX(PY905Data,MATCH($A30,PY905Row,0),MATCH($K$6,PY905Col,0)),"")</f>
        <v/>
      </c>
      <c r="F30" s="787"/>
      <c r="G30" s="1410"/>
      <c r="H30" s="787"/>
      <c r="I30" s="1410"/>
      <c r="J30" s="787"/>
      <c r="K30" s="1410"/>
      <c r="L30" s="787"/>
      <c r="M30" s="1760">
        <f t="shared" si="0"/>
        <v>0</v>
      </c>
      <c r="N30" s="787"/>
      <c r="O30" s="1410"/>
      <c r="P30" s="289"/>
      <c r="Q30" s="289"/>
      <c r="R30" s="289"/>
      <c r="S30" s="288"/>
      <c r="T30" s="1475">
        <v>22191800</v>
      </c>
      <c r="U30" s="1440">
        <v>21191800</v>
      </c>
      <c r="V30" s="1476"/>
      <c r="W30" s="1476"/>
      <c r="X30" s="1476"/>
      <c r="Y30" s="1476"/>
    </row>
    <row r="31" spans="1:25" s="75" customFormat="1" ht="14.1" customHeight="1" x14ac:dyDescent="0.2">
      <c r="A31" s="289">
        <v>13</v>
      </c>
      <c r="B31" s="2240" t="s">
        <v>1027</v>
      </c>
      <c r="C31" s="1758"/>
      <c r="D31" s="1764"/>
      <c r="E31" s="1410" t="str">
        <f>IFERROR(INDEX(PY905Data,MATCH($A31,PY905Row,0),MATCH($K$6,PY905Col,0)),"")</f>
        <v/>
      </c>
      <c r="F31" s="787"/>
      <c r="G31" s="1410"/>
      <c r="H31" s="787"/>
      <c r="I31" s="1410"/>
      <c r="J31" s="787"/>
      <c r="K31" s="1410"/>
      <c r="L31" s="787"/>
      <c r="M31" s="1760">
        <f t="shared" si="0"/>
        <v>0</v>
      </c>
      <c r="N31" s="787"/>
      <c r="O31" s="1410"/>
      <c r="P31" s="289"/>
      <c r="Q31" s="289"/>
      <c r="R31" s="289"/>
      <c r="S31" s="288"/>
      <c r="T31" s="1475">
        <v>22191900</v>
      </c>
      <c r="U31" s="1440">
        <v>21191900</v>
      </c>
      <c r="V31" s="1476"/>
      <c r="W31" s="1476"/>
      <c r="X31" s="1476"/>
      <c r="Y31" s="1476"/>
    </row>
    <row r="32" spans="1:25" s="75" customFormat="1" ht="14.1" customHeight="1" x14ac:dyDescent="0.2">
      <c r="A32" s="289">
        <v>25</v>
      </c>
      <c r="B32" s="2240" t="s">
        <v>1028</v>
      </c>
      <c r="C32" s="1758"/>
      <c r="D32" s="1764"/>
      <c r="E32" s="1410" t="str">
        <f>IFERROR(INDEX(PY905Data,MATCH($A32,PY905Row,0),MATCH($K$6,PY905Col,0)),"")</f>
        <v/>
      </c>
      <c r="F32" s="787"/>
      <c r="G32" s="1410"/>
      <c r="H32" s="787"/>
      <c r="I32" s="1410"/>
      <c r="J32" s="787"/>
      <c r="K32" s="1410"/>
      <c r="L32" s="787"/>
      <c r="M32" s="1760">
        <f t="shared" si="0"/>
        <v>0</v>
      </c>
      <c r="N32" s="787"/>
      <c r="O32" s="1410"/>
      <c r="P32" s="289"/>
      <c r="Q32" s="289"/>
      <c r="R32" s="289"/>
      <c r="S32" s="288"/>
      <c r="T32" s="1475">
        <v>22192500</v>
      </c>
      <c r="U32" s="1440">
        <v>21192500</v>
      </c>
      <c r="V32" s="1476"/>
      <c r="W32" s="1476"/>
      <c r="X32" s="1476"/>
      <c r="Y32" s="1476"/>
    </row>
    <row r="33" spans="1:25" s="75" customFormat="1" ht="14.1" customHeight="1" x14ac:dyDescent="0.2">
      <c r="A33" s="289">
        <v>14</v>
      </c>
      <c r="B33" s="2240" t="s">
        <v>1049</v>
      </c>
      <c r="C33" s="1758"/>
      <c r="D33" s="1764"/>
      <c r="E33" s="1410" t="str">
        <f>IFERROR(INDEX(PY905Data,MATCH($A33,PY905Row,0),MATCH($K$6,PY905Col,0)),"")</f>
        <v/>
      </c>
      <c r="F33" s="787"/>
      <c r="G33" s="1410"/>
      <c r="H33" s="787"/>
      <c r="I33" s="1410"/>
      <c r="J33" s="787"/>
      <c r="K33" s="1410"/>
      <c r="L33" s="787"/>
      <c r="M33" s="1760">
        <f t="shared" si="0"/>
        <v>0</v>
      </c>
      <c r="N33" s="787"/>
      <c r="O33" s="1765"/>
      <c r="P33" s="289"/>
      <c r="Q33" s="289"/>
      <c r="R33" s="289"/>
      <c r="S33" s="288"/>
      <c r="T33" s="1475">
        <v>22192000</v>
      </c>
      <c r="U33" s="1440">
        <v>21192000</v>
      </c>
      <c r="V33" s="1476"/>
      <c r="W33" s="1476"/>
      <c r="X33" s="1476"/>
      <c r="Y33" s="1476"/>
    </row>
    <row r="34" spans="1:25" s="75" customFormat="1" ht="14.1" customHeight="1" x14ac:dyDescent="0.2">
      <c r="A34" s="289">
        <v>15</v>
      </c>
      <c r="B34" s="2240" t="s">
        <v>1050</v>
      </c>
      <c r="C34" s="1758"/>
      <c r="D34" s="1764"/>
      <c r="E34" s="1410" t="str">
        <f>IFERROR(INDEX(PY905Data,MATCH($A34,PY905Row,0),MATCH($K$6,PY905Col,0)),"")</f>
        <v/>
      </c>
      <c r="F34" s="787"/>
      <c r="G34" s="1410"/>
      <c r="H34" s="787"/>
      <c r="I34" s="1410"/>
      <c r="J34" s="787"/>
      <c r="K34" s="1410"/>
      <c r="L34" s="787"/>
      <c r="M34" s="1760">
        <f t="shared" si="0"/>
        <v>0</v>
      </c>
      <c r="N34" s="787"/>
      <c r="O34" s="1765"/>
      <c r="P34" s="289"/>
      <c r="Q34" s="289"/>
      <c r="R34" s="289"/>
      <c r="S34" s="288"/>
      <c r="T34" s="1475">
        <v>22915000</v>
      </c>
      <c r="U34" s="1440">
        <v>21915000</v>
      </c>
      <c r="V34" s="1476"/>
      <c r="W34" s="1476"/>
      <c r="X34" s="1476"/>
      <c r="Y34" s="1476"/>
    </row>
    <row r="35" spans="1:25" s="75" customFormat="1" ht="14.1" customHeight="1" x14ac:dyDescent="0.2">
      <c r="A35" s="289">
        <v>21</v>
      </c>
      <c r="B35" s="2240" t="s">
        <v>1051</v>
      </c>
      <c r="C35" s="1758"/>
      <c r="D35" s="1764"/>
      <c r="E35" s="1410" t="str">
        <f>IFERROR(INDEX(PY905Data,MATCH($A35,PY905Row,0),MATCH($K$6,PY905Col,0)),"")</f>
        <v/>
      </c>
      <c r="F35" s="787"/>
      <c r="G35" s="1410"/>
      <c r="H35" s="787"/>
      <c r="I35" s="1410"/>
      <c r="J35" s="787"/>
      <c r="K35" s="1410"/>
      <c r="L35" s="787"/>
      <c r="M35" s="1760">
        <f t="shared" si="0"/>
        <v>0</v>
      </c>
      <c r="N35" s="787"/>
      <c r="O35" s="1765"/>
      <c r="P35" s="289"/>
      <c r="Q35" s="289"/>
      <c r="R35" s="289"/>
      <c r="S35" s="288"/>
      <c r="T35" s="1475">
        <v>22916000</v>
      </c>
      <c r="U35" s="1440">
        <v>21915100</v>
      </c>
      <c r="V35" s="1476"/>
      <c r="W35" s="1476"/>
      <c r="X35" s="1476"/>
      <c r="Y35" s="1476"/>
    </row>
    <row r="36" spans="1:25" s="75" customFormat="1" ht="14.1" customHeight="1" x14ac:dyDescent="0.2">
      <c r="A36" s="289">
        <v>16</v>
      </c>
      <c r="B36" s="2240" t="s">
        <v>1052</v>
      </c>
      <c r="C36" s="1758"/>
      <c r="D36" s="1764"/>
      <c r="E36" s="1410" t="str">
        <f>IFERROR(INDEX(PY905Data,MATCH($A36,PY905Row,0),MATCH($K$6,PY905Col,0)),"")</f>
        <v/>
      </c>
      <c r="F36" s="787"/>
      <c r="G36" s="1410"/>
      <c r="H36" s="787"/>
      <c r="I36" s="1410"/>
      <c r="J36" s="787"/>
      <c r="K36" s="1410"/>
      <c r="L36" s="787"/>
      <c r="M36" s="1760">
        <f t="shared" si="0"/>
        <v>0</v>
      </c>
      <c r="N36" s="787"/>
      <c r="O36" s="1765"/>
      <c r="P36" s="289"/>
      <c r="Q36" s="289"/>
      <c r="R36" s="289"/>
      <c r="S36" s="288"/>
      <c r="T36" s="1440">
        <v>22529100</v>
      </c>
      <c r="U36" s="1440">
        <v>21529100</v>
      </c>
      <c r="V36" s="1476"/>
      <c r="W36" s="1476"/>
      <c r="X36" s="1476"/>
      <c r="Y36" s="1476"/>
    </row>
    <row r="37" spans="1:25" s="75" customFormat="1" ht="14.1" customHeight="1" x14ac:dyDescent="0.25">
      <c r="A37" s="289">
        <v>17</v>
      </c>
      <c r="B37" s="2240" t="s">
        <v>1053</v>
      </c>
      <c r="C37" s="1758"/>
      <c r="D37" s="1764"/>
      <c r="E37" s="1410" t="str">
        <f>IFERROR(INDEX(PY905Data,MATCH($A37,PY905Row,0),MATCH($K$6,PY905Col,0)),"")</f>
        <v/>
      </c>
      <c r="F37" s="787"/>
      <c r="G37" s="1410"/>
      <c r="H37" s="787"/>
      <c r="I37" s="1410"/>
      <c r="J37" s="787"/>
      <c r="K37" s="1410"/>
      <c r="L37" s="787"/>
      <c r="M37" s="1760">
        <f t="shared" si="0"/>
        <v>0</v>
      </c>
      <c r="N37" s="787"/>
      <c r="O37" s="1765"/>
      <c r="P37" s="289"/>
      <c r="Q37" s="289"/>
      <c r="R37" s="289"/>
      <c r="S37" s="288"/>
      <c r="T37" s="1475"/>
      <c r="U37" s="1475"/>
      <c r="V37" s="1476"/>
      <c r="W37" s="1476"/>
      <c r="X37" s="1476"/>
      <c r="Y37" s="1476"/>
    </row>
    <row r="38" spans="1:25" s="75" customFormat="1" ht="25.5" customHeight="1" x14ac:dyDescent="0.2">
      <c r="A38" s="288">
        <v>18</v>
      </c>
      <c r="B38" s="2516" t="s">
        <v>1033</v>
      </c>
      <c r="C38" s="2516"/>
      <c r="D38" s="2516"/>
      <c r="E38" s="1410" t="str">
        <f>IFERROR(INDEX(PY905Data,MATCH($A38,PY905Row,0),MATCH($K$6,PY905Col,0)),"")</f>
        <v/>
      </c>
      <c r="F38" s="787"/>
      <c r="G38" s="1410"/>
      <c r="H38" s="787"/>
      <c r="I38" s="1410"/>
      <c r="J38" s="787"/>
      <c r="K38" s="1410"/>
      <c r="L38" s="787"/>
      <c r="M38" s="1760">
        <f t="shared" si="0"/>
        <v>0</v>
      </c>
      <c r="N38" s="787"/>
      <c r="O38" s="1046"/>
      <c r="P38" s="289"/>
      <c r="Q38" s="289"/>
      <c r="R38" s="289"/>
      <c r="S38" s="289"/>
      <c r="T38" s="1475">
        <v>21910000</v>
      </c>
      <c r="U38" s="1440"/>
      <c r="V38" s="289"/>
      <c r="W38" s="289"/>
      <c r="X38" s="289"/>
      <c r="Y38" s="289"/>
    </row>
    <row r="39" spans="1:25" s="75" customFormat="1" ht="14.1" customHeight="1" x14ac:dyDescent="0.2">
      <c r="A39" s="288">
        <v>19</v>
      </c>
      <c r="B39" s="808" t="s">
        <v>1034</v>
      </c>
      <c r="C39" s="1758"/>
      <c r="D39" s="1759"/>
      <c r="E39" s="1410" t="str">
        <f>IFERROR(INDEX(PY905Data,MATCH($A39,PY905Row,0),MATCH($K$6,PY905Col,0)),"")</f>
        <v/>
      </c>
      <c r="F39" s="787"/>
      <c r="G39" s="1410"/>
      <c r="H39" s="787"/>
      <c r="I39" s="1410"/>
      <c r="J39" s="787"/>
      <c r="K39" s="1410"/>
      <c r="L39" s="787"/>
      <c r="M39" s="1760">
        <f t="shared" si="0"/>
        <v>0</v>
      </c>
      <c r="N39" s="787"/>
      <c r="O39" s="1768"/>
      <c r="P39" s="289"/>
      <c r="Q39" s="289"/>
      <c r="R39" s="289"/>
      <c r="S39" s="289"/>
      <c r="T39" s="1475">
        <v>21910100</v>
      </c>
      <c r="U39" s="1475"/>
      <c r="V39" s="289"/>
      <c r="W39" s="289"/>
      <c r="X39" s="289"/>
      <c r="Y39" s="289"/>
    </row>
    <row r="40" spans="1:25" s="75" customFormat="1" ht="14.1" customHeight="1" x14ac:dyDescent="0.2">
      <c r="A40" s="288">
        <v>26</v>
      </c>
      <c r="B40" s="808" t="s">
        <v>1024</v>
      </c>
      <c r="C40" s="1758"/>
      <c r="D40" s="1759"/>
      <c r="E40" s="1410" t="str">
        <f>IFERROR(INDEX(PY905Data,MATCH($A40,PY905Row,0),MATCH($K$6,PY905Col,0)),"")</f>
        <v/>
      </c>
      <c r="F40" s="787"/>
      <c r="G40" s="1410"/>
      <c r="H40" s="787"/>
      <c r="I40" s="1410"/>
      <c r="J40" s="787"/>
      <c r="K40" s="1410"/>
      <c r="L40" s="787"/>
      <c r="M40" s="1760">
        <f t="shared" si="0"/>
        <v>0</v>
      </c>
      <c r="N40" s="787"/>
      <c r="O40" s="1768"/>
      <c r="P40" s="289"/>
      <c r="Q40" s="289"/>
      <c r="R40" s="289"/>
      <c r="S40" s="289"/>
      <c r="T40" s="1475" t="s">
        <v>1035</v>
      </c>
      <c r="U40" s="1475"/>
      <c r="V40" s="289"/>
      <c r="W40" s="289"/>
      <c r="X40" s="289"/>
      <c r="Y40" s="289"/>
    </row>
    <row r="41" spans="1:25" s="75" customFormat="1" ht="14.1" customHeight="1" x14ac:dyDescent="0.2">
      <c r="A41" s="288">
        <v>27</v>
      </c>
      <c r="B41" s="808" t="s">
        <v>1016</v>
      </c>
      <c r="C41" s="1758"/>
      <c r="D41" s="1759"/>
      <c r="E41" s="1410" t="str">
        <f>IFERROR(INDEX(PY905Data,MATCH($A41,PY905Row,0),MATCH($K$6,PY905Col,0)),"")</f>
        <v/>
      </c>
      <c r="F41" s="787"/>
      <c r="G41" s="1410"/>
      <c r="H41" s="787"/>
      <c r="I41" s="1410"/>
      <c r="J41" s="787"/>
      <c r="K41" s="1410"/>
      <c r="L41" s="787"/>
      <c r="M41" s="1760">
        <f t="shared" si="0"/>
        <v>0</v>
      </c>
      <c r="N41" s="787"/>
      <c r="O41" s="1768"/>
      <c r="P41" s="289"/>
      <c r="Q41" s="289"/>
      <c r="R41" s="289"/>
      <c r="S41" s="289"/>
      <c r="T41" s="1475" t="s">
        <v>1036</v>
      </c>
      <c r="U41" s="1475"/>
      <c r="V41" s="289"/>
      <c r="W41" s="289"/>
      <c r="X41" s="289"/>
      <c r="Y41" s="289"/>
    </row>
    <row r="42" spans="1:25" s="75" customFormat="1" ht="14.1" customHeight="1" x14ac:dyDescent="0.2">
      <c r="A42" s="288">
        <v>20</v>
      </c>
      <c r="B42" s="808" t="s">
        <v>1037</v>
      </c>
      <c r="C42" s="1758"/>
      <c r="D42" s="1759"/>
      <c r="E42" s="1410" t="str">
        <f>IFERROR(INDEX(PY905Data,MATCH($A42,PY905Row,0),MATCH($K$6,PY905Col,0)),"")</f>
        <v/>
      </c>
      <c r="F42" s="787"/>
      <c r="G42" s="1410"/>
      <c r="H42" s="787"/>
      <c r="I42" s="1410"/>
      <c r="J42" s="787"/>
      <c r="K42" s="1410"/>
      <c r="L42" s="787"/>
      <c r="M42" s="1760">
        <f t="shared" si="0"/>
        <v>0</v>
      </c>
      <c r="N42" s="787"/>
      <c r="O42" s="1768"/>
      <c r="P42" s="289"/>
      <c r="Q42" s="289"/>
      <c r="R42" s="289"/>
      <c r="S42" s="289"/>
      <c r="T42" s="1475">
        <v>21910200</v>
      </c>
      <c r="U42" s="1475"/>
      <c r="V42" s="289"/>
      <c r="W42" s="289"/>
      <c r="X42" s="289"/>
      <c r="Y42" s="289"/>
    </row>
    <row r="43" spans="1:25" ht="21" customHeight="1" x14ac:dyDescent="0.2">
      <c r="B43" s="289" t="s">
        <v>1054</v>
      </c>
      <c r="T43" s="1475"/>
      <c r="U43" s="1475"/>
    </row>
    <row r="44" spans="1:25" ht="5.0999999999999996" customHeight="1" x14ac:dyDescent="0.2">
      <c r="T44" s="1475"/>
      <c r="U44" s="1475"/>
    </row>
    <row r="45" spans="1:25" x14ac:dyDescent="0.2">
      <c r="B45" s="427" t="s">
        <v>1055</v>
      </c>
      <c r="C45" s="187"/>
      <c r="D45" s="500"/>
      <c r="E45" s="187"/>
      <c r="F45" s="187"/>
      <c r="G45" s="187"/>
      <c r="H45" s="456"/>
      <c r="I45" s="501" t="s">
        <v>339</v>
      </c>
      <c r="J45" s="205"/>
      <c r="K45" s="2344"/>
      <c r="L45" s="205"/>
      <c r="M45" s="501" t="s">
        <v>340</v>
      </c>
      <c r="N45" s="500"/>
      <c r="O45" s="2344"/>
    </row>
    <row r="49" spans="1:3" ht="15" x14ac:dyDescent="0.2">
      <c r="A49" s="1483" t="str">
        <f ca="1">MID(CELL("filename",A1),FIND("]",CELL("filename",A1))+1,256)</f>
        <v>310</v>
      </c>
      <c r="B49" s="445" t="s">
        <v>636</v>
      </c>
      <c r="C49" s="1483"/>
    </row>
    <row r="50" spans="1:3" ht="15" x14ac:dyDescent="0.2">
      <c r="A50" s="1483" t="s">
        <v>380</v>
      </c>
      <c r="B50" s="445" t="str">
        <f t="shared" ref="B50:B59" ca="1" si="1">IF(ISNA(INDEX(ErrorTable,MATCH($A$49&amp;$A50&amp;FALSE,ErrorKey,0),6)),"",INDEX(ErrorTable,MATCH($A$49&amp;$A50&amp;FALSE,ErrorKey,0),6))</f>
        <v>Compensated absences must have additions and deletions.</v>
      </c>
      <c r="C50" s="1483"/>
    </row>
    <row r="51" spans="1:3" ht="15" x14ac:dyDescent="0.2">
      <c r="A51" s="1483" t="s">
        <v>381</v>
      </c>
      <c r="B51" s="445" t="str">
        <f t="shared" ca="1" si="1"/>
        <v>GASB number is blank.</v>
      </c>
      <c r="C51" s="1483"/>
    </row>
    <row r="52" spans="1:3" ht="15" x14ac:dyDescent="0.2">
      <c r="A52" s="1483" t="s">
        <v>382</v>
      </c>
      <c r="B52" s="445" t="str">
        <f t="shared" ca="1" si="1"/>
        <v/>
      </c>
      <c r="C52" s="1483"/>
    </row>
    <row r="53" spans="1:3" ht="15" x14ac:dyDescent="0.2">
      <c r="A53" s="1483" t="s">
        <v>383</v>
      </c>
      <c r="B53" s="445" t="str">
        <f t="shared" ca="1" si="1"/>
        <v/>
      </c>
      <c r="C53" s="1483"/>
    </row>
    <row r="54" spans="1:3" ht="15" x14ac:dyDescent="0.2">
      <c r="A54" s="1483" t="s">
        <v>384</v>
      </c>
      <c r="B54" s="445" t="str">
        <f t="shared" ca="1" si="1"/>
        <v/>
      </c>
      <c r="C54" s="1483"/>
    </row>
    <row r="55" spans="1:3" ht="15" x14ac:dyDescent="0.2">
      <c r="A55" s="1483" t="s">
        <v>385</v>
      </c>
      <c r="B55" s="445" t="str">
        <f t="shared" ca="1" si="1"/>
        <v/>
      </c>
      <c r="C55" s="1483"/>
    </row>
    <row r="56" spans="1:3" ht="15" x14ac:dyDescent="0.2">
      <c r="A56" s="1483" t="s">
        <v>386</v>
      </c>
      <c r="B56" s="445" t="str">
        <f t="shared" ca="1" si="1"/>
        <v/>
      </c>
      <c r="C56" s="1483"/>
    </row>
    <row r="57" spans="1:3" ht="15" x14ac:dyDescent="0.2">
      <c r="A57" s="1483" t="s">
        <v>387</v>
      </c>
      <c r="B57" s="445" t="str">
        <f t="shared" ca="1" si="1"/>
        <v/>
      </c>
      <c r="C57" s="1483"/>
    </row>
    <row r="58" spans="1:3" ht="15" x14ac:dyDescent="0.2">
      <c r="A58" s="1483" t="s">
        <v>388</v>
      </c>
      <c r="B58" s="445" t="str">
        <f t="shared" ca="1" si="1"/>
        <v/>
      </c>
      <c r="C58" s="1483"/>
    </row>
    <row r="59" spans="1:3" ht="15" x14ac:dyDescent="0.2">
      <c r="A59" s="1483" t="s">
        <v>389</v>
      </c>
      <c r="B59" s="445" t="str">
        <f t="shared" ca="1" si="1"/>
        <v/>
      </c>
      <c r="C59" s="1483"/>
    </row>
  </sheetData>
  <sheetProtection algorithmName="SHA-512" hashValue="cUEYjLt2rxAreJOnn0NrRbGSXU273o8bawJ3qwkeVBbpz1kynJc0+tJeaBNr+d8Rk/4DiKkMAbsrzW7jUF/ijA==" saltValue="5AfCn2R61HLMSiI1jtf1rw==" spinCount="100000" sheet="1" objects="1" scenarios="1" autoFilter="0"/>
  <customSheetViews>
    <customSheetView guid="{9FCFC836-1CA5-48BF-958D-24D2EA94B219}" showGridLines="0" fitToPage="1" hiddenColumns="1" topLeftCell="B1">
      <selection activeCell="B35" sqref="A35:IV35"/>
      <pageMargins left="0" right="0" top="0" bottom="0" header="0" footer="0"/>
      <pageSetup scale="97" orientation="landscape" r:id="rId1"/>
      <headerFooter alignWithMargins="0">
        <oddFooter>&amp;R&amp;A</oddFooter>
      </headerFooter>
    </customSheetView>
    <customSheetView guid="{B08879A4-635B-4C39-9937-AC7883D562FC}" showGridLines="0" fitToPage="1" hiddenColumns="1" topLeftCell="B1">
      <selection activeCell="B35" sqref="A35:IV35"/>
      <pageMargins left="0" right="0" top="0" bottom="0" header="0" footer="0"/>
      <pageSetup scale="97" orientation="landscape" r:id="rId2"/>
      <headerFooter alignWithMargins="0">
        <oddFooter>&amp;R&amp;A</oddFooter>
      </headerFooter>
    </customSheetView>
  </customSheetViews>
  <mergeCells count="13">
    <mergeCell ref="B1:O1"/>
    <mergeCell ref="P1:P3"/>
    <mergeCell ref="B2:O2"/>
    <mergeCell ref="B3:O3"/>
    <mergeCell ref="I5:O5"/>
    <mergeCell ref="B38:D38"/>
    <mergeCell ref="B4:O4"/>
    <mergeCell ref="K6:O6"/>
    <mergeCell ref="E7:E8"/>
    <mergeCell ref="K7:O7"/>
    <mergeCell ref="K8:O8"/>
    <mergeCell ref="K9:O9"/>
    <mergeCell ref="B22:D22"/>
  </mergeCells>
  <phoneticPr fontId="16" type="noConversion"/>
  <conditionalFormatting sqref="P1:P5">
    <cfRule type="cellIs" dxfId="130" priority="1" stopIfTrue="1" operator="equal">
      <formula>"na"</formula>
    </cfRule>
  </conditionalFormatting>
  <dataValidations count="6">
    <dataValidation type="decimal" operator="lessThan" allowBlank="1" showErrorMessage="1" errorTitle="Deletions Error" error="Deletions must be entered as negative numbers." sqref="K43 K16" xr:uid="{00000000-0002-0000-0D00-000000000000}">
      <formula1>0</formula1>
    </dataValidation>
    <dataValidation type="decimal" operator="lessThanOrEqual" allowBlank="1" showInputMessage="1" showErrorMessage="1" errorTitle="Invalid data!" error="Amount must be negative." sqref="K17:K21 I22 K23:K42" xr:uid="{00000000-0002-0000-0D00-000001000000}">
      <formula1>0</formula1>
    </dataValidation>
    <dataValidation type="decimal" operator="greaterThanOrEqual" allowBlank="1" showInputMessage="1" showErrorMessage="1" errorTitle="Invalid data!" error="Amount must be positive." sqref="I17:I21 K22 I23:I42" xr:uid="{00000000-0002-0000-0D00-000002000000}">
      <formula1>0</formula1>
    </dataValidation>
    <dataValidation type="textLength" operator="equal" allowBlank="1" showInputMessage="1" showErrorMessage="1" errorTitle="Invalid data!" error="GASB number must be 4 digits." sqref="D8:D9" xr:uid="{00000000-0002-0000-0D00-000003000000}">
      <formula1>4</formula1>
    </dataValidation>
    <dataValidation type="decimal" operator="equal" allowBlank="1" showInputMessage="1" showErrorMessage="1" errorTitle="Invalid Data!" error="The current portion of the net pension liability must be zero." sqref="O34" xr:uid="{00000000-0002-0000-0D00-000004000000}">
      <formula1>0</formula1>
    </dataValidation>
    <dataValidation type="decimal" operator="equal" allowBlank="1" showInputMessage="1" showErrorMessage="1" errorTitle="Invalid Data!" error="The current portion of the net OPEB liability must be zero." sqref="O35" xr:uid="{00000000-0002-0000-0D00-000005000000}">
      <formula1>0</formula1>
    </dataValidation>
  </dataValidations>
  <hyperlinks>
    <hyperlink ref="B1:O1" location="Index!A1" display="Index!A1" xr:uid="{00000000-0004-0000-0D00-000000000000}"/>
  </hyperlinks>
  <pageMargins left="0.6" right="0.6" top="0.5" bottom="0.5" header="0.3" footer="0.3"/>
  <pageSetup scale="81" orientation="landscape"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AE106"/>
  <sheetViews>
    <sheetView showGridLines="0" topLeftCell="B1" zoomScaleNormal="100" zoomScaleSheetLayoutView="100" workbookViewId="0">
      <selection activeCell="D8" sqref="D8:E8"/>
    </sheetView>
  </sheetViews>
  <sheetFormatPr defaultColWidth="9.42578125" defaultRowHeight="11.25" x14ac:dyDescent="0.2"/>
  <cols>
    <col min="1" max="1" width="0.42578125" style="261" hidden="1" customWidth="1"/>
    <col min="2" max="2" width="2.5703125" style="15" customWidth="1"/>
    <col min="3" max="3" width="6.5703125" style="15" customWidth="1"/>
    <col min="4" max="4" width="5.5703125" style="15" customWidth="1"/>
    <col min="5" max="5" width="11" style="15" customWidth="1"/>
    <col min="6" max="6" width="3.5703125" style="15" customWidth="1"/>
    <col min="7" max="7" width="16.5703125" style="15" customWidth="1"/>
    <col min="8" max="8" width="1.5703125" style="15" customWidth="1"/>
    <col min="9" max="9" width="16.5703125" style="15" customWidth="1"/>
    <col min="10" max="15" width="3.5703125" style="15" customWidth="1"/>
    <col min="16" max="16" width="2.5703125" style="15" customWidth="1"/>
    <col min="17" max="17" width="4.5703125" style="15" customWidth="1"/>
    <col min="18" max="18" width="0" style="15" hidden="1" customWidth="1"/>
    <col min="19" max="20" width="9.42578125" style="15" hidden="1" customWidth="1"/>
    <col min="21" max="22" width="9.42578125" style="15"/>
    <col min="23" max="23" width="9.42578125" style="1482"/>
    <col min="24" max="16384" width="9.42578125" style="15"/>
  </cols>
  <sheetData>
    <row r="1" spans="1:31" s="12" customFormat="1" ht="15" customHeight="1" x14ac:dyDescent="0.25">
      <c r="A1" s="260"/>
      <c r="B1" s="2455" t="str">
        <f>+Index!$A$1</f>
        <v xml:space="preserve">                                                               Office of the State Controller                                                                </v>
      </c>
      <c r="C1" s="2455"/>
      <c r="D1" s="2455"/>
      <c r="E1" s="2455"/>
      <c r="F1" s="2455"/>
      <c r="G1" s="2455"/>
      <c r="H1" s="2455"/>
      <c r="I1" s="2455"/>
      <c r="J1" s="2455"/>
      <c r="K1" s="2455"/>
      <c r="L1" s="2455"/>
      <c r="M1" s="2455"/>
      <c r="N1" s="2455"/>
      <c r="O1" s="2455"/>
      <c r="P1" s="2455"/>
      <c r="Q1" s="2520" t="str">
        <f>IF(Index!$B$34="na","NA","")</f>
        <v/>
      </c>
      <c r="W1" s="1480"/>
      <c r="AE1" s="13"/>
    </row>
    <row r="2" spans="1:31" s="12" customFormat="1" ht="15" customHeight="1" x14ac:dyDescent="0.25">
      <c r="A2" s="260"/>
      <c r="B2" s="2511" t="str">
        <f>+Index!$A$2</f>
        <v>2023 ACFR Worksheets</v>
      </c>
      <c r="C2" s="2511"/>
      <c r="D2" s="2511"/>
      <c r="E2" s="2511"/>
      <c r="F2" s="2511"/>
      <c r="G2" s="2511"/>
      <c r="H2" s="2511"/>
      <c r="I2" s="2511"/>
      <c r="J2" s="2511"/>
      <c r="K2" s="2511"/>
      <c r="L2" s="2511"/>
      <c r="M2" s="2511"/>
      <c r="N2" s="2511"/>
      <c r="O2" s="2511"/>
      <c r="P2" s="2511"/>
      <c r="Q2" s="2520"/>
      <c r="W2" s="1480"/>
    </row>
    <row r="3" spans="1:31" s="12" customFormat="1" ht="15" customHeight="1" x14ac:dyDescent="0.25">
      <c r="A3" s="260"/>
      <c r="B3" s="2511" t="s">
        <v>1056</v>
      </c>
      <c r="C3" s="2547"/>
      <c r="D3" s="2547"/>
      <c r="E3" s="2547"/>
      <c r="F3" s="2547"/>
      <c r="G3" s="2547"/>
      <c r="H3" s="2547"/>
      <c r="I3" s="2547"/>
      <c r="J3" s="2547"/>
      <c r="K3" s="2547"/>
      <c r="L3" s="2547"/>
      <c r="M3" s="2547"/>
      <c r="N3" s="2547"/>
      <c r="O3" s="2547"/>
      <c r="P3" s="2547"/>
      <c r="Q3" s="2520"/>
      <c r="W3" s="1480"/>
    </row>
    <row r="4" spans="1:31" s="12" customFormat="1" ht="15" customHeight="1" x14ac:dyDescent="0.25">
      <c r="A4" s="260"/>
      <c r="B4" s="2511" t="s">
        <v>1057</v>
      </c>
      <c r="C4" s="2511"/>
      <c r="D4" s="2511"/>
      <c r="E4" s="2511"/>
      <c r="F4" s="2511"/>
      <c r="G4" s="2511"/>
      <c r="H4" s="2511"/>
      <c r="I4" s="2511"/>
      <c r="J4" s="2511"/>
      <c r="K4" s="2511"/>
      <c r="L4" s="2511"/>
      <c r="M4" s="2511"/>
      <c r="N4" s="2511"/>
      <c r="O4" s="2511"/>
      <c r="P4" s="2511"/>
      <c r="Q4" s="284"/>
      <c r="W4" s="1480"/>
    </row>
    <row r="5" spans="1:31" s="12" customFormat="1" ht="15" customHeight="1" x14ac:dyDescent="0.25">
      <c r="A5" s="260"/>
      <c r="B5" s="2511" t="s">
        <v>1058</v>
      </c>
      <c r="C5" s="2511"/>
      <c r="D5" s="2511"/>
      <c r="E5" s="2511"/>
      <c r="F5" s="2511"/>
      <c r="G5" s="2511"/>
      <c r="H5" s="2511"/>
      <c r="I5" s="2511"/>
      <c r="J5" s="2511"/>
      <c r="K5" s="2511"/>
      <c r="L5" s="2511"/>
      <c r="M5" s="2511"/>
      <c r="N5" s="2511"/>
      <c r="O5" s="2511"/>
      <c r="P5" s="2511"/>
      <c r="Q5" s="284"/>
      <c r="W5" s="1480"/>
    </row>
    <row r="6" spans="1:31" s="75" customFormat="1" ht="12" customHeight="1" x14ac:dyDescent="0.2">
      <c r="A6" s="2308"/>
      <c r="B6" s="289"/>
      <c r="C6" s="289"/>
      <c r="D6" s="289"/>
      <c r="E6" s="289"/>
      <c r="F6" s="289"/>
      <c r="G6" s="2512" t="s">
        <v>1059</v>
      </c>
      <c r="H6" s="2512"/>
      <c r="I6" s="2512"/>
      <c r="J6" s="2512"/>
      <c r="K6" s="2512"/>
      <c r="L6" s="2512"/>
      <c r="M6" s="2512"/>
      <c r="N6" s="2512"/>
      <c r="O6" s="2512"/>
      <c r="P6" s="2512"/>
      <c r="Q6" s="289"/>
      <c r="R6" s="289"/>
      <c r="S6" s="289"/>
      <c r="T6" s="289"/>
      <c r="U6" s="289"/>
      <c r="V6" s="289"/>
      <c r="W6" s="1475"/>
      <c r="X6" s="289"/>
      <c r="Y6" s="289"/>
      <c r="Z6" s="289"/>
      <c r="AA6" s="289"/>
      <c r="AB6" s="289"/>
      <c r="AC6" s="289"/>
      <c r="AD6" s="289"/>
      <c r="AE6" s="289"/>
    </row>
    <row r="7" spans="1:31" s="75" customFormat="1" ht="12" customHeight="1" x14ac:dyDescent="0.2">
      <c r="A7" s="2308"/>
      <c r="B7" s="289"/>
      <c r="C7" s="289"/>
      <c r="D7" s="289"/>
      <c r="E7" s="288"/>
      <c r="F7" s="289"/>
      <c r="G7" s="289"/>
      <c r="H7" s="1754" t="s">
        <v>317</v>
      </c>
      <c r="I7" s="2492" t="str">
        <f>+Index!$E$10</f>
        <v>01</v>
      </c>
      <c r="J7" s="2492"/>
      <c r="K7" s="2492"/>
      <c r="L7" s="2492"/>
      <c r="M7" s="2492"/>
      <c r="N7" s="2492"/>
      <c r="O7" s="2492"/>
      <c r="P7" s="2492"/>
      <c r="Q7" s="21"/>
      <c r="R7" s="289"/>
      <c r="S7" s="289"/>
      <c r="T7" s="289"/>
      <c r="U7" s="289"/>
      <c r="V7" s="289"/>
      <c r="W7" s="1475"/>
      <c r="X7" s="289"/>
      <c r="Y7" s="289"/>
      <c r="Z7" s="289"/>
      <c r="AA7" s="289"/>
      <c r="AB7" s="289"/>
      <c r="AC7" s="289"/>
      <c r="AD7" s="289"/>
      <c r="AE7" s="289"/>
    </row>
    <row r="8" spans="1:31" s="75" customFormat="1" ht="12" customHeight="1" x14ac:dyDescent="0.2">
      <c r="A8" s="2308"/>
      <c r="B8" s="289"/>
      <c r="C8" s="1481" t="s">
        <v>963</v>
      </c>
      <c r="D8" s="289"/>
      <c r="E8" s="1539" t="s">
        <v>877</v>
      </c>
      <c r="F8" s="289"/>
      <c r="G8" s="289"/>
      <c r="H8" s="1754" t="s">
        <v>318</v>
      </c>
      <c r="I8" s="2545" t="str">
        <f>+Index!$E$11</f>
        <v>North Carolina General Assembly</v>
      </c>
      <c r="J8" s="2545"/>
      <c r="K8" s="2545"/>
      <c r="L8" s="2545"/>
      <c r="M8" s="2545"/>
      <c r="N8" s="2545"/>
      <c r="O8" s="2545"/>
      <c r="P8" s="2545"/>
      <c r="Q8" s="21"/>
      <c r="R8" s="289"/>
      <c r="S8" s="289"/>
      <c r="T8" s="289"/>
      <c r="U8" s="289"/>
      <c r="V8" s="289"/>
      <c r="W8" s="1475"/>
      <c r="X8" s="289"/>
      <c r="Y8" s="289"/>
      <c r="Z8" s="289"/>
      <c r="AA8" s="289"/>
      <c r="AB8" s="289"/>
      <c r="AC8" s="289"/>
      <c r="AD8" s="289"/>
      <c r="AE8" s="289"/>
    </row>
    <row r="9" spans="1:31" s="75" customFormat="1" ht="12" customHeight="1" x14ac:dyDescent="0.2">
      <c r="A9" s="2308"/>
      <c r="B9" s="289" t="s">
        <v>568</v>
      </c>
      <c r="C9" s="289"/>
      <c r="D9" s="289"/>
      <c r="E9" s="1770" t="s">
        <v>698</v>
      </c>
      <c r="F9" s="289"/>
      <c r="G9" s="289"/>
      <c r="H9" s="1754" t="s">
        <v>319</v>
      </c>
      <c r="I9" s="2546" t="str">
        <f>CONCATENATE(Index!$E$12," ",Index!$E$14)</f>
        <v xml:space="preserve"> </v>
      </c>
      <c r="J9" s="2546"/>
      <c r="K9" s="2546"/>
      <c r="L9" s="2546"/>
      <c r="M9" s="2546"/>
      <c r="N9" s="2546"/>
      <c r="O9" s="2546"/>
      <c r="P9" s="2546"/>
      <c r="Q9" s="21"/>
      <c r="R9" s="289"/>
      <c r="S9" s="289"/>
      <c r="T9" s="289"/>
      <c r="U9" s="289"/>
      <c r="V9" s="289"/>
      <c r="W9" s="1475"/>
      <c r="X9" s="289"/>
      <c r="Y9" s="289"/>
      <c r="Z9" s="289"/>
      <c r="AA9" s="289"/>
      <c r="AB9" s="289"/>
      <c r="AC9" s="289"/>
      <c r="AD9" s="289"/>
      <c r="AE9" s="289"/>
    </row>
    <row r="10" spans="1:31" s="75" customFormat="1" ht="12" customHeight="1" x14ac:dyDescent="0.2">
      <c r="A10" s="2308"/>
      <c r="B10" s="289"/>
      <c r="C10" s="289"/>
      <c r="D10" s="289"/>
      <c r="E10" s="288"/>
      <c r="F10" s="289"/>
      <c r="G10" s="289"/>
      <c r="H10" s="1754" t="s">
        <v>71</v>
      </c>
      <c r="I10" s="2546">
        <f>+Index!$E$13</f>
        <v>0</v>
      </c>
      <c r="J10" s="2546"/>
      <c r="K10" s="2546"/>
      <c r="L10" s="2546"/>
      <c r="M10" s="2546"/>
      <c r="N10" s="2546"/>
      <c r="O10" s="2546"/>
      <c r="P10" s="2546"/>
      <c r="Q10" s="21"/>
      <c r="R10" s="289"/>
      <c r="S10" s="289"/>
      <c r="T10" s="289"/>
      <c r="U10" s="289"/>
      <c r="V10" s="289"/>
      <c r="W10" s="1475"/>
      <c r="X10" s="289"/>
      <c r="Y10" s="289"/>
      <c r="Z10" s="289"/>
      <c r="AA10" s="289"/>
      <c r="AB10" s="289"/>
      <c r="AC10" s="289"/>
      <c r="AD10" s="289"/>
      <c r="AE10" s="289"/>
    </row>
    <row r="11" spans="1:31" s="75" customFormat="1" ht="5.25" customHeight="1" thickBot="1" x14ac:dyDescent="0.25">
      <c r="A11" s="2308"/>
      <c r="B11" s="1756"/>
      <c r="C11" s="1756"/>
      <c r="D11" s="1756"/>
      <c r="E11" s="1756"/>
      <c r="F11" s="1756"/>
      <c r="G11" s="1756"/>
      <c r="H11" s="1756"/>
      <c r="I11" s="1756"/>
      <c r="J11" s="1756"/>
      <c r="K11" s="1756"/>
      <c r="L11" s="1756"/>
      <c r="M11" s="1756"/>
      <c r="N11" s="1756"/>
      <c r="O11" s="1756"/>
      <c r="P11" s="1756"/>
      <c r="Q11" s="289"/>
      <c r="R11" s="289"/>
      <c r="S11" s="289"/>
      <c r="T11" s="289"/>
      <c r="U11" s="289"/>
      <c r="V11" s="289"/>
      <c r="W11" s="1475"/>
      <c r="X11" s="289"/>
      <c r="Y11" s="289"/>
      <c r="Z11" s="289"/>
      <c r="AA11" s="289"/>
      <c r="AB11" s="289"/>
      <c r="AC11" s="289"/>
      <c r="AD11" s="289"/>
      <c r="AE11" s="289"/>
    </row>
    <row r="12" spans="1:31" s="75" customFormat="1" ht="5.25" customHeight="1" x14ac:dyDescent="0.2">
      <c r="A12" s="2308"/>
      <c r="B12" s="289"/>
      <c r="C12" s="289"/>
      <c r="D12" s="289"/>
      <c r="E12" s="289"/>
      <c r="F12" s="289"/>
      <c r="G12" s="289"/>
      <c r="H12" s="289"/>
      <c r="I12" s="289"/>
      <c r="J12" s="289"/>
      <c r="K12" s="289"/>
      <c r="L12" s="289"/>
      <c r="M12" s="289"/>
      <c r="N12" s="289"/>
      <c r="O12" s="289"/>
      <c r="P12" s="289"/>
      <c r="Q12" s="289"/>
      <c r="R12" s="289"/>
      <c r="S12" s="289"/>
      <c r="T12" s="289"/>
      <c r="U12" s="289"/>
      <c r="V12" s="289"/>
      <c r="W12" s="1475"/>
      <c r="X12" s="289"/>
      <c r="Y12" s="289"/>
      <c r="Z12" s="289"/>
      <c r="AA12" s="289"/>
      <c r="AB12" s="289"/>
      <c r="AC12" s="289"/>
      <c r="AD12" s="289"/>
      <c r="AE12" s="289"/>
    </row>
    <row r="13" spans="1:31" s="75" customFormat="1" ht="12" customHeight="1" x14ac:dyDescent="0.2">
      <c r="A13" s="2308">
        <f>SUM(A15:A23)</f>
        <v>0</v>
      </c>
      <c r="B13" s="77" t="s">
        <v>1060</v>
      </c>
      <c r="C13" s="159"/>
      <c r="D13" s="159"/>
      <c r="E13" s="159"/>
      <c r="F13" s="159"/>
      <c r="G13" s="159"/>
      <c r="H13" s="159"/>
      <c r="I13" s="159"/>
      <c r="J13" s="159"/>
      <c r="K13" s="159"/>
      <c r="L13" s="159"/>
      <c r="M13" s="159"/>
      <c r="N13" s="159"/>
      <c r="O13" s="159"/>
      <c r="P13" s="159"/>
      <c r="Q13" s="159"/>
      <c r="R13" s="159"/>
      <c r="S13" s="159"/>
      <c r="T13" s="289"/>
      <c r="U13" s="289"/>
      <c r="V13" s="289"/>
      <c r="W13" s="1475"/>
      <c r="X13" s="1481" t="s">
        <v>1061</v>
      </c>
      <c r="Y13" s="289"/>
      <c r="Z13" s="289"/>
      <c r="AA13" s="289"/>
      <c r="AB13" s="289"/>
      <c r="AC13" s="289"/>
      <c r="AD13" s="289"/>
      <c r="AE13" s="289"/>
    </row>
    <row r="14" spans="1:31" s="75" customFormat="1" ht="6" customHeight="1" thickBot="1" x14ac:dyDescent="0.25">
      <c r="A14" s="2308"/>
      <c r="B14" s="258"/>
      <c r="C14" s="258"/>
      <c r="D14" s="159"/>
      <c r="E14" s="159"/>
      <c r="F14" s="159"/>
      <c r="G14" s="159"/>
      <c r="H14" s="159"/>
      <c r="I14" s="159"/>
      <c r="J14" s="159"/>
      <c r="K14" s="159"/>
      <c r="L14" s="159"/>
      <c r="M14" s="159"/>
      <c r="N14" s="159"/>
      <c r="O14" s="159"/>
      <c r="P14" s="159"/>
      <c r="Q14" s="159"/>
      <c r="R14" s="159"/>
      <c r="S14" s="159"/>
      <c r="T14" s="289"/>
      <c r="U14" s="289"/>
      <c r="V14" s="289"/>
      <c r="W14" s="1475"/>
      <c r="X14" s="289"/>
      <c r="Y14" s="289"/>
      <c r="Z14" s="289"/>
      <c r="AA14" s="289"/>
      <c r="AB14" s="289"/>
      <c r="AC14" s="289"/>
      <c r="AD14" s="289"/>
      <c r="AE14" s="289"/>
    </row>
    <row r="15" spans="1:31" s="75" customFormat="1" ht="13.35" customHeight="1" thickBot="1" x14ac:dyDescent="0.25">
      <c r="A15" s="2308" t="str">
        <f>IF(ISBLANK(D15)," ",C15)</f>
        <v xml:space="preserve"> </v>
      </c>
      <c r="B15" s="159"/>
      <c r="C15" s="192"/>
      <c r="D15" s="1000"/>
      <c r="E15" s="376" t="s">
        <v>1062</v>
      </c>
      <c r="F15" s="159"/>
      <c r="G15" s="159"/>
      <c r="H15" s="187" t="s">
        <v>1063</v>
      </c>
      <c r="I15" s="289"/>
      <c r="J15" s="159"/>
      <c r="K15" s="159"/>
      <c r="L15" s="159"/>
      <c r="M15" s="159"/>
      <c r="N15" s="159"/>
      <c r="O15" s="159"/>
      <c r="P15" s="159"/>
      <c r="Q15" s="159"/>
      <c r="R15" s="159"/>
      <c r="S15" s="159"/>
      <c r="T15" s="289"/>
      <c r="U15" s="289"/>
      <c r="V15" s="289"/>
      <c r="W15" s="1465" t="str">
        <f>IF(D15="X","22610100","")</f>
        <v/>
      </c>
      <c r="X15" s="159"/>
      <c r="Y15" s="187"/>
      <c r="Z15" s="289"/>
      <c r="AA15" s="289"/>
      <c r="AB15" s="289"/>
      <c r="AC15" s="289"/>
      <c r="AD15" s="289"/>
      <c r="AE15" s="289"/>
    </row>
    <row r="16" spans="1:31" s="75" customFormat="1" ht="6" customHeight="1" thickBot="1" x14ac:dyDescent="0.25">
      <c r="A16" s="2308"/>
      <c r="B16" s="159"/>
      <c r="C16" s="192"/>
      <c r="D16" s="159"/>
      <c r="E16" s="187"/>
      <c r="F16" s="159"/>
      <c r="G16" s="159"/>
      <c r="H16" s="159"/>
      <c r="I16" s="159"/>
      <c r="J16" s="159"/>
      <c r="K16" s="159"/>
      <c r="L16" s="159"/>
      <c r="M16" s="159"/>
      <c r="N16" s="159"/>
      <c r="O16" s="159"/>
      <c r="P16" s="159"/>
      <c r="Q16" s="159"/>
      <c r="R16" s="159"/>
      <c r="S16" s="159"/>
      <c r="T16" s="289"/>
      <c r="U16" s="289"/>
      <c r="V16" s="289"/>
      <c r="W16" s="1465"/>
      <c r="X16" s="159"/>
      <c r="Y16" s="159"/>
      <c r="Z16" s="159"/>
      <c r="AA16" s="289"/>
      <c r="AB16" s="289"/>
      <c r="AC16" s="289"/>
      <c r="AD16" s="289"/>
      <c r="AE16" s="289"/>
    </row>
    <row r="17" spans="1:26" s="75" customFormat="1" ht="13.35" customHeight="1" thickBot="1" x14ac:dyDescent="0.25">
      <c r="A17" s="2308" t="str">
        <f>IF(ISBLANK(D17)," ",C17)</f>
        <v xml:space="preserve"> </v>
      </c>
      <c r="B17" s="159"/>
      <c r="C17" s="192"/>
      <c r="D17" s="1000"/>
      <c r="E17" s="376" t="s">
        <v>1064</v>
      </c>
      <c r="F17" s="159"/>
      <c r="G17" s="159"/>
      <c r="H17" s="159"/>
      <c r="I17" s="159"/>
      <c r="J17" s="159"/>
      <c r="K17" s="159"/>
      <c r="L17" s="159"/>
      <c r="M17" s="159"/>
      <c r="N17" s="159"/>
      <c r="O17" s="159"/>
      <c r="P17" s="159"/>
      <c r="Q17" s="159"/>
      <c r="R17" s="159"/>
      <c r="S17" s="159"/>
      <c r="T17" s="289"/>
      <c r="U17" s="289"/>
      <c r="V17" s="289"/>
      <c r="W17" s="1465" t="str">
        <f>IF(D17="X","22610000","")</f>
        <v/>
      </c>
      <c r="X17" s="159"/>
      <c r="Y17" s="159"/>
      <c r="Z17" s="159"/>
    </row>
    <row r="18" spans="1:26" s="75" customFormat="1" ht="6" customHeight="1" thickBot="1" x14ac:dyDescent="0.25">
      <c r="A18" s="2308"/>
      <c r="B18" s="159"/>
      <c r="C18" s="192"/>
      <c r="D18" s="159"/>
      <c r="E18" s="187"/>
      <c r="F18" s="159"/>
      <c r="G18" s="159"/>
      <c r="H18" s="159"/>
      <c r="I18" s="159"/>
      <c r="J18" s="159"/>
      <c r="K18" s="159"/>
      <c r="L18" s="159"/>
      <c r="M18" s="159"/>
      <c r="N18" s="159"/>
      <c r="O18" s="159"/>
      <c r="P18" s="159"/>
      <c r="Q18" s="159"/>
      <c r="R18" s="159"/>
      <c r="S18" s="159"/>
      <c r="T18" s="289"/>
      <c r="U18" s="289"/>
      <c r="V18" s="289"/>
      <c r="W18" s="1465"/>
      <c r="X18" s="159"/>
      <c r="Y18" s="159"/>
      <c r="Z18" s="159"/>
    </row>
    <row r="19" spans="1:26" s="75" customFormat="1" ht="13.35" customHeight="1" thickBot="1" x14ac:dyDescent="0.25">
      <c r="A19" s="2308" t="str">
        <f>IF(ISBLANK(D19)," ",C19)</f>
        <v xml:space="preserve"> </v>
      </c>
      <c r="B19" s="159"/>
      <c r="C19" s="192"/>
      <c r="D19" s="1000"/>
      <c r="E19" s="376" t="s">
        <v>1065</v>
      </c>
      <c r="F19" s="159"/>
      <c r="G19" s="289"/>
      <c r="H19" s="159"/>
      <c r="I19" s="159"/>
      <c r="J19" s="159"/>
      <c r="K19" s="159"/>
      <c r="L19" s="159"/>
      <c r="M19" s="159"/>
      <c r="N19" s="159"/>
      <c r="O19" s="159"/>
      <c r="P19" s="159"/>
      <c r="Q19" s="159"/>
      <c r="R19" s="159"/>
      <c r="S19" s="159"/>
      <c r="T19" s="289"/>
      <c r="U19" s="289"/>
      <c r="V19" s="289"/>
      <c r="W19" s="1465" t="str">
        <f>IF(D19="X","22610300","")</f>
        <v/>
      </c>
      <c r="X19" s="289"/>
      <c r="Y19" s="159"/>
      <c r="Z19" s="159"/>
    </row>
    <row r="20" spans="1:26" s="75" customFormat="1" ht="5.0999999999999996" customHeight="1" thickBot="1" x14ac:dyDescent="0.25">
      <c r="A20" s="2308"/>
      <c r="B20" s="159"/>
      <c r="C20" s="192"/>
      <c r="D20" s="159"/>
      <c r="E20" s="187"/>
      <c r="F20" s="159"/>
      <c r="G20" s="159"/>
      <c r="H20" s="159"/>
      <c r="I20" s="159"/>
      <c r="J20" s="159"/>
      <c r="K20" s="159"/>
      <c r="L20" s="159"/>
      <c r="M20" s="159"/>
      <c r="N20" s="159"/>
      <c r="O20" s="159"/>
      <c r="P20" s="159"/>
      <c r="Q20" s="159"/>
      <c r="R20" s="159"/>
      <c r="S20" s="159"/>
      <c r="T20" s="289"/>
      <c r="U20" s="289"/>
      <c r="V20" s="289"/>
      <c r="W20" s="1465"/>
      <c r="X20" s="159"/>
      <c r="Y20" s="159"/>
      <c r="Z20" s="159"/>
    </row>
    <row r="21" spans="1:26" s="75" customFormat="1" ht="13.35" customHeight="1" thickBot="1" x14ac:dyDescent="0.25">
      <c r="A21" s="2308"/>
      <c r="B21" s="159"/>
      <c r="C21" s="192"/>
      <c r="D21" s="1000"/>
      <c r="E21" s="376" t="s">
        <v>1066</v>
      </c>
      <c r="F21" s="159"/>
      <c r="G21" s="159"/>
      <c r="H21" s="159"/>
      <c r="I21" s="159"/>
      <c r="J21" s="159"/>
      <c r="K21" s="159"/>
      <c r="L21" s="159"/>
      <c r="M21" s="159"/>
      <c r="N21" s="159"/>
      <c r="O21" s="159"/>
      <c r="P21" s="159"/>
      <c r="Q21" s="159"/>
      <c r="R21" s="159"/>
      <c r="S21" s="159"/>
      <c r="T21" s="289"/>
      <c r="U21" s="289"/>
      <c r="V21" s="289"/>
      <c r="W21" s="1465" t="str">
        <f>IF(D21="X","22610500","")</f>
        <v/>
      </c>
      <c r="X21" s="159"/>
      <c r="Y21" s="159"/>
      <c r="Z21" s="159"/>
    </row>
    <row r="22" spans="1:26" s="75" customFormat="1" ht="6" customHeight="1" thickBot="1" x14ac:dyDescent="0.25">
      <c r="A22" s="2308"/>
      <c r="B22" s="159"/>
      <c r="C22" s="192"/>
      <c r="D22" s="159"/>
      <c r="E22" s="187"/>
      <c r="F22" s="159"/>
      <c r="G22" s="159"/>
      <c r="H22" s="159"/>
      <c r="I22" s="159"/>
      <c r="J22" s="159"/>
      <c r="K22" s="159"/>
      <c r="L22" s="159"/>
      <c r="M22" s="159"/>
      <c r="N22" s="159"/>
      <c r="O22" s="159"/>
      <c r="P22" s="159"/>
      <c r="Q22" s="159"/>
      <c r="R22" s="159"/>
      <c r="S22" s="159"/>
      <c r="T22" s="289"/>
      <c r="U22" s="289"/>
      <c r="V22" s="289"/>
      <c r="W22" s="1465"/>
      <c r="X22" s="159"/>
      <c r="Y22" s="159"/>
      <c r="Z22" s="159"/>
    </row>
    <row r="23" spans="1:26" s="75" customFormat="1" ht="13.35" customHeight="1" thickBot="1" x14ac:dyDescent="0.25">
      <c r="A23" s="2308" t="str">
        <f>IF(ISBLANK(D23)," ",C23)</f>
        <v xml:space="preserve"> </v>
      </c>
      <c r="B23" s="159"/>
      <c r="C23" s="192"/>
      <c r="D23" s="1000"/>
      <c r="E23" s="376" t="s">
        <v>1067</v>
      </c>
      <c r="F23" s="159"/>
      <c r="G23" s="159"/>
      <c r="H23" s="159"/>
      <c r="I23" s="159"/>
      <c r="J23" s="159"/>
      <c r="K23" s="159"/>
      <c r="L23" s="159"/>
      <c r="M23" s="159"/>
      <c r="N23" s="159"/>
      <c r="O23" s="159"/>
      <c r="P23" s="159"/>
      <c r="Q23" s="159"/>
      <c r="R23" s="159"/>
      <c r="S23" s="159"/>
      <c r="T23" s="289"/>
      <c r="U23" s="289"/>
      <c r="V23" s="289"/>
      <c r="W23" s="1465" t="str">
        <f>IF(D23="X","22610600","")</f>
        <v/>
      </c>
      <c r="X23" s="159"/>
      <c r="Y23" s="159"/>
      <c r="Z23" s="159"/>
    </row>
    <row r="24" spans="1:26" s="75" customFormat="1" ht="6" customHeight="1" thickBot="1" x14ac:dyDescent="0.25">
      <c r="A24" s="2308"/>
      <c r="B24" s="159"/>
      <c r="C24" s="159"/>
      <c r="D24" s="159"/>
      <c r="E24" s="159"/>
      <c r="F24" s="159"/>
      <c r="G24" s="2246"/>
      <c r="H24" s="2246"/>
      <c r="I24" s="2246"/>
      <c r="J24" s="159"/>
      <c r="K24" s="159"/>
      <c r="L24" s="159"/>
      <c r="M24" s="159"/>
      <c r="N24" s="159"/>
      <c r="O24" s="159"/>
      <c r="P24" s="159"/>
      <c r="Q24" s="159"/>
      <c r="R24" s="159"/>
      <c r="S24" s="159"/>
      <c r="T24" s="289"/>
      <c r="U24" s="289"/>
      <c r="V24" s="289"/>
      <c r="W24" s="1465"/>
      <c r="X24" s="289"/>
      <c r="Y24" s="289"/>
      <c r="Z24" s="289"/>
    </row>
    <row r="25" spans="1:26" s="75" customFormat="1" ht="12.75" customHeight="1" thickBot="1" x14ac:dyDescent="0.25">
      <c r="A25" s="2308"/>
      <c r="B25" s="159"/>
      <c r="C25" s="192"/>
      <c r="D25" s="1000"/>
      <c r="E25" s="376" t="s">
        <v>1068</v>
      </c>
      <c r="F25" s="159"/>
      <c r="G25" s="159"/>
      <c r="H25" s="159"/>
      <c r="I25" s="2246"/>
      <c r="J25" s="159"/>
      <c r="K25" s="159"/>
      <c r="L25" s="159"/>
      <c r="M25" s="159"/>
      <c r="N25" s="159"/>
      <c r="O25" s="159"/>
      <c r="P25" s="159"/>
      <c r="Q25" s="159"/>
      <c r="R25" s="159"/>
      <c r="S25" s="159"/>
      <c r="T25" s="289"/>
      <c r="U25" s="289"/>
      <c r="V25" s="289"/>
      <c r="W25" s="1465" t="str">
        <f>IF(D25="X","22320000","")</f>
        <v/>
      </c>
      <c r="X25" s="289"/>
      <c r="Y25" s="289"/>
      <c r="Z25" s="289"/>
    </row>
    <row r="26" spans="1:26" s="75" customFormat="1" ht="6" customHeight="1" thickBot="1" x14ac:dyDescent="0.25">
      <c r="A26" s="2308"/>
      <c r="B26" s="159"/>
      <c r="C26" s="192"/>
      <c r="D26" s="2250"/>
      <c r="E26" s="376"/>
      <c r="F26" s="159"/>
      <c r="G26" s="159"/>
      <c r="H26" s="159"/>
      <c r="I26" s="2246"/>
      <c r="J26" s="159"/>
      <c r="K26" s="159"/>
      <c r="L26" s="159"/>
      <c r="M26" s="159"/>
      <c r="N26" s="159"/>
      <c r="O26" s="159"/>
      <c r="P26" s="159"/>
      <c r="Q26" s="159"/>
      <c r="R26" s="159"/>
      <c r="S26" s="159"/>
      <c r="T26" s="289"/>
      <c r="U26" s="289"/>
      <c r="V26" s="289"/>
      <c r="W26" s="1475"/>
      <c r="X26" s="289"/>
      <c r="Y26" s="289"/>
      <c r="Z26" s="289"/>
    </row>
    <row r="27" spans="1:26" s="75" customFormat="1" ht="12.75" customHeight="1" thickBot="1" x14ac:dyDescent="0.25">
      <c r="A27" s="2308"/>
      <c r="B27" s="159"/>
      <c r="C27" s="192"/>
      <c r="D27" s="1000"/>
      <c r="E27" s="376" t="s">
        <v>1069</v>
      </c>
      <c r="F27" s="159"/>
      <c r="G27" s="159"/>
      <c r="H27" s="159"/>
      <c r="I27" s="2246"/>
      <c r="J27" s="159"/>
      <c r="K27" s="159"/>
      <c r="L27" s="159"/>
      <c r="M27" s="159"/>
      <c r="N27" s="159"/>
      <c r="O27" s="159"/>
      <c r="P27" s="159"/>
      <c r="Q27" s="159"/>
      <c r="R27" s="159"/>
      <c r="S27" s="159"/>
      <c r="T27" s="289"/>
      <c r="U27" s="289"/>
      <c r="V27" s="289"/>
      <c r="W27" s="1475" t="str">
        <f>IF(D27="X","22610400","")</f>
        <v/>
      </c>
      <c r="X27" s="289"/>
      <c r="Y27" s="289"/>
      <c r="Z27" s="289"/>
    </row>
    <row r="28" spans="1:26" s="289" customFormat="1" ht="12.75" customHeight="1" x14ac:dyDescent="0.2">
      <c r="A28" s="2308"/>
      <c r="B28" s="159"/>
      <c r="C28" s="192"/>
      <c r="D28" s="2250"/>
      <c r="E28" s="376"/>
      <c r="F28" s="159"/>
      <c r="G28" s="159"/>
      <c r="H28" s="159"/>
      <c r="I28" s="2246"/>
      <c r="J28" s="159"/>
      <c r="K28" s="159"/>
      <c r="L28" s="159"/>
      <c r="M28" s="159"/>
      <c r="N28" s="159"/>
      <c r="O28" s="159"/>
      <c r="P28" s="159"/>
      <c r="Q28" s="159"/>
      <c r="R28" s="159"/>
      <c r="S28" s="159"/>
      <c r="W28" s="1475"/>
      <c r="X28" s="1475"/>
    </row>
    <row r="29" spans="1:26" s="289" customFormat="1" ht="12.75" customHeight="1" x14ac:dyDescent="0.2">
      <c r="A29" s="2308"/>
      <c r="B29" s="159"/>
      <c r="C29" s="192"/>
      <c r="D29" s="2250"/>
      <c r="E29" s="376"/>
      <c r="F29" s="159"/>
      <c r="G29" s="159"/>
      <c r="H29" s="159"/>
      <c r="I29" s="2246"/>
      <c r="J29" s="159"/>
      <c r="K29" s="159"/>
      <c r="L29" s="159"/>
      <c r="M29" s="159"/>
      <c r="N29" s="159"/>
      <c r="O29" s="159"/>
      <c r="P29" s="159"/>
      <c r="Q29" s="159"/>
      <c r="R29" s="159"/>
      <c r="S29" s="159"/>
      <c r="W29" s="1475"/>
      <c r="X29" s="1475"/>
    </row>
    <row r="30" spans="1:26" s="289" customFormat="1" ht="15" customHeight="1" x14ac:dyDescent="0.2">
      <c r="A30" s="2308"/>
      <c r="B30" s="159"/>
      <c r="C30" s="159"/>
      <c r="D30" s="159"/>
      <c r="E30" s="159"/>
      <c r="F30" s="159"/>
      <c r="G30" s="2233" t="s">
        <v>1070</v>
      </c>
      <c r="H30" s="2233"/>
      <c r="I30" s="2233" t="s">
        <v>1071</v>
      </c>
      <c r="J30" s="159"/>
      <c r="K30" s="159"/>
      <c r="L30" s="159"/>
      <c r="M30" s="159"/>
      <c r="N30" s="159"/>
      <c r="O30" s="159"/>
      <c r="P30" s="159"/>
      <c r="Q30" s="159"/>
      <c r="R30" s="159"/>
      <c r="S30" s="159"/>
      <c r="W30" s="1475"/>
    </row>
    <row r="31" spans="1:26" s="75" customFormat="1" ht="12.75" x14ac:dyDescent="0.2">
      <c r="A31" s="2308"/>
      <c r="B31" s="159"/>
      <c r="C31" s="159"/>
      <c r="D31" s="159"/>
      <c r="E31" s="159"/>
      <c r="F31" s="159"/>
      <c r="G31" s="1771" t="s">
        <v>1072</v>
      </c>
      <c r="H31" s="1771"/>
      <c r="I31" s="1771" t="s">
        <v>600</v>
      </c>
      <c r="J31" s="159"/>
      <c r="K31" s="159"/>
      <c r="L31" s="159"/>
      <c r="M31" s="159"/>
      <c r="N31" s="159"/>
      <c r="O31" s="159"/>
      <c r="P31" s="159"/>
      <c r="Q31" s="159"/>
      <c r="R31" s="159"/>
      <c r="S31" s="159"/>
      <c r="T31" s="289"/>
      <c r="U31" s="289"/>
      <c r="V31" s="289"/>
      <c r="W31" s="1475"/>
      <c r="X31" s="289"/>
      <c r="Y31" s="289"/>
      <c r="Z31" s="289"/>
    </row>
    <row r="32" spans="1:26" s="75" customFormat="1" ht="12" customHeight="1" x14ac:dyDescent="0.2">
      <c r="A32" s="2308"/>
      <c r="B32" s="159"/>
      <c r="C32" s="159"/>
      <c r="D32" s="159"/>
      <c r="E32" s="2261" t="s">
        <v>1073</v>
      </c>
      <c r="F32" s="289"/>
      <c r="G32" s="2261" t="s">
        <v>1074</v>
      </c>
      <c r="H32" s="159"/>
      <c r="I32" s="2261" t="s">
        <v>1075</v>
      </c>
      <c r="J32" s="2231"/>
      <c r="K32" s="2231"/>
      <c r="L32" s="2231"/>
      <c r="M32" s="2231"/>
      <c r="N32" s="159"/>
      <c r="O32" s="159"/>
      <c r="P32" s="289"/>
      <c r="Q32" s="159"/>
      <c r="R32" s="1532"/>
      <c r="S32" s="1532">
        <f>LARGE(S33:S45,1)</f>
        <v>0</v>
      </c>
      <c r="T32" s="1532">
        <f>LARGE(T33:T45,1)</f>
        <v>0</v>
      </c>
      <c r="U32" s="289"/>
      <c r="V32" s="289"/>
      <c r="W32" s="1475"/>
      <c r="X32" s="289"/>
      <c r="Y32" s="289"/>
      <c r="Z32" s="289"/>
    </row>
    <row r="33" spans="1:24" s="75" customFormat="1" ht="13.35" customHeight="1" x14ac:dyDescent="0.2">
      <c r="A33" s="2308">
        <v>1</v>
      </c>
      <c r="B33" s="159"/>
      <c r="C33" s="159"/>
      <c r="D33" s="1749">
        <f>+E33</f>
        <v>2024</v>
      </c>
      <c r="E33" s="1771">
        <f>+YEAR(Data!$A$2)+1</f>
        <v>2024</v>
      </c>
      <c r="F33" s="289"/>
      <c r="G33" s="2271"/>
      <c r="H33" s="2333"/>
      <c r="I33" s="2271"/>
      <c r="J33" s="2333"/>
      <c r="K33" s="2521" t="s">
        <v>1076</v>
      </c>
      <c r="L33" s="2521"/>
      <c r="M33" s="2521"/>
      <c r="N33" s="2521"/>
      <c r="O33" s="2521"/>
      <c r="P33" s="2521"/>
      <c r="Q33" s="159"/>
      <c r="R33" s="1772">
        <f>SUM($G33:$G$45)</f>
        <v>0</v>
      </c>
      <c r="S33" s="1532">
        <f t="shared" ref="S33:T45" si="0">IF($R33&gt;0,$D33,0)</f>
        <v>0</v>
      </c>
      <c r="T33" s="1532">
        <f t="shared" si="0"/>
        <v>0</v>
      </c>
      <c r="U33" s="289"/>
      <c r="V33" s="376"/>
      <c r="W33" s="1467" t="s">
        <v>894</v>
      </c>
      <c r="X33" s="289"/>
    </row>
    <row r="34" spans="1:24" s="75" customFormat="1" ht="13.35" customHeight="1" x14ac:dyDescent="0.2">
      <c r="A34" s="2308">
        <v>2</v>
      </c>
      <c r="B34" s="159"/>
      <c r="C34" s="159"/>
      <c r="D34" s="1749">
        <f>+E34</f>
        <v>2025</v>
      </c>
      <c r="E34" s="1771">
        <f>E33+1</f>
        <v>2025</v>
      </c>
      <c r="F34" s="289"/>
      <c r="G34" s="2271"/>
      <c r="H34" s="2333"/>
      <c r="I34" s="2271"/>
      <c r="J34" s="2333"/>
      <c r="K34" s="2521"/>
      <c r="L34" s="2521"/>
      <c r="M34" s="2521"/>
      <c r="N34" s="2521"/>
      <c r="O34" s="2521"/>
      <c r="P34" s="2521"/>
      <c r="Q34" s="159"/>
      <c r="R34" s="1772">
        <f>SUM($G34:$G$45)</f>
        <v>0</v>
      </c>
      <c r="S34" s="1532">
        <f t="shared" si="0"/>
        <v>0</v>
      </c>
      <c r="T34" s="1532">
        <f t="shared" si="0"/>
        <v>0</v>
      </c>
      <c r="U34" s="289"/>
      <c r="V34" s="376"/>
      <c r="W34" s="1467" t="s">
        <v>896</v>
      </c>
      <c r="X34" s="289"/>
    </row>
    <row r="35" spans="1:24" s="75" customFormat="1" ht="13.35" customHeight="1" x14ac:dyDescent="0.2">
      <c r="A35" s="2308">
        <v>3</v>
      </c>
      <c r="B35" s="159"/>
      <c r="C35" s="159"/>
      <c r="D35" s="1749">
        <f>+E35</f>
        <v>2026</v>
      </c>
      <c r="E35" s="1771">
        <f>E34+1</f>
        <v>2026</v>
      </c>
      <c r="F35" s="289"/>
      <c r="G35" s="2271"/>
      <c r="H35" s="2333"/>
      <c r="I35" s="2271"/>
      <c r="J35" s="2333"/>
      <c r="K35" s="2521"/>
      <c r="L35" s="2521"/>
      <c r="M35" s="2521"/>
      <c r="N35" s="2521"/>
      <c r="O35" s="2521"/>
      <c r="P35" s="2521"/>
      <c r="Q35" s="159"/>
      <c r="R35" s="1772">
        <f>SUM($G35:$G$45)</f>
        <v>0</v>
      </c>
      <c r="S35" s="1532">
        <f t="shared" si="0"/>
        <v>0</v>
      </c>
      <c r="T35" s="1532">
        <f t="shared" si="0"/>
        <v>0</v>
      </c>
      <c r="U35" s="289"/>
      <c r="V35" s="376"/>
      <c r="W35" s="1467" t="s">
        <v>897</v>
      </c>
      <c r="X35" s="289"/>
    </row>
    <row r="36" spans="1:24" s="75" customFormat="1" ht="13.35" customHeight="1" x14ac:dyDescent="0.2">
      <c r="A36" s="2308">
        <v>4</v>
      </c>
      <c r="B36" s="159"/>
      <c r="C36" s="159"/>
      <c r="D36" s="1749">
        <f>+E36</f>
        <v>2027</v>
      </c>
      <c r="E36" s="1771">
        <f>E35+1</f>
        <v>2027</v>
      </c>
      <c r="F36" s="289"/>
      <c r="G36" s="2271"/>
      <c r="H36" s="2333"/>
      <c r="I36" s="2271"/>
      <c r="J36" s="2333"/>
      <c r="K36" s="2523"/>
      <c r="L36" s="2524"/>
      <c r="M36" s="2524"/>
      <c r="N36" s="2524"/>
      <c r="O36" s="2524"/>
      <c r="P36" s="2525"/>
      <c r="Q36" s="159"/>
      <c r="R36" s="1772">
        <f>SUM($G36:$G$45)</f>
        <v>0</v>
      </c>
      <c r="S36" s="1532">
        <f t="shared" si="0"/>
        <v>0</v>
      </c>
      <c r="T36" s="1532">
        <f t="shared" si="0"/>
        <v>0</v>
      </c>
      <c r="U36" s="289"/>
      <c r="V36" s="376"/>
      <c r="W36" s="1467" t="s">
        <v>898</v>
      </c>
      <c r="X36" s="289"/>
    </row>
    <row r="37" spans="1:24" s="75" customFormat="1" ht="13.35" customHeight="1" x14ac:dyDescent="0.2">
      <c r="A37" s="2308">
        <v>5</v>
      </c>
      <c r="B37" s="159"/>
      <c r="C37" s="159"/>
      <c r="D37" s="1749">
        <f>+E37</f>
        <v>2028</v>
      </c>
      <c r="E37" s="1771">
        <f>E36+1</f>
        <v>2028</v>
      </c>
      <c r="F37" s="289"/>
      <c r="G37" s="2271"/>
      <c r="H37" s="2333"/>
      <c r="I37" s="2271"/>
      <c r="J37" s="2333"/>
      <c r="K37" s="159"/>
      <c r="L37" s="159"/>
      <c r="M37" s="159"/>
      <c r="N37" s="159"/>
      <c r="O37" s="289"/>
      <c r="P37" s="289"/>
      <c r="Q37" s="159"/>
      <c r="R37" s="1772">
        <f>SUM($G37:$G$45)</f>
        <v>0</v>
      </c>
      <c r="S37" s="1532">
        <f t="shared" si="0"/>
        <v>0</v>
      </c>
      <c r="T37" s="1532">
        <f t="shared" si="0"/>
        <v>0</v>
      </c>
      <c r="U37" s="289"/>
      <c r="V37" s="376"/>
      <c r="W37" s="1467" t="s">
        <v>899</v>
      </c>
      <c r="X37" s="289"/>
    </row>
    <row r="38" spans="1:24" s="75" customFormat="1" ht="13.35" customHeight="1" x14ac:dyDescent="0.2">
      <c r="A38" s="2308">
        <v>6</v>
      </c>
      <c r="B38" s="159"/>
      <c r="C38" s="159"/>
      <c r="D38" s="1749">
        <f>E37+1</f>
        <v>2029</v>
      </c>
      <c r="E38" s="1771" t="str">
        <f t="shared" ref="E38:E45" si="1">(D38)&amp;" - "&amp;(D38+4)</f>
        <v>2029 - 2033</v>
      </c>
      <c r="F38" s="289"/>
      <c r="G38" s="2271"/>
      <c r="H38" s="2333"/>
      <c r="I38" s="2271"/>
      <c r="J38" s="2333"/>
      <c r="K38" s="2521" t="s">
        <v>1077</v>
      </c>
      <c r="L38" s="2521"/>
      <c r="M38" s="2521"/>
      <c r="N38" s="2521"/>
      <c r="O38" s="2521"/>
      <c r="P38" s="2521"/>
      <c r="Q38" s="159"/>
      <c r="R38" s="1772">
        <f>SUM($G38:$G$45)</f>
        <v>0</v>
      </c>
      <c r="S38" s="1532">
        <f t="shared" si="0"/>
        <v>0</v>
      </c>
      <c r="T38" s="1532">
        <f>IF($R38&gt;0,$D38+4,0)</f>
        <v>0</v>
      </c>
      <c r="U38" s="289"/>
      <c r="V38" s="376"/>
      <c r="W38" s="1467" t="s">
        <v>900</v>
      </c>
      <c r="X38" s="289"/>
    </row>
    <row r="39" spans="1:24" s="75" customFormat="1" ht="13.35" customHeight="1" x14ac:dyDescent="0.2">
      <c r="A39" s="2308">
        <v>7</v>
      </c>
      <c r="B39" s="159"/>
      <c r="C39" s="159"/>
      <c r="D39" s="1749">
        <f t="shared" ref="D39:D45" si="2">D38+5</f>
        <v>2034</v>
      </c>
      <c r="E39" s="1771" t="str">
        <f t="shared" si="1"/>
        <v>2034 - 2038</v>
      </c>
      <c r="F39" s="289"/>
      <c r="G39" s="2271"/>
      <c r="H39" s="2333"/>
      <c r="I39" s="2271"/>
      <c r="J39" s="2333"/>
      <c r="K39" s="2521"/>
      <c r="L39" s="2521"/>
      <c r="M39" s="2521"/>
      <c r="N39" s="2521"/>
      <c r="O39" s="2521"/>
      <c r="P39" s="2521"/>
      <c r="Q39" s="159"/>
      <c r="R39" s="1772">
        <f>SUM($G39:$G$45)</f>
        <v>0</v>
      </c>
      <c r="S39" s="1532">
        <f t="shared" si="0"/>
        <v>0</v>
      </c>
      <c r="T39" s="1532">
        <f t="shared" ref="T39:T45" si="3">IF($R39&gt;0,$D39+4,0)</f>
        <v>0</v>
      </c>
      <c r="U39" s="289"/>
      <c r="V39" s="376"/>
      <c r="W39" s="1467" t="s">
        <v>901</v>
      </c>
      <c r="X39" s="289"/>
    </row>
    <row r="40" spans="1:24" s="75" customFormat="1" ht="13.35" customHeight="1" x14ac:dyDescent="0.2">
      <c r="A40" s="2308">
        <v>8</v>
      </c>
      <c r="B40" s="159"/>
      <c r="C40" s="159"/>
      <c r="D40" s="1749">
        <f t="shared" si="2"/>
        <v>2039</v>
      </c>
      <c r="E40" s="1771" t="str">
        <f t="shared" si="1"/>
        <v>2039 - 2043</v>
      </c>
      <c r="F40" s="289"/>
      <c r="G40" s="2271"/>
      <c r="H40" s="2333"/>
      <c r="I40" s="2271"/>
      <c r="J40" s="2333"/>
      <c r="K40" s="2522"/>
      <c r="L40" s="2522"/>
      <c r="M40" s="2522"/>
      <c r="N40" s="2522"/>
      <c r="O40" s="2522"/>
      <c r="P40" s="2522"/>
      <c r="Q40" s="159"/>
      <c r="R40" s="1772">
        <f>SUM($G40:$G$45)</f>
        <v>0</v>
      </c>
      <c r="S40" s="1532">
        <f t="shared" si="0"/>
        <v>0</v>
      </c>
      <c r="T40" s="1532">
        <f t="shared" si="3"/>
        <v>0</v>
      </c>
      <c r="U40" s="289"/>
      <c r="V40" s="187"/>
      <c r="W40" s="1467" t="s">
        <v>902</v>
      </c>
      <c r="X40" s="289"/>
    </row>
    <row r="41" spans="1:24" s="75" customFormat="1" ht="13.35" customHeight="1" x14ac:dyDescent="0.2">
      <c r="A41" s="2308">
        <v>9</v>
      </c>
      <c r="B41" s="159"/>
      <c r="C41" s="159"/>
      <c r="D41" s="1749">
        <f t="shared" si="2"/>
        <v>2044</v>
      </c>
      <c r="E41" s="1771" t="str">
        <f t="shared" si="1"/>
        <v>2044 - 2048</v>
      </c>
      <c r="F41" s="289"/>
      <c r="G41" s="2271"/>
      <c r="H41" s="2333"/>
      <c r="I41" s="2271"/>
      <c r="J41" s="2333"/>
      <c r="K41" s="2521" t="s">
        <v>1078</v>
      </c>
      <c r="L41" s="2521"/>
      <c r="M41" s="2521"/>
      <c r="N41" s="2521" t="s">
        <v>1079</v>
      </c>
      <c r="O41" s="2521"/>
      <c r="P41" s="2521"/>
      <c r="Q41" s="159"/>
      <c r="R41" s="1772">
        <f>SUM($G41:$G$45)</f>
        <v>0</v>
      </c>
      <c r="S41" s="1532">
        <f t="shared" si="0"/>
        <v>0</v>
      </c>
      <c r="T41" s="1532">
        <f t="shared" si="3"/>
        <v>0</v>
      </c>
      <c r="U41" s="289"/>
      <c r="V41" s="289"/>
      <c r="W41" s="1467" t="s">
        <v>903</v>
      </c>
      <c r="X41" s="289"/>
    </row>
    <row r="42" spans="1:24" s="75" customFormat="1" ht="13.35" customHeight="1" x14ac:dyDescent="0.2">
      <c r="A42" s="2308">
        <v>10</v>
      </c>
      <c r="B42" s="159"/>
      <c r="C42" s="159"/>
      <c r="D42" s="1749">
        <f t="shared" si="2"/>
        <v>2049</v>
      </c>
      <c r="E42" s="1771" t="str">
        <f t="shared" si="1"/>
        <v>2049 - 2053</v>
      </c>
      <c r="F42" s="289"/>
      <c r="G42" s="2271"/>
      <c r="H42" s="2333"/>
      <c r="I42" s="2271"/>
      <c r="J42" s="2333"/>
      <c r="K42" s="2528"/>
      <c r="L42" s="2526"/>
      <c r="M42" s="2527"/>
      <c r="N42" s="2526"/>
      <c r="O42" s="2526"/>
      <c r="P42" s="2527"/>
      <c r="Q42" s="159"/>
      <c r="R42" s="1772">
        <f>SUM($G42:$G$45)</f>
        <v>0</v>
      </c>
      <c r="S42" s="1532">
        <f t="shared" si="0"/>
        <v>0</v>
      </c>
      <c r="T42" s="1532">
        <f t="shared" si="3"/>
        <v>0</v>
      </c>
      <c r="U42" s="289"/>
      <c r="V42" s="187"/>
      <c r="W42" s="1467" t="s">
        <v>904</v>
      </c>
      <c r="X42" s="289"/>
    </row>
    <row r="43" spans="1:24" s="75" customFormat="1" ht="13.35" customHeight="1" x14ac:dyDescent="0.2">
      <c r="A43" s="2308">
        <v>11</v>
      </c>
      <c r="B43" s="159"/>
      <c r="C43" s="159"/>
      <c r="D43" s="1749">
        <f t="shared" si="2"/>
        <v>2054</v>
      </c>
      <c r="E43" s="1771" t="str">
        <f t="shared" si="1"/>
        <v>2054 - 2058</v>
      </c>
      <c r="F43" s="289"/>
      <c r="G43" s="2271"/>
      <c r="H43" s="2333"/>
      <c r="I43" s="2271"/>
      <c r="J43" s="2333"/>
      <c r="K43" s="289"/>
      <c r="L43" s="289"/>
      <c r="M43" s="289"/>
      <c r="N43" s="289"/>
      <c r="O43" s="289"/>
      <c r="P43" s="289"/>
      <c r="Q43" s="159"/>
      <c r="R43" s="1772">
        <f>SUM($G43:$G$45)</f>
        <v>0</v>
      </c>
      <c r="S43" s="1532">
        <f>IF($R43&gt;0,$D43,0)</f>
        <v>0</v>
      </c>
      <c r="T43" s="1532">
        <f t="shared" si="3"/>
        <v>0</v>
      </c>
      <c r="U43" s="289"/>
      <c r="V43" s="289"/>
      <c r="W43" s="1467" t="s">
        <v>905</v>
      </c>
      <c r="X43" s="289"/>
    </row>
    <row r="44" spans="1:24" s="75" customFormat="1" ht="13.35" customHeight="1" x14ac:dyDescent="0.2">
      <c r="A44" s="2308">
        <v>12</v>
      </c>
      <c r="B44" s="159"/>
      <c r="C44" s="159"/>
      <c r="D44" s="1749">
        <f t="shared" si="2"/>
        <v>2059</v>
      </c>
      <c r="E44" s="1771" t="str">
        <f t="shared" si="1"/>
        <v>2059 - 2063</v>
      </c>
      <c r="F44" s="289"/>
      <c r="G44" s="2271"/>
      <c r="H44" s="2333"/>
      <c r="I44" s="2271"/>
      <c r="J44" s="2333"/>
      <c r="K44" s="2532" t="s">
        <v>1080</v>
      </c>
      <c r="L44" s="2533"/>
      <c r="M44" s="2533"/>
      <c r="N44" s="2533"/>
      <c r="O44" s="2533"/>
      <c r="P44" s="2534"/>
      <c r="Q44" s="159"/>
      <c r="R44" s="1772">
        <f>SUM($G44:$G$45)</f>
        <v>0</v>
      </c>
      <c r="S44" s="1532">
        <f t="shared" si="0"/>
        <v>0</v>
      </c>
      <c r="T44" s="1532">
        <f t="shared" si="3"/>
        <v>0</v>
      </c>
      <c r="U44" s="289"/>
      <c r="V44" s="187"/>
      <c r="W44" s="1467" t="s">
        <v>906</v>
      </c>
      <c r="X44" s="289"/>
    </row>
    <row r="45" spans="1:24" s="75" customFormat="1" ht="13.35" customHeight="1" x14ac:dyDescent="0.2">
      <c r="A45" s="2308">
        <v>13</v>
      </c>
      <c r="B45" s="159"/>
      <c r="C45" s="159"/>
      <c r="D45" s="1749">
        <f t="shared" si="2"/>
        <v>2064</v>
      </c>
      <c r="E45" s="1771" t="str">
        <f t="shared" si="1"/>
        <v>2064 - 2068</v>
      </c>
      <c r="F45" s="289"/>
      <c r="G45" s="2271"/>
      <c r="H45" s="2333"/>
      <c r="I45" s="2271"/>
      <c r="J45" s="2333"/>
      <c r="K45" s="2535"/>
      <c r="L45" s="2536"/>
      <c r="M45" s="2536"/>
      <c r="N45" s="2536"/>
      <c r="O45" s="2536"/>
      <c r="P45" s="2537"/>
      <c r="Q45" s="159"/>
      <c r="R45" s="1772">
        <f>SUM($G45:$G$45)</f>
        <v>0</v>
      </c>
      <c r="S45" s="1532">
        <f t="shared" si="0"/>
        <v>0</v>
      </c>
      <c r="T45" s="1532">
        <f t="shared" si="3"/>
        <v>0</v>
      </c>
      <c r="U45" s="289"/>
      <c r="V45" s="289"/>
      <c r="W45" s="1467" t="s">
        <v>907</v>
      </c>
      <c r="X45" s="289"/>
    </row>
    <row r="46" spans="1:24" s="75" customFormat="1" ht="16.350000000000001" customHeight="1" thickBot="1" x14ac:dyDescent="0.25">
      <c r="A46" s="2308"/>
      <c r="B46" s="159"/>
      <c r="C46" s="159"/>
      <c r="D46" s="1" t="s">
        <v>1081</v>
      </c>
      <c r="E46" s="159"/>
      <c r="F46" s="159"/>
      <c r="G46" s="1773">
        <f>SUM(G33:G45)</f>
        <v>0</v>
      </c>
      <c r="H46" s="2333"/>
      <c r="I46" s="1773">
        <f>SUM(I33:I45)</f>
        <v>0</v>
      </c>
      <c r="J46" s="2333"/>
      <c r="K46" s="2529"/>
      <c r="L46" s="2530"/>
      <c r="M46" s="2530"/>
      <c r="N46" s="2530"/>
      <c r="O46" s="2530"/>
      <c r="P46" s="2531"/>
      <c r="Q46" s="159"/>
      <c r="R46" s="1532"/>
      <c r="S46" s="1532">
        <f>YEAR(_FMD315)</f>
        <v>1900</v>
      </c>
      <c r="T46" s="2308"/>
      <c r="U46" s="289"/>
      <c r="V46" s="289"/>
      <c r="W46" s="289"/>
      <c r="X46" s="289"/>
    </row>
    <row r="47" spans="1:24" s="75" customFormat="1" ht="13.35" customHeight="1" thickTop="1" x14ac:dyDescent="0.25">
      <c r="A47" s="2308"/>
      <c r="B47" s="159"/>
      <c r="C47" s="159"/>
      <c r="D47" s="1"/>
      <c r="E47" s="159"/>
      <c r="F47" s="159"/>
      <c r="G47" s="159"/>
      <c r="H47" s="74" t="s">
        <v>1082</v>
      </c>
      <c r="I47" s="514" t="s">
        <v>1083</v>
      </c>
      <c r="J47" s="2231"/>
      <c r="K47" s="2231"/>
      <c r="L47" s="2002"/>
      <c r="M47" s="2002"/>
      <c r="N47" s="2246"/>
      <c r="O47" s="2246"/>
      <c r="P47" s="159"/>
      <c r="Q47" s="159"/>
      <c r="R47" s="159"/>
      <c r="S47" s="159"/>
      <c r="T47" s="289"/>
      <c r="U47" s="289"/>
      <c r="V47" s="289"/>
      <c r="W47" s="289"/>
      <c r="X47" s="289"/>
    </row>
    <row r="48" spans="1:24" s="75" customFormat="1" ht="12.75" customHeight="1" x14ac:dyDescent="0.2">
      <c r="A48" s="2308"/>
      <c r="B48" s="159" t="s">
        <v>1084</v>
      </c>
      <c r="C48" s="159"/>
      <c r="D48" s="1"/>
      <c r="E48" s="159"/>
      <c r="F48" s="159"/>
      <c r="G48" s="159"/>
      <c r="H48" s="74"/>
      <c r="I48" s="2002"/>
      <c r="J48" s="2231"/>
      <c r="K48" s="2231"/>
      <c r="L48" s="2002"/>
      <c r="M48" s="2002"/>
      <c r="N48" s="2246"/>
      <c r="O48" s="2246"/>
      <c r="P48" s="159"/>
      <c r="Q48" s="159"/>
      <c r="R48" s="159"/>
      <c r="S48" s="159"/>
      <c r="T48" s="289"/>
      <c r="U48" s="289"/>
      <c r="V48" s="289"/>
      <c r="W48" s="1467"/>
      <c r="X48" s="289"/>
    </row>
    <row r="49" spans="1:24" s="75" customFormat="1" ht="12.75" customHeight="1" x14ac:dyDescent="0.2">
      <c r="A49" s="2308"/>
      <c r="B49" s="159" t="s">
        <v>1085</v>
      </c>
      <c r="C49" s="159"/>
      <c r="D49" s="1"/>
      <c r="E49" s="159"/>
      <c r="F49" s="159"/>
      <c r="G49" s="159"/>
      <c r="H49" s="74"/>
      <c r="I49" s="2002"/>
      <c r="J49" s="2231"/>
      <c r="K49" s="2231"/>
      <c r="L49" s="2002"/>
      <c r="M49" s="2002"/>
      <c r="N49" s="2246"/>
      <c r="O49" s="2246"/>
      <c r="P49" s="159"/>
      <c r="Q49" s="159"/>
      <c r="R49" s="159"/>
      <c r="S49" s="159"/>
      <c r="T49" s="289"/>
      <c r="U49" s="289"/>
      <c r="V49" s="289"/>
      <c r="W49" s="1467"/>
      <c r="X49" s="289"/>
    </row>
    <row r="50" spans="1:24" s="75" customFormat="1" ht="12" customHeight="1" x14ac:dyDescent="0.2">
      <c r="A50" s="2308"/>
      <c r="B50" s="159"/>
      <c r="C50" s="159"/>
      <c r="D50" s="2246"/>
      <c r="E50" s="2332"/>
      <c r="F50" s="159"/>
      <c r="G50" s="159"/>
      <c r="H50" s="74"/>
      <c r="I50" s="2002" t="s">
        <v>1086</v>
      </c>
      <c r="J50" s="2541"/>
      <c r="K50" s="2541"/>
      <c r="L50" s="2538" t="s">
        <v>340</v>
      </c>
      <c r="M50" s="2538"/>
      <c r="N50" s="2539"/>
      <c r="O50" s="2539"/>
      <c r="P50" s="159"/>
      <c r="Q50" s="159"/>
      <c r="R50" s="159"/>
      <c r="S50" s="159"/>
      <c r="T50" s="289"/>
      <c r="U50" s="289"/>
      <c r="V50" s="289"/>
      <c r="W50" s="1475"/>
      <c r="X50" s="289"/>
    </row>
    <row r="51" spans="1:24" s="75" customFormat="1" ht="9" customHeight="1" x14ac:dyDescent="0.2">
      <c r="A51" s="2308"/>
      <c r="B51" s="159"/>
      <c r="C51" s="159"/>
      <c r="D51" s="1"/>
      <c r="E51" s="159"/>
      <c r="F51" s="159"/>
      <c r="G51" s="159"/>
      <c r="H51" s="74"/>
      <c r="I51" s="2002"/>
      <c r="J51" s="2231"/>
      <c r="K51" s="2231"/>
      <c r="L51" s="2002"/>
      <c r="M51" s="2002"/>
      <c r="N51" s="2246"/>
      <c r="O51" s="2246"/>
      <c r="P51" s="159"/>
      <c r="Q51" s="159"/>
      <c r="R51" s="159"/>
      <c r="S51" s="159"/>
      <c r="T51" s="289"/>
      <c r="U51" s="289"/>
      <c r="V51" s="289"/>
      <c r="W51" s="1475"/>
      <c r="X51" s="289"/>
    </row>
    <row r="52" spans="1:24" s="75" customFormat="1" ht="12.75" customHeight="1" x14ac:dyDescent="0.2">
      <c r="A52" s="2308"/>
      <c r="B52" s="159" t="str">
        <f>CONCATENATE("Do the fiscal year ",+TEXT(Data!$A$6,"yyyy")," principal requirements (including debt with interest rate swaps on 320) agree with")</f>
        <v>Do the fiscal year 2024 principal requirements (including debt with interest rate swaps on 320) agree with</v>
      </c>
      <c r="C52" s="159"/>
      <c r="D52" s="1"/>
      <c r="E52" s="159"/>
      <c r="F52" s="159"/>
      <c r="G52" s="159"/>
      <c r="H52" s="74"/>
      <c r="I52" s="2002"/>
      <c r="J52" s="2231"/>
      <c r="K52" s="2231"/>
      <c r="L52" s="2002"/>
      <c r="M52" s="2002"/>
      <c r="N52" s="2246"/>
      <c r="O52" s="2246"/>
      <c r="P52" s="159"/>
      <c r="Q52" s="159"/>
      <c r="R52" s="159"/>
      <c r="S52" s="159"/>
      <c r="T52" s="289"/>
      <c r="U52" s="289"/>
      <c r="V52" s="289"/>
      <c r="W52" s="1475"/>
      <c r="X52" s="289"/>
    </row>
    <row r="53" spans="1:24" s="75" customFormat="1" ht="12.75" customHeight="1" x14ac:dyDescent="0.2">
      <c r="A53" s="2308"/>
      <c r="B53" s="289" t="s">
        <v>1087</v>
      </c>
      <c r="C53" s="159"/>
      <c r="D53" s="1"/>
      <c r="E53" s="159"/>
      <c r="F53" s="159"/>
      <c r="G53" s="159"/>
      <c r="H53" s="74"/>
      <c r="I53" s="2002"/>
      <c r="J53" s="2231"/>
      <c r="K53" s="2231"/>
      <c r="L53" s="2002"/>
      <c r="M53" s="2002"/>
      <c r="N53" s="2246"/>
      <c r="O53" s="2246"/>
      <c r="P53" s="159"/>
      <c r="Q53" s="159"/>
      <c r="R53" s="159"/>
      <c r="S53" s="159"/>
      <c r="T53" s="289"/>
      <c r="U53" s="289"/>
      <c r="V53" s="289"/>
      <c r="W53" s="1475"/>
      <c r="X53" s="289"/>
    </row>
    <row r="54" spans="1:24" s="75" customFormat="1" ht="12.75" customHeight="1" x14ac:dyDescent="0.2">
      <c r="A54" s="2308"/>
      <c r="B54" s="11" t="s">
        <v>1088</v>
      </c>
      <c r="C54" s="159"/>
      <c r="D54" s="1"/>
      <c r="E54" s="159"/>
      <c r="F54" s="159"/>
      <c r="G54" s="159"/>
      <c r="H54" s="74"/>
      <c r="I54" s="2002"/>
      <c r="J54" s="2231"/>
      <c r="K54" s="2231"/>
      <c r="L54" s="2002"/>
      <c r="M54" s="2002"/>
      <c r="N54" s="2246"/>
      <c r="O54" s="2246"/>
      <c r="P54" s="159"/>
      <c r="Q54" s="159"/>
      <c r="R54" s="159"/>
      <c r="S54" s="159"/>
      <c r="T54" s="289"/>
      <c r="U54" s="289"/>
      <c r="V54" s="289"/>
      <c r="W54" s="1475"/>
      <c r="X54" s="289"/>
    </row>
    <row r="55" spans="1:24" s="75" customFormat="1" ht="12" customHeight="1" x14ac:dyDescent="0.2">
      <c r="A55" s="2308"/>
      <c r="B55" s="159"/>
      <c r="C55" s="159"/>
      <c r="D55" s="2246"/>
      <c r="E55" s="2332"/>
      <c r="F55" s="159"/>
      <c r="G55" s="289"/>
      <c r="H55" s="74"/>
      <c r="I55" s="2002" t="s">
        <v>1086</v>
      </c>
      <c r="J55" s="2541"/>
      <c r="K55" s="2541"/>
      <c r="L55" s="2538" t="s">
        <v>340</v>
      </c>
      <c r="M55" s="2538"/>
      <c r="N55" s="2539"/>
      <c r="O55" s="2539"/>
      <c r="P55" s="159"/>
      <c r="Q55" s="159"/>
      <c r="R55" s="159"/>
      <c r="S55" s="159"/>
      <c r="T55" s="289"/>
      <c r="U55" s="289"/>
      <c r="V55" s="289"/>
      <c r="W55" s="1475"/>
      <c r="X55" s="289"/>
    </row>
    <row r="56" spans="1:24" s="75" customFormat="1" ht="6" customHeight="1" x14ac:dyDescent="0.2">
      <c r="A56" s="2308"/>
      <c r="B56" s="159"/>
      <c r="C56" s="159"/>
      <c r="D56" s="2246"/>
      <c r="E56" s="159"/>
      <c r="F56" s="159"/>
      <c r="G56" s="2243"/>
      <c r="H56" s="74"/>
      <c r="I56" s="2002"/>
      <c r="J56" s="2231"/>
      <c r="K56" s="2231"/>
      <c r="L56" s="2002"/>
      <c r="M56" s="2002"/>
      <c r="N56" s="2246"/>
      <c r="O56" s="2246"/>
      <c r="P56" s="159"/>
      <c r="Q56" s="159"/>
      <c r="R56" s="159"/>
      <c r="S56" s="159"/>
      <c r="T56" s="289"/>
      <c r="U56" s="289"/>
      <c r="V56" s="289"/>
      <c r="W56" s="1475"/>
      <c r="X56" s="289"/>
    </row>
    <row r="57" spans="1:24" s="75" customFormat="1" ht="12.75" customHeight="1" x14ac:dyDescent="0.2">
      <c r="A57" s="2308"/>
      <c r="B57" s="289"/>
      <c r="C57" s="2540" t="s">
        <v>1089</v>
      </c>
      <c r="D57" s="2540"/>
      <c r="E57" s="2540"/>
      <c r="F57" s="2544"/>
      <c r="G57" s="2544"/>
      <c r="H57" s="2544"/>
      <c r="I57" s="2544"/>
      <c r="J57" s="2544"/>
      <c r="K57" s="2544"/>
      <c r="L57" s="2544"/>
      <c r="M57" s="2544"/>
      <c r="N57" s="2544"/>
      <c r="O57" s="2544"/>
      <c r="P57" s="2544"/>
      <c r="Q57" s="159"/>
      <c r="R57" s="159"/>
      <c r="S57" s="159"/>
      <c r="T57" s="289"/>
      <c r="U57" s="289"/>
      <c r="V57" s="289"/>
      <c r="W57" s="1475"/>
      <c r="X57" s="289"/>
    </row>
    <row r="58" spans="1:24" s="75" customFormat="1" ht="12.75" customHeight="1" x14ac:dyDescent="0.2">
      <c r="A58" s="2308"/>
      <c r="B58" s="159"/>
      <c r="C58" s="2544"/>
      <c r="D58" s="2544"/>
      <c r="E58" s="2544"/>
      <c r="F58" s="2544"/>
      <c r="G58" s="2544"/>
      <c r="H58" s="2544"/>
      <c r="I58" s="2544"/>
      <c r="J58" s="2544"/>
      <c r="K58" s="2544"/>
      <c r="L58" s="2544"/>
      <c r="M58" s="2544"/>
      <c r="N58" s="2544"/>
      <c r="O58" s="2544"/>
      <c r="P58" s="2544"/>
      <c r="Q58" s="159"/>
      <c r="R58" s="159"/>
      <c r="S58" s="159"/>
      <c r="T58" s="289"/>
      <c r="U58" s="289"/>
      <c r="V58" s="289"/>
      <c r="W58" s="1475"/>
      <c r="X58" s="289"/>
    </row>
    <row r="59" spans="1:24" s="75" customFormat="1" ht="9" customHeight="1" x14ac:dyDescent="0.2">
      <c r="A59" s="2308"/>
      <c r="B59" s="159"/>
      <c r="C59" s="159"/>
      <c r="D59" s="1"/>
      <c r="E59" s="159"/>
      <c r="F59" s="159"/>
      <c r="G59" s="159"/>
      <c r="H59" s="74"/>
      <c r="I59" s="2002"/>
      <c r="J59" s="2231"/>
      <c r="K59" s="2231"/>
      <c r="L59" s="2002"/>
      <c r="M59" s="2002"/>
      <c r="N59" s="2246"/>
      <c r="O59" s="2246"/>
      <c r="P59" s="159"/>
      <c r="Q59" s="159"/>
      <c r="R59" s="159"/>
      <c r="S59" s="159"/>
      <c r="T59" s="289"/>
      <c r="U59" s="289"/>
      <c r="V59" s="289"/>
      <c r="W59" s="1475"/>
      <c r="X59" s="289"/>
    </row>
    <row r="60" spans="1:24" s="75" customFormat="1" ht="12.75" customHeight="1" x14ac:dyDescent="0.2">
      <c r="A60" s="2308"/>
      <c r="B60" s="159" t="s">
        <v>1090</v>
      </c>
      <c r="C60" s="159"/>
      <c r="D60" s="1"/>
      <c r="E60" s="159"/>
      <c r="F60" s="159"/>
      <c r="G60" s="159"/>
      <c r="H60" s="74"/>
      <c r="I60" s="2002"/>
      <c r="J60" s="2231"/>
      <c r="K60" s="2231"/>
      <c r="L60" s="2002"/>
      <c r="M60" s="2002"/>
      <c r="N60" s="2246"/>
      <c r="O60" s="2246"/>
      <c r="P60" s="159"/>
      <c r="Q60" s="159"/>
      <c r="R60" s="159"/>
      <c r="S60" s="159"/>
      <c r="T60" s="289"/>
      <c r="U60" s="289"/>
      <c r="V60" s="289"/>
      <c r="W60" s="1475"/>
      <c r="X60" s="289"/>
    </row>
    <row r="61" spans="1:24" s="75" customFormat="1" ht="12" customHeight="1" x14ac:dyDescent="0.2">
      <c r="A61" s="2308"/>
      <c r="B61" s="11" t="s">
        <v>1091</v>
      </c>
      <c r="C61" s="159"/>
      <c r="D61" s="1"/>
      <c r="E61" s="159"/>
      <c r="F61" s="159"/>
      <c r="G61" s="159"/>
      <c r="H61" s="74"/>
      <c r="I61" s="2002" t="s">
        <v>1086</v>
      </c>
      <c r="J61" s="2541"/>
      <c r="K61" s="2541"/>
      <c r="L61" s="2538" t="s">
        <v>340</v>
      </c>
      <c r="M61" s="2538"/>
      <c r="N61" s="2539"/>
      <c r="O61" s="2539"/>
      <c r="P61" s="159"/>
      <c r="Q61" s="159"/>
      <c r="R61" s="159"/>
      <c r="S61" s="159"/>
      <c r="T61" s="289"/>
      <c r="U61" s="289"/>
      <c r="V61" s="289"/>
      <c r="W61" s="1475"/>
      <c r="X61" s="289"/>
    </row>
    <row r="62" spans="1:24" s="75" customFormat="1" ht="15" customHeight="1" x14ac:dyDescent="0.2">
      <c r="A62" s="2308"/>
      <c r="B62" s="289"/>
      <c r="C62" s="159" t="s">
        <v>1092</v>
      </c>
      <c r="D62" s="2246"/>
      <c r="E62" s="2246"/>
      <c r="F62" s="2246"/>
      <c r="G62" s="2246"/>
      <c r="H62" s="74"/>
      <c r="I62" s="2271"/>
      <c r="J62" s="2334"/>
      <c r="K62" s="2334"/>
      <c r="L62" s="2002"/>
      <c r="M62" s="2002"/>
      <c r="N62" s="2250"/>
      <c r="O62" s="2250"/>
      <c r="P62" s="159"/>
      <c r="Q62" s="159"/>
      <c r="R62" s="159"/>
      <c r="S62" s="159"/>
      <c r="T62" s="289"/>
      <c r="U62" s="289"/>
      <c r="V62" s="289"/>
      <c r="W62" s="1475"/>
      <c r="X62" s="289"/>
    </row>
    <row r="63" spans="1:24" s="75" customFormat="1" ht="6" customHeight="1" x14ac:dyDescent="0.2">
      <c r="A63" s="2308"/>
      <c r="B63" s="159"/>
      <c r="C63" s="159"/>
      <c r="D63" s="1"/>
      <c r="E63" s="159"/>
      <c r="F63" s="159"/>
      <c r="G63" s="159"/>
      <c r="H63" s="74"/>
      <c r="I63" s="2002"/>
      <c r="J63" s="513"/>
      <c r="K63" s="513"/>
      <c r="L63" s="2002"/>
      <c r="M63" s="2002"/>
      <c r="N63" s="2250"/>
      <c r="O63" s="2250"/>
      <c r="P63" s="159"/>
      <c r="Q63" s="159"/>
      <c r="R63" s="159"/>
      <c r="S63" s="159"/>
      <c r="T63" s="289"/>
      <c r="U63" s="289"/>
      <c r="V63" s="289"/>
      <c r="W63" s="1475"/>
      <c r="X63" s="289"/>
    </row>
    <row r="64" spans="1:24" s="75" customFormat="1" ht="8.1" customHeight="1" thickBot="1" x14ac:dyDescent="0.25">
      <c r="A64" s="2308"/>
      <c r="B64" s="1774"/>
      <c r="C64" s="1774"/>
      <c r="D64" s="1774"/>
      <c r="E64" s="1774"/>
      <c r="F64" s="1774"/>
      <c r="G64" s="1774"/>
      <c r="H64" s="1774"/>
      <c r="I64" s="1774"/>
      <c r="J64" s="1774"/>
      <c r="K64" s="1774"/>
      <c r="L64" s="1774"/>
      <c r="M64" s="1774"/>
      <c r="N64" s="1774"/>
      <c r="O64" s="1774"/>
      <c r="P64" s="1774"/>
      <c r="Q64" s="159"/>
      <c r="R64" s="159"/>
      <c r="S64" s="159"/>
      <c r="T64" s="289"/>
      <c r="U64" s="289"/>
      <c r="V64" s="289"/>
      <c r="W64" s="1475"/>
      <c r="X64" s="289"/>
    </row>
    <row r="65" spans="1:24" s="75" customFormat="1" ht="7.35" customHeight="1" x14ac:dyDescent="0.2">
      <c r="A65" s="2308"/>
      <c r="B65" s="159"/>
      <c r="C65" s="159"/>
      <c r="D65" s="159"/>
      <c r="E65" s="159"/>
      <c r="F65" s="159"/>
      <c r="G65" s="159"/>
      <c r="H65" s="159"/>
      <c r="I65" s="159"/>
      <c r="J65" s="159"/>
      <c r="K65" s="159"/>
      <c r="L65" s="159"/>
      <c r="M65" s="159"/>
      <c r="N65" s="159"/>
      <c r="O65" s="159"/>
      <c r="P65" s="159"/>
      <c r="Q65" s="159"/>
      <c r="R65" s="159"/>
      <c r="S65" s="159"/>
      <c r="T65" s="289"/>
      <c r="U65" s="289"/>
      <c r="V65" s="289"/>
      <c r="W65" s="1475"/>
      <c r="X65" s="289"/>
    </row>
    <row r="66" spans="1:24" s="75" customFormat="1" ht="12" customHeight="1" x14ac:dyDescent="0.2">
      <c r="A66" s="2308"/>
      <c r="B66" s="1" t="s">
        <v>1093</v>
      </c>
      <c r="C66" s="1"/>
      <c r="D66" s="159"/>
      <c r="E66" s="159"/>
      <c r="F66" s="159"/>
      <c r="G66" s="159"/>
      <c r="H66" s="159"/>
      <c r="I66" s="159"/>
      <c r="J66" s="159"/>
      <c r="K66" s="159"/>
      <c r="L66" s="159"/>
      <c r="M66" s="159"/>
      <c r="N66" s="159"/>
      <c r="O66" s="159"/>
      <c r="P66" s="159"/>
      <c r="Q66" s="159"/>
      <c r="R66" s="159"/>
      <c r="S66" s="159"/>
      <c r="T66" s="289"/>
      <c r="U66" s="289"/>
      <c r="V66" s="289"/>
      <c r="W66" s="1475"/>
      <c r="X66" s="289"/>
    </row>
    <row r="67" spans="1:24" s="75" customFormat="1" ht="15" customHeight="1" x14ac:dyDescent="0.2">
      <c r="A67" s="2308"/>
      <c r="B67" s="2542" t="s">
        <v>1094</v>
      </c>
      <c r="C67" s="2543"/>
      <c r="D67" s="2543"/>
      <c r="E67" s="2543"/>
      <c r="F67" s="2543"/>
      <c r="G67" s="2543"/>
      <c r="H67" s="2543"/>
      <c r="I67" s="2543"/>
      <c r="J67" s="2543"/>
      <c r="K67" s="910"/>
      <c r="L67" s="910"/>
      <c r="M67" s="910"/>
      <c r="N67" s="910"/>
      <c r="O67" s="910"/>
      <c r="P67" s="910"/>
      <c r="Q67" s="159"/>
      <c r="R67" s="159"/>
      <c r="S67" s="159"/>
      <c r="T67" s="289"/>
      <c r="U67" s="289"/>
      <c r="V67" s="289"/>
      <c r="W67" s="1475"/>
      <c r="X67" s="289"/>
    </row>
    <row r="68" spans="1:24" s="75" customFormat="1" ht="12" customHeight="1" x14ac:dyDescent="0.2">
      <c r="A68" s="2308"/>
      <c r="B68" s="159"/>
      <c r="C68" s="159"/>
      <c r="D68" s="159"/>
      <c r="E68" s="159"/>
      <c r="F68" s="159"/>
      <c r="G68" s="159"/>
      <c r="H68" s="159"/>
      <c r="I68" s="2002" t="s">
        <v>1086</v>
      </c>
      <c r="J68" s="2541"/>
      <c r="K68" s="2541"/>
      <c r="L68" s="2538" t="s">
        <v>340</v>
      </c>
      <c r="M68" s="2538"/>
      <c r="N68" s="2539"/>
      <c r="O68" s="2539"/>
      <c r="P68" s="159"/>
      <c r="Q68" s="159"/>
      <c r="R68" s="159"/>
      <c r="S68" s="159"/>
      <c r="T68" s="289"/>
      <c r="U68" s="289"/>
      <c r="V68" s="289"/>
      <c r="W68" s="1475"/>
      <c r="X68" s="289"/>
    </row>
    <row r="69" spans="1:24" s="75" customFormat="1" ht="8.1" customHeight="1" x14ac:dyDescent="0.2">
      <c r="A69" s="2308"/>
      <c r="B69" s="159"/>
      <c r="C69" s="159"/>
      <c r="D69" s="159"/>
      <c r="E69" s="159"/>
      <c r="F69" s="159"/>
      <c r="G69" s="159"/>
      <c r="H69" s="159"/>
      <c r="I69" s="2002"/>
      <c r="J69" s="2231"/>
      <c r="K69" s="2231"/>
      <c r="L69" s="2002"/>
      <c r="M69" s="2002"/>
      <c r="N69" s="2246"/>
      <c r="O69" s="2246"/>
      <c r="P69" s="159"/>
      <c r="Q69" s="159"/>
      <c r="R69" s="159"/>
      <c r="S69" s="159"/>
      <c r="T69" s="289"/>
      <c r="U69" s="289"/>
      <c r="V69" s="289"/>
      <c r="W69" s="1475"/>
      <c r="X69" s="289"/>
    </row>
    <row r="70" spans="1:24" s="75" customFormat="1" ht="12" customHeight="1" x14ac:dyDescent="0.2">
      <c r="A70" s="2308"/>
      <c r="B70" s="11" t="s">
        <v>1095</v>
      </c>
      <c r="C70" s="159"/>
      <c r="D70" s="159"/>
      <c r="E70" s="159"/>
      <c r="F70" s="159"/>
      <c r="G70" s="159"/>
      <c r="H70" s="159"/>
      <c r="I70" s="2002"/>
      <c r="J70" s="2231"/>
      <c r="K70" s="2231"/>
      <c r="L70" s="2002"/>
      <c r="M70" s="2002"/>
      <c r="N70" s="2246"/>
      <c r="O70" s="2246"/>
      <c r="P70" s="159"/>
      <c r="Q70" s="159"/>
      <c r="R70" s="159"/>
      <c r="S70" s="159"/>
      <c r="T70" s="289"/>
      <c r="U70" s="289"/>
      <c r="V70" s="289"/>
      <c r="W70" s="1475"/>
      <c r="X70" s="289"/>
    </row>
    <row r="71" spans="1:24" s="75" customFormat="1" ht="12" customHeight="1" x14ac:dyDescent="0.2">
      <c r="A71" s="2308"/>
      <c r="B71" s="159" t="s">
        <v>1096</v>
      </c>
      <c r="C71" s="1"/>
      <c r="D71" s="159"/>
      <c r="E71" s="159"/>
      <c r="F71" s="159"/>
      <c r="G71" s="159"/>
      <c r="H71" s="159"/>
      <c r="I71" s="2274"/>
      <c r="J71" s="2274"/>
      <c r="K71" s="2274"/>
      <c r="L71" s="2274"/>
      <c r="M71" s="2274"/>
      <c r="N71" s="159"/>
      <c r="O71" s="2274"/>
      <c r="P71" s="159"/>
      <c r="Q71" s="159"/>
      <c r="R71" s="159"/>
      <c r="S71" s="159"/>
      <c r="T71" s="289"/>
      <c r="U71" s="289"/>
      <c r="V71" s="289"/>
      <c r="W71" s="1475"/>
      <c r="X71" s="289"/>
    </row>
    <row r="72" spans="1:24" ht="15" customHeight="1" x14ac:dyDescent="0.2">
      <c r="W72" s="1475"/>
    </row>
    <row r="73" spans="1:24" ht="12.75" x14ac:dyDescent="0.2">
      <c r="W73" s="1475"/>
    </row>
    <row r="75" spans="1:24" s="259" customFormat="1" ht="15" x14ac:dyDescent="0.2">
      <c r="A75" s="445" t="str">
        <f ca="1">MID(CELL("filename",A1),FIND("]",CELL("filename",A1))+1,256)</f>
        <v>315</v>
      </c>
      <c r="B75" s="445" t="s">
        <v>636</v>
      </c>
      <c r="C75" s="1483"/>
      <c r="D75" s="1483"/>
      <c r="E75" s="1483"/>
      <c r="F75" s="1483"/>
      <c r="G75" s="1483"/>
      <c r="H75" s="1483"/>
      <c r="I75" s="1483"/>
      <c r="J75" s="1483"/>
      <c r="K75" s="1483"/>
      <c r="L75" s="1483"/>
      <c r="M75" s="1483"/>
      <c r="N75" s="1483"/>
      <c r="O75" s="1483"/>
      <c r="P75" s="1483"/>
      <c r="Q75" s="1483"/>
      <c r="R75" s="1483"/>
      <c r="S75" s="1483"/>
      <c r="T75" s="1483"/>
      <c r="U75" s="1483"/>
      <c r="V75" s="1483"/>
      <c r="W75" s="1482"/>
      <c r="X75" s="1483"/>
    </row>
    <row r="76" spans="1:24" s="259" customFormat="1" ht="15" x14ac:dyDescent="0.2">
      <c r="A76" s="445" t="s">
        <v>380</v>
      </c>
      <c r="B76" s="445" t="str">
        <f t="shared" ref="B76:B85" ca="1" si="4">IF(ISNA(INDEX(ErrorTable,MATCH($A$75&amp;$A76&amp;FALSE,ErrorKey,0),6)),"",INDEX(ErrorTable,MATCH($A$75&amp;$A76&amp;FALSE,ErrorKey,0),6))</f>
        <v/>
      </c>
      <c r="C76" s="1483"/>
      <c r="D76" s="1483"/>
      <c r="E76" s="1483"/>
      <c r="F76" s="1483"/>
      <c r="G76" s="1483"/>
      <c r="H76" s="1483"/>
      <c r="I76" s="1483"/>
      <c r="J76" s="1483"/>
      <c r="K76" s="1483"/>
      <c r="L76" s="1483"/>
      <c r="M76" s="1483"/>
      <c r="N76" s="1483"/>
      <c r="O76" s="1483"/>
      <c r="P76" s="1483"/>
      <c r="Q76" s="1483"/>
      <c r="R76" s="1483"/>
      <c r="S76" s="1483"/>
      <c r="T76" s="1483"/>
      <c r="U76" s="1483"/>
      <c r="V76" s="1483"/>
      <c r="W76" s="1482"/>
      <c r="X76" s="1483"/>
    </row>
    <row r="77" spans="1:24" s="259" customFormat="1" ht="15" x14ac:dyDescent="0.2">
      <c r="A77" s="445" t="s">
        <v>381</v>
      </c>
      <c r="B77" s="445" t="str">
        <f t="shared" ca="1" si="4"/>
        <v/>
      </c>
      <c r="C77" s="1483"/>
      <c r="D77" s="1483"/>
      <c r="E77" s="1483"/>
      <c r="F77" s="1483"/>
      <c r="G77" s="1483"/>
      <c r="H77" s="1483"/>
      <c r="I77" s="1483"/>
      <c r="J77" s="1483"/>
      <c r="K77" s="1483"/>
      <c r="L77" s="1483"/>
      <c r="M77" s="1483"/>
      <c r="N77" s="1483"/>
      <c r="O77" s="1483"/>
      <c r="P77" s="1483"/>
      <c r="Q77" s="1483"/>
      <c r="R77" s="1483"/>
      <c r="S77" s="1483"/>
      <c r="T77" s="1483"/>
      <c r="U77" s="1483"/>
      <c r="V77" s="1483"/>
      <c r="W77" s="1484"/>
      <c r="X77" s="1483"/>
    </row>
    <row r="78" spans="1:24" s="259" customFormat="1" ht="15" x14ac:dyDescent="0.2">
      <c r="A78" s="445" t="s">
        <v>382</v>
      </c>
      <c r="B78" s="445" t="str">
        <f ca="1">IF(ISNA(INDEX(ErrorTable,MATCH($A$75&amp;$A78&amp;FALSE,ErrorKey,0),6)),"",INDEX(ErrorTable,MATCH($A$75&amp;$A78&amp;FALSE,ErrorKey,0),6))</f>
        <v/>
      </c>
      <c r="C78" s="1483"/>
      <c r="D78" s="1483"/>
      <c r="E78" s="1483"/>
      <c r="F78" s="1483"/>
      <c r="G78" s="1483"/>
      <c r="H78" s="1483"/>
      <c r="I78" s="1483"/>
      <c r="J78" s="1483"/>
      <c r="K78" s="1483"/>
      <c r="L78" s="1483"/>
      <c r="M78" s="1483"/>
      <c r="N78" s="1483"/>
      <c r="O78" s="1483"/>
      <c r="P78" s="1483"/>
      <c r="Q78" s="1483"/>
      <c r="R78" s="1483"/>
      <c r="S78" s="1483"/>
      <c r="T78" s="1483"/>
      <c r="U78" s="1483"/>
      <c r="V78" s="1483"/>
      <c r="W78" s="1484"/>
      <c r="X78" s="1483"/>
    </row>
    <row r="79" spans="1:24" s="259" customFormat="1" ht="15" x14ac:dyDescent="0.2">
      <c r="A79" s="445" t="s">
        <v>383</v>
      </c>
      <c r="B79" s="445" t="str">
        <f ca="1">IF(ISNA(INDEX(ErrorTable,MATCH($A$75&amp;$A79&amp;FALSE,ErrorKey,0),6)),"",INDEX(ErrorTable,MATCH($A$75&amp;$A79&amp;FALSE,ErrorKey,0),6))</f>
        <v>Original issue amount is blank.</v>
      </c>
      <c r="C79" s="1483"/>
      <c r="D79" s="1483"/>
      <c r="E79" s="1483"/>
      <c r="F79" s="1483"/>
      <c r="G79" s="1483"/>
      <c r="H79" s="1483"/>
      <c r="I79" s="1483"/>
      <c r="J79" s="1483"/>
      <c r="K79" s="1483"/>
      <c r="L79" s="1483"/>
      <c r="M79" s="1483"/>
      <c r="N79" s="1483"/>
      <c r="O79" s="1483"/>
      <c r="P79" s="1483"/>
      <c r="Q79" s="1483"/>
      <c r="R79" s="1483"/>
      <c r="S79" s="1483"/>
      <c r="T79" s="1483"/>
      <c r="U79" s="1483"/>
      <c r="V79" s="1483"/>
      <c r="W79" s="1484"/>
      <c r="X79" s="1483"/>
    </row>
    <row r="80" spans="1:24" s="259" customFormat="1" ht="15" x14ac:dyDescent="0.2">
      <c r="A80" s="445" t="s">
        <v>384</v>
      </c>
      <c r="B80" s="445" t="str">
        <f ca="1">IF(ISNA(INDEX(ErrorTable,MATCH($A$75&amp;$A80&amp;FALSE,ErrorKey,0),6)),"",INDEX(ErrorTable,MATCH($A$75&amp;$A80&amp;FALSE,ErrorKey,0),6))</f>
        <v>"From" interest rate is blank.</v>
      </c>
      <c r="C80" s="1483"/>
      <c r="D80" s="1483"/>
      <c r="E80" s="1483"/>
      <c r="F80" s="1483"/>
      <c r="G80" s="1483"/>
      <c r="H80" s="1483"/>
      <c r="I80" s="1483"/>
      <c r="J80" s="1483"/>
      <c r="K80" s="1483"/>
      <c r="L80" s="1483"/>
      <c r="M80" s="1483"/>
      <c r="N80" s="1483"/>
      <c r="O80" s="1483"/>
      <c r="P80" s="1483"/>
      <c r="Q80" s="1483"/>
      <c r="R80" s="1483"/>
      <c r="S80" s="1483"/>
      <c r="T80" s="1483"/>
      <c r="U80" s="1483"/>
      <c r="V80" s="1483"/>
      <c r="W80" s="1484"/>
      <c r="X80" s="1483"/>
    </row>
    <row r="81" spans="1:24" s="259" customFormat="1" ht="15" x14ac:dyDescent="0.2">
      <c r="A81" s="445" t="s">
        <v>385</v>
      </c>
      <c r="B81" s="445" t="str">
        <f ca="1">IF(ISNA(INDEX(ErrorTable,MATCH($A$75&amp;$A81&amp;FALSE,ErrorKey,0),6)),"",INDEX(ErrorTable,MATCH($A$75&amp;$A81&amp;FALSE,ErrorKey,0),6))</f>
        <v>"To" interest rate is blank.</v>
      </c>
      <c r="C81" s="1483"/>
      <c r="D81" s="1483"/>
      <c r="E81" s="1483"/>
      <c r="F81" s="1483"/>
      <c r="G81" s="1483"/>
      <c r="H81" s="1483"/>
      <c r="I81" s="1483"/>
      <c r="J81" s="1483"/>
      <c r="K81" s="1483"/>
      <c r="L81" s="1483"/>
      <c r="M81" s="1483"/>
      <c r="N81" s="1483"/>
      <c r="O81" s="1483"/>
      <c r="P81" s="1483"/>
      <c r="Q81" s="1483"/>
      <c r="R81" s="1483"/>
      <c r="S81" s="1483"/>
      <c r="T81" s="1483"/>
      <c r="U81" s="1483"/>
      <c r="V81" s="1483"/>
      <c r="W81" s="1484"/>
      <c r="X81" s="1483"/>
    </row>
    <row r="82" spans="1:24" s="259" customFormat="1" ht="15" x14ac:dyDescent="0.2">
      <c r="A82" s="445" t="s">
        <v>386</v>
      </c>
      <c r="B82" s="445" t="str">
        <f ca="1">IF(ISNA(INDEX(ErrorTable,MATCH($A$75&amp;$A82&amp;FALSE,ErrorKey,0),6)),"",INDEX(ErrorTable,MATCH($A$75&amp;$A82&amp;FALSE,ErrorKey,0),6))</f>
        <v>Final maturity date is blank.</v>
      </c>
      <c r="C82" s="1483"/>
      <c r="D82" s="1483"/>
      <c r="E82" s="1483"/>
      <c r="F82" s="1483"/>
      <c r="G82" s="1483"/>
      <c r="H82" s="1483"/>
      <c r="I82" s="1483"/>
      <c r="J82" s="1483"/>
      <c r="K82" s="1483"/>
      <c r="L82" s="1483"/>
      <c r="M82" s="1483"/>
      <c r="N82" s="1483"/>
      <c r="O82" s="1483"/>
      <c r="P82" s="1483"/>
      <c r="Q82" s="1483"/>
      <c r="R82" s="1483"/>
      <c r="S82" s="1483"/>
      <c r="T82" s="1483"/>
      <c r="U82" s="1483"/>
      <c r="V82" s="1483"/>
      <c r="W82" s="1484"/>
      <c r="X82" s="1483"/>
    </row>
    <row r="83" spans="1:24" s="259" customFormat="1" ht="15" x14ac:dyDescent="0.2">
      <c r="A83" s="445" t="s">
        <v>387</v>
      </c>
      <c r="B83" s="445" t="str">
        <f t="shared" ca="1" si="4"/>
        <v/>
      </c>
      <c r="C83" s="1483"/>
      <c r="D83" s="1483"/>
      <c r="E83" s="1483"/>
      <c r="F83" s="1483"/>
      <c r="G83" s="1483"/>
      <c r="H83" s="1483"/>
      <c r="I83" s="1483"/>
      <c r="J83" s="1483"/>
      <c r="K83" s="1483"/>
      <c r="L83" s="1483"/>
      <c r="M83" s="1483"/>
      <c r="N83" s="1483"/>
      <c r="O83" s="1483"/>
      <c r="P83" s="1483"/>
      <c r="Q83" s="1483"/>
      <c r="R83" s="1483"/>
      <c r="S83" s="1483"/>
      <c r="T83" s="1483"/>
      <c r="U83" s="1483"/>
      <c r="V83" s="1483"/>
      <c r="W83" s="1484"/>
      <c r="X83" s="1483"/>
    </row>
    <row r="84" spans="1:24" s="259" customFormat="1" ht="15" x14ac:dyDescent="0.2">
      <c r="A84" s="445" t="s">
        <v>388</v>
      </c>
      <c r="B84" s="445" t="str">
        <f t="shared" ca="1" si="4"/>
        <v/>
      </c>
      <c r="C84" s="1483"/>
      <c r="D84" s="1483"/>
      <c r="E84" s="1483"/>
      <c r="F84" s="1483"/>
      <c r="G84" s="1483"/>
      <c r="H84" s="1483"/>
      <c r="I84" s="1483"/>
      <c r="J84" s="1483"/>
      <c r="K84" s="1483"/>
      <c r="L84" s="1483"/>
      <c r="M84" s="1483"/>
      <c r="N84" s="1483"/>
      <c r="O84" s="1483"/>
      <c r="P84" s="1483"/>
      <c r="Q84" s="1483"/>
      <c r="R84" s="1483"/>
      <c r="S84" s="1483"/>
      <c r="T84" s="1483"/>
      <c r="U84" s="1483"/>
      <c r="V84" s="1483"/>
      <c r="W84" s="1484"/>
      <c r="X84" s="1483"/>
    </row>
    <row r="85" spans="1:24" s="259" customFormat="1" ht="15" x14ac:dyDescent="0.2">
      <c r="A85" s="445" t="s">
        <v>389</v>
      </c>
      <c r="B85" s="445" t="str">
        <f t="shared" ca="1" si="4"/>
        <v/>
      </c>
      <c r="C85" s="1483"/>
      <c r="D85" s="1483"/>
      <c r="E85" s="1483"/>
      <c r="F85" s="1483"/>
      <c r="G85" s="1483"/>
      <c r="H85" s="1483"/>
      <c r="I85" s="1483"/>
      <c r="J85" s="1483"/>
      <c r="K85" s="1483"/>
      <c r="L85" s="1483"/>
      <c r="M85" s="1483"/>
      <c r="N85" s="1483"/>
      <c r="O85" s="1483"/>
      <c r="P85" s="1483"/>
      <c r="Q85" s="1483"/>
      <c r="R85" s="1483"/>
      <c r="S85" s="1483"/>
      <c r="T85" s="1483"/>
      <c r="U85" s="1483"/>
      <c r="V85" s="1483"/>
      <c r="W85" s="1484"/>
      <c r="X85" s="1483"/>
    </row>
    <row r="86" spans="1:24" s="259" customFormat="1" ht="15" x14ac:dyDescent="0.2">
      <c r="A86" s="445"/>
      <c r="B86" s="1483"/>
      <c r="C86" s="1483"/>
      <c r="D86" s="1483"/>
      <c r="E86" s="1483"/>
      <c r="F86" s="1483"/>
      <c r="G86" s="1483"/>
      <c r="H86" s="1483"/>
      <c r="I86" s="1483"/>
      <c r="J86" s="1483"/>
      <c r="K86" s="1483"/>
      <c r="L86" s="1483"/>
      <c r="M86" s="1483"/>
      <c r="N86" s="1483"/>
      <c r="O86" s="1483"/>
      <c r="P86" s="1483"/>
      <c r="Q86" s="1483"/>
      <c r="R86" s="1483"/>
      <c r="S86" s="1483"/>
      <c r="T86" s="1483"/>
      <c r="U86" s="1483"/>
      <c r="V86" s="1483"/>
      <c r="W86" s="1484"/>
      <c r="X86" s="1483"/>
    </row>
    <row r="87" spans="1:24" s="259" customFormat="1" ht="15" x14ac:dyDescent="0.2">
      <c r="A87" s="445"/>
      <c r="B87" s="1483"/>
      <c r="C87" s="1483"/>
      <c r="D87" s="1483"/>
      <c r="E87" s="1483"/>
      <c r="F87" s="1483"/>
      <c r="G87" s="1483"/>
      <c r="H87" s="1483"/>
      <c r="I87" s="1483"/>
      <c r="J87" s="1483"/>
      <c r="K87" s="1483"/>
      <c r="L87" s="1483"/>
      <c r="M87" s="1483"/>
      <c r="N87" s="1483"/>
      <c r="O87" s="1483"/>
      <c r="P87" s="1483"/>
      <c r="Q87" s="1483"/>
      <c r="R87" s="1483"/>
      <c r="S87" s="1483"/>
      <c r="T87" s="1483"/>
      <c r="U87" s="1483"/>
      <c r="V87" s="1483"/>
      <c r="W87" s="1484"/>
      <c r="X87" s="1483"/>
    </row>
    <row r="88" spans="1:24" s="259" customFormat="1" ht="15" x14ac:dyDescent="0.2">
      <c r="A88" s="445"/>
      <c r="B88" s="1483"/>
      <c r="C88" s="1483"/>
      <c r="D88" s="1483"/>
      <c r="E88" s="1483"/>
      <c r="F88" s="1483"/>
      <c r="G88" s="1483"/>
      <c r="H88" s="1483"/>
      <c r="I88" s="1483"/>
      <c r="J88" s="1483"/>
      <c r="K88" s="1483"/>
      <c r="L88" s="1483"/>
      <c r="M88" s="1483"/>
      <c r="N88" s="1483"/>
      <c r="O88" s="1483"/>
      <c r="P88" s="1483"/>
      <c r="Q88" s="1483"/>
      <c r="R88" s="1483"/>
      <c r="S88" s="1483"/>
      <c r="T88" s="1483"/>
      <c r="U88" s="1483"/>
      <c r="V88" s="1483"/>
      <c r="W88" s="1484"/>
      <c r="X88" s="1483"/>
    </row>
    <row r="89" spans="1:24" s="259" customFormat="1" ht="15" x14ac:dyDescent="0.2">
      <c r="A89" s="445"/>
      <c r="B89" s="1483"/>
      <c r="C89" s="1483"/>
      <c r="D89" s="1483"/>
      <c r="E89" s="1483"/>
      <c r="F89" s="1483"/>
      <c r="G89" s="1483"/>
      <c r="H89" s="1483"/>
      <c r="I89" s="1483"/>
      <c r="J89" s="1483"/>
      <c r="K89" s="1483"/>
      <c r="L89" s="1483"/>
      <c r="M89" s="1483"/>
      <c r="N89" s="1483"/>
      <c r="O89" s="1483"/>
      <c r="P89" s="1483"/>
      <c r="Q89" s="1483"/>
      <c r="R89" s="1483"/>
      <c r="S89" s="1483"/>
      <c r="T89" s="1483"/>
      <c r="U89" s="1483"/>
      <c r="V89" s="1483"/>
      <c r="W89" s="1484"/>
      <c r="X89" s="1483"/>
    </row>
    <row r="90" spans="1:24" s="259" customFormat="1" ht="15" x14ac:dyDescent="0.2">
      <c r="A90" s="445"/>
      <c r="B90" s="1483"/>
      <c r="C90" s="1483"/>
      <c r="D90" s="1483"/>
      <c r="E90" s="1483"/>
      <c r="F90" s="1483"/>
      <c r="G90" s="1483"/>
      <c r="H90" s="1483"/>
      <c r="I90" s="1483"/>
      <c r="J90" s="1483"/>
      <c r="K90" s="1483"/>
      <c r="L90" s="1483"/>
      <c r="M90" s="1483"/>
      <c r="N90" s="1483"/>
      <c r="O90" s="1483"/>
      <c r="P90" s="1483"/>
      <c r="Q90" s="1483"/>
      <c r="R90" s="1483"/>
      <c r="S90" s="1483"/>
      <c r="T90" s="1483"/>
      <c r="U90" s="1483"/>
      <c r="V90" s="1483"/>
      <c r="W90" s="1484"/>
      <c r="X90" s="1483"/>
    </row>
    <row r="91" spans="1:24" s="259" customFormat="1" ht="15" x14ac:dyDescent="0.2">
      <c r="A91" s="445"/>
      <c r="B91" s="1483"/>
      <c r="C91" s="1483"/>
      <c r="D91" s="1483"/>
      <c r="E91" s="1483"/>
      <c r="F91" s="1483"/>
      <c r="G91" s="1483"/>
      <c r="H91" s="1483"/>
      <c r="I91" s="1483"/>
      <c r="J91" s="1483"/>
      <c r="K91" s="1483"/>
      <c r="L91" s="1483"/>
      <c r="M91" s="1483"/>
      <c r="N91" s="1483"/>
      <c r="O91" s="1483"/>
      <c r="P91" s="1483"/>
      <c r="Q91" s="1483"/>
      <c r="R91" s="1483"/>
      <c r="S91" s="1483"/>
      <c r="T91" s="1483"/>
      <c r="U91" s="1483"/>
      <c r="V91" s="1483"/>
      <c r="W91" s="1484"/>
      <c r="X91" s="1483"/>
    </row>
    <row r="92" spans="1:24" s="259" customFormat="1" ht="15" x14ac:dyDescent="0.2">
      <c r="A92" s="445"/>
      <c r="B92" s="1483"/>
      <c r="C92" s="1483"/>
      <c r="D92" s="1483"/>
      <c r="E92" s="1483"/>
      <c r="F92" s="1483"/>
      <c r="G92" s="1483"/>
      <c r="H92" s="1483"/>
      <c r="I92" s="1483"/>
      <c r="J92" s="1483"/>
      <c r="K92" s="1483"/>
      <c r="L92" s="1483"/>
      <c r="M92" s="1483"/>
      <c r="N92" s="1483"/>
      <c r="O92" s="1483"/>
      <c r="P92" s="1483"/>
      <c r="Q92" s="1483"/>
      <c r="R92" s="1483"/>
      <c r="S92" s="1483"/>
      <c r="T92" s="1483"/>
      <c r="U92" s="1483"/>
      <c r="V92" s="1483"/>
      <c r="W92" s="1484"/>
      <c r="X92" s="1483"/>
    </row>
    <row r="93" spans="1:24" s="259" customFormat="1" ht="15" x14ac:dyDescent="0.2">
      <c r="A93" s="445"/>
      <c r="B93" s="1483"/>
      <c r="C93" s="1483"/>
      <c r="D93" s="1483"/>
      <c r="E93" s="1483"/>
      <c r="F93" s="1483"/>
      <c r="G93" s="1483"/>
      <c r="H93" s="1483"/>
      <c r="I93" s="1483"/>
      <c r="J93" s="1483"/>
      <c r="K93" s="1483"/>
      <c r="L93" s="1483"/>
      <c r="M93" s="1483"/>
      <c r="N93" s="1483"/>
      <c r="O93" s="1483"/>
      <c r="P93" s="1483"/>
      <c r="Q93" s="1483"/>
      <c r="R93" s="1483"/>
      <c r="S93" s="1483"/>
      <c r="T93" s="1483"/>
      <c r="U93" s="1483"/>
      <c r="V93" s="1483"/>
      <c r="W93" s="1484"/>
      <c r="X93" s="1483"/>
    </row>
    <row r="94" spans="1:24" s="259" customFormat="1" ht="15" x14ac:dyDescent="0.2">
      <c r="A94" s="445"/>
      <c r="B94" s="1483"/>
      <c r="C94" s="1483"/>
      <c r="D94" s="1483"/>
      <c r="E94" s="1483"/>
      <c r="F94" s="1483"/>
      <c r="G94" s="1483"/>
      <c r="H94" s="1483"/>
      <c r="I94" s="1483"/>
      <c r="J94" s="1483"/>
      <c r="K94" s="1483"/>
      <c r="L94" s="1483"/>
      <c r="M94" s="1483"/>
      <c r="N94" s="1483"/>
      <c r="O94" s="1483"/>
      <c r="P94" s="1483"/>
      <c r="Q94" s="1483"/>
      <c r="R94" s="1483"/>
      <c r="S94" s="1483"/>
      <c r="T94" s="1483"/>
      <c r="U94" s="1483"/>
      <c r="V94" s="1483"/>
      <c r="W94" s="1484"/>
      <c r="X94" s="1483"/>
    </row>
    <row r="95" spans="1:24" s="259" customFormat="1" ht="15" x14ac:dyDescent="0.2">
      <c r="A95" s="445"/>
      <c r="B95" s="1483"/>
      <c r="C95" s="1483"/>
      <c r="D95" s="1483"/>
      <c r="E95" s="1483"/>
      <c r="F95" s="1483"/>
      <c r="G95" s="1483"/>
      <c r="H95" s="1483"/>
      <c r="I95" s="1483"/>
      <c r="J95" s="1483"/>
      <c r="K95" s="1483"/>
      <c r="L95" s="1483"/>
      <c r="M95" s="1483"/>
      <c r="N95" s="1483"/>
      <c r="O95" s="1483"/>
      <c r="P95" s="1483"/>
      <c r="Q95" s="1483"/>
      <c r="R95" s="1483"/>
      <c r="S95" s="1483"/>
      <c r="T95" s="1483"/>
      <c r="U95" s="1483"/>
      <c r="V95" s="1483"/>
      <c r="W95" s="1484"/>
      <c r="X95" s="1483"/>
    </row>
    <row r="96" spans="1:24" s="259" customFormat="1" ht="15" x14ac:dyDescent="0.2">
      <c r="A96" s="445"/>
      <c r="B96" s="1483"/>
      <c r="C96" s="1483"/>
      <c r="D96" s="1483"/>
      <c r="E96" s="1483"/>
      <c r="F96" s="1483"/>
      <c r="G96" s="1483"/>
      <c r="H96" s="1483"/>
      <c r="I96" s="1483"/>
      <c r="J96" s="1483"/>
      <c r="K96" s="1483"/>
      <c r="L96" s="1483"/>
      <c r="M96" s="1483"/>
      <c r="N96" s="1483"/>
      <c r="O96" s="1483"/>
      <c r="P96" s="1483"/>
      <c r="Q96" s="1483"/>
      <c r="R96" s="1483"/>
      <c r="S96" s="1483"/>
      <c r="T96" s="1483"/>
      <c r="U96" s="1483"/>
      <c r="V96" s="1483"/>
      <c r="W96" s="1484"/>
      <c r="X96" s="1483"/>
    </row>
    <row r="97" spans="1:24" s="259" customFormat="1" ht="15" x14ac:dyDescent="0.2">
      <c r="A97" s="445"/>
      <c r="B97" s="1483"/>
      <c r="C97" s="1483"/>
      <c r="D97" s="1483"/>
      <c r="E97" s="1483"/>
      <c r="F97" s="1483"/>
      <c r="G97" s="1483"/>
      <c r="H97" s="1483"/>
      <c r="I97" s="1483"/>
      <c r="J97" s="1483"/>
      <c r="K97" s="1483"/>
      <c r="L97" s="1483"/>
      <c r="M97" s="1483"/>
      <c r="N97" s="1483"/>
      <c r="O97" s="1483"/>
      <c r="P97" s="1483"/>
      <c r="Q97" s="1483"/>
      <c r="R97" s="1483"/>
      <c r="S97" s="1483"/>
      <c r="T97" s="1483"/>
      <c r="U97" s="1483"/>
      <c r="V97" s="1483"/>
      <c r="W97" s="1484"/>
      <c r="X97" s="1483"/>
    </row>
    <row r="98" spans="1:24" s="259" customFormat="1" ht="15" x14ac:dyDescent="0.2">
      <c r="A98" s="445"/>
      <c r="B98" s="1483"/>
      <c r="C98" s="1483"/>
      <c r="D98" s="1483"/>
      <c r="E98" s="1483"/>
      <c r="F98" s="1483"/>
      <c r="G98" s="1483"/>
      <c r="H98" s="1483"/>
      <c r="I98" s="1483"/>
      <c r="J98" s="1483"/>
      <c r="K98" s="1483"/>
      <c r="L98" s="1483"/>
      <c r="M98" s="1483"/>
      <c r="N98" s="1483"/>
      <c r="O98" s="1483"/>
      <c r="P98" s="1483"/>
      <c r="Q98" s="1483"/>
      <c r="R98" s="1483"/>
      <c r="S98" s="1483"/>
      <c r="T98" s="1483"/>
      <c r="U98" s="1483"/>
      <c r="V98" s="1483"/>
      <c r="W98" s="1484"/>
      <c r="X98" s="1483"/>
    </row>
    <row r="99" spans="1:24" s="259" customFormat="1" ht="15" x14ac:dyDescent="0.2">
      <c r="A99" s="445"/>
      <c r="B99" s="1483"/>
      <c r="C99" s="1483"/>
      <c r="D99" s="1483"/>
      <c r="E99" s="1483"/>
      <c r="F99" s="1483"/>
      <c r="G99" s="1483"/>
      <c r="H99" s="1483"/>
      <c r="I99" s="1483"/>
      <c r="J99" s="1483"/>
      <c r="K99" s="1483"/>
      <c r="L99" s="1483"/>
      <c r="M99" s="1483"/>
      <c r="N99" s="1483"/>
      <c r="O99" s="1483"/>
      <c r="P99" s="1483"/>
      <c r="Q99" s="1483"/>
      <c r="R99" s="1483"/>
      <c r="S99" s="1483"/>
      <c r="T99" s="1483"/>
      <c r="U99" s="1483"/>
      <c r="V99" s="1483"/>
      <c r="W99" s="1484"/>
      <c r="X99" s="1483"/>
    </row>
    <row r="100" spans="1:24" s="259" customFormat="1" ht="15" x14ac:dyDescent="0.2">
      <c r="A100" s="445"/>
      <c r="B100" s="1483"/>
      <c r="C100" s="1483"/>
      <c r="D100" s="1483"/>
      <c r="E100" s="1483"/>
      <c r="F100" s="1483"/>
      <c r="G100" s="1483"/>
      <c r="H100" s="1483"/>
      <c r="I100" s="1483"/>
      <c r="J100" s="1483"/>
      <c r="K100" s="1483"/>
      <c r="L100" s="1483"/>
      <c r="M100" s="1483"/>
      <c r="N100" s="1483"/>
      <c r="O100" s="1483"/>
      <c r="P100" s="1483"/>
      <c r="Q100" s="1483"/>
      <c r="R100" s="1483"/>
      <c r="S100" s="1483"/>
      <c r="T100" s="1483"/>
      <c r="U100" s="1483"/>
      <c r="V100" s="1483"/>
      <c r="W100" s="1484"/>
      <c r="X100" s="1483"/>
    </row>
    <row r="101" spans="1:24" s="259" customFormat="1" ht="15" x14ac:dyDescent="0.2">
      <c r="A101" s="445"/>
      <c r="B101" s="1483"/>
      <c r="C101" s="1483"/>
      <c r="D101" s="1483"/>
      <c r="E101" s="1483"/>
      <c r="F101" s="1483"/>
      <c r="G101" s="1483"/>
      <c r="H101" s="1483"/>
      <c r="I101" s="1483"/>
      <c r="J101" s="1483"/>
      <c r="K101" s="1483"/>
      <c r="L101" s="1483"/>
      <c r="M101" s="1483"/>
      <c r="N101" s="1483"/>
      <c r="O101" s="1483"/>
      <c r="P101" s="1483"/>
      <c r="Q101" s="1483"/>
      <c r="R101" s="1483"/>
      <c r="S101" s="1483"/>
      <c r="T101" s="1483"/>
      <c r="U101" s="1483"/>
      <c r="V101" s="1483"/>
      <c r="W101" s="1484"/>
      <c r="X101" s="1483"/>
    </row>
    <row r="102" spans="1:24" s="259" customFormat="1" ht="15" x14ac:dyDescent="0.2">
      <c r="A102" s="445"/>
      <c r="B102" s="1483"/>
      <c r="C102" s="1483"/>
      <c r="D102" s="1483"/>
      <c r="E102" s="1483"/>
      <c r="F102" s="1483"/>
      <c r="G102" s="1483"/>
      <c r="H102" s="1483"/>
      <c r="I102" s="1483"/>
      <c r="J102" s="1483"/>
      <c r="K102" s="1483"/>
      <c r="L102" s="1483"/>
      <c r="M102" s="1483"/>
      <c r="N102" s="1483"/>
      <c r="O102" s="1483"/>
      <c r="P102" s="1483"/>
      <c r="Q102" s="1483"/>
      <c r="R102" s="1483"/>
      <c r="S102" s="1483"/>
      <c r="T102" s="1483"/>
      <c r="U102" s="1483"/>
      <c r="V102" s="1483"/>
      <c r="W102" s="1484"/>
      <c r="X102" s="1483"/>
    </row>
    <row r="103" spans="1:24" s="259" customFormat="1" ht="15" x14ac:dyDescent="0.2">
      <c r="A103" s="445"/>
      <c r="B103" s="1483"/>
      <c r="C103" s="1483"/>
      <c r="D103" s="1483"/>
      <c r="E103" s="1483"/>
      <c r="F103" s="1483"/>
      <c r="G103" s="1483"/>
      <c r="H103" s="1483"/>
      <c r="I103" s="1483"/>
      <c r="J103" s="1483"/>
      <c r="K103" s="1483"/>
      <c r="L103" s="1483"/>
      <c r="M103" s="1483"/>
      <c r="N103" s="1483"/>
      <c r="O103" s="1483"/>
      <c r="P103" s="1483"/>
      <c r="Q103" s="1483"/>
      <c r="R103" s="1483"/>
      <c r="S103" s="1483"/>
      <c r="T103" s="1483"/>
      <c r="U103" s="1483"/>
      <c r="V103" s="1483"/>
      <c r="W103" s="1484"/>
      <c r="X103" s="1483"/>
    </row>
    <row r="104" spans="1:24" s="259" customFormat="1" ht="15" x14ac:dyDescent="0.2">
      <c r="A104" s="445"/>
      <c r="B104" s="1483"/>
      <c r="C104" s="1483"/>
      <c r="D104" s="1483"/>
      <c r="E104" s="1483"/>
      <c r="F104" s="1483"/>
      <c r="G104" s="1483"/>
      <c r="H104" s="1483"/>
      <c r="I104" s="1483"/>
      <c r="J104" s="1483"/>
      <c r="K104" s="1483"/>
      <c r="L104" s="1483"/>
      <c r="M104" s="1483"/>
      <c r="N104" s="1483"/>
      <c r="O104" s="1483"/>
      <c r="P104" s="1483"/>
      <c r="Q104" s="1483"/>
      <c r="R104" s="1483"/>
      <c r="S104" s="1483"/>
      <c r="T104" s="1483"/>
      <c r="U104" s="1483"/>
      <c r="V104" s="1483"/>
      <c r="W104" s="1484"/>
      <c r="X104" s="1483"/>
    </row>
    <row r="105" spans="1:24" ht="15" x14ac:dyDescent="0.2">
      <c r="W105" s="1484"/>
    </row>
    <row r="106" spans="1:24" ht="15" x14ac:dyDescent="0.2">
      <c r="W106" s="1484"/>
    </row>
  </sheetData>
  <sheetProtection algorithmName="SHA-512" hashValue="9bv+cDEoYGuN+RUgxosjreeSgrm7+baPCVc/KeWcp2HUsPvQWM+IY/r70+a/Fp30yXTYkL9f03SplkJN/hN0CA==" saltValue="lSdZUsaCsi2gYg4HDAvbTQ==" spinCount="100000" sheet="1" objects="1" scenarios="1" autoFilter="0"/>
  <customSheetViews>
    <customSheetView guid="{9FCFC836-1CA5-48BF-958D-24D2EA94B219}" showGridLines="0" fitToPage="1" hiddenRows="1" hiddenColumns="1" topLeftCell="B29">
      <selection activeCell="L78" sqref="L78"/>
      <pageMargins left="0" right="0" top="0" bottom="0" header="0" footer="0"/>
      <pageSetup scale="98" orientation="portrait" r:id="rId1"/>
      <headerFooter alignWithMargins="0">
        <oddFooter>&amp;R&amp;A</oddFooter>
      </headerFooter>
    </customSheetView>
    <customSheetView guid="{B08879A4-635B-4C39-9937-AC7883D562FC}" showGridLines="0" fitToPage="1" hiddenRows="1" hiddenColumns="1" topLeftCell="B29">
      <selection activeCell="L78" sqref="L78"/>
      <pageMargins left="0" right="0" top="0" bottom="0" header="0" footer="0"/>
      <pageSetup scale="98" orientation="portrait" r:id="rId2"/>
      <headerFooter alignWithMargins="0">
        <oddFooter>&amp;R&amp;A</oddFooter>
      </headerFooter>
    </customSheetView>
  </customSheetViews>
  <mergeCells count="36">
    <mergeCell ref="Q1:Q3"/>
    <mergeCell ref="K33:P35"/>
    <mergeCell ref="I7:P7"/>
    <mergeCell ref="I8:P8"/>
    <mergeCell ref="I9:P9"/>
    <mergeCell ref="B1:P1"/>
    <mergeCell ref="B2:P2"/>
    <mergeCell ref="B3:P3"/>
    <mergeCell ref="B4:P4"/>
    <mergeCell ref="G6:P6"/>
    <mergeCell ref="I10:P10"/>
    <mergeCell ref="B5:P5"/>
    <mergeCell ref="J68:K68"/>
    <mergeCell ref="L68:M68"/>
    <mergeCell ref="N68:O68"/>
    <mergeCell ref="J50:K50"/>
    <mergeCell ref="L50:M50"/>
    <mergeCell ref="L61:M61"/>
    <mergeCell ref="N61:O61"/>
    <mergeCell ref="J61:K61"/>
    <mergeCell ref="B67:J67"/>
    <mergeCell ref="F57:P57"/>
    <mergeCell ref="C58:P58"/>
    <mergeCell ref="N50:O50"/>
    <mergeCell ref="K46:P46"/>
    <mergeCell ref="K44:P45"/>
    <mergeCell ref="L55:M55"/>
    <mergeCell ref="N55:O55"/>
    <mergeCell ref="C57:E57"/>
    <mergeCell ref="J55:K55"/>
    <mergeCell ref="K38:P40"/>
    <mergeCell ref="K41:M41"/>
    <mergeCell ref="N41:P41"/>
    <mergeCell ref="K36:P36"/>
    <mergeCell ref="N42:P42"/>
    <mergeCell ref="K42:M42"/>
  </mergeCells>
  <phoneticPr fontId="16" type="noConversion"/>
  <conditionalFormatting sqref="Q1:Q3">
    <cfRule type="cellIs" dxfId="129" priority="1" stopIfTrue="1" operator="equal">
      <formula>"na"</formula>
    </cfRule>
  </conditionalFormatting>
  <dataValidations count="4">
    <dataValidation type="decimal" operator="greaterThanOrEqual" allowBlank="1" showInputMessage="1" showErrorMessage="1" errorTitle="Invalid amount!" error="Amount must be positive." sqref="G33:G45 I33:I45 K36:P36 K42:P42" xr:uid="{00000000-0002-0000-0E00-000000000000}">
      <formula1>0</formula1>
    </dataValidation>
    <dataValidation type="textLength" operator="equal" allowBlank="1" showErrorMessage="1" errorTitle="Invalid input!" error="Enter a single x." sqref="D15 D23 D17 D19 D21 D25:D29" xr:uid="{00000000-0002-0000-0E00-000001000000}">
      <formula1>1</formula1>
    </dataValidation>
    <dataValidation type="list" showInputMessage="1" showErrorMessage="1" sqref="Q50" xr:uid="{00000000-0002-0000-0E00-000002000000}">
      <formula1>$V$41:$V$44</formula1>
    </dataValidation>
    <dataValidation type="list" allowBlank="1" showInputMessage="1" showErrorMessage="1" sqref="E8" xr:uid="{78B44C8A-BE2C-4252-AE8F-3BE16C65714E}">
      <formula1>"GovtAct,BTAAct"</formula1>
    </dataValidation>
  </dataValidations>
  <hyperlinks>
    <hyperlink ref="B1:P1" location="Index!A1" display="Index!A1" xr:uid="{00000000-0004-0000-0E00-000000000000}"/>
  </hyperlinks>
  <pageMargins left="0.6" right="0.6" top="0.5" bottom="0.5" header="0.3" footer="0.3"/>
  <pageSetup scale="85"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6"/>
  <dimension ref="A1:AG82"/>
  <sheetViews>
    <sheetView showGridLines="0" topLeftCell="B1" zoomScaleNormal="100" zoomScaleSheetLayoutView="100" workbookViewId="0">
      <selection activeCell="A2" sqref="A2:R2"/>
    </sheetView>
  </sheetViews>
  <sheetFormatPr defaultColWidth="9.42578125" defaultRowHeight="11.25" x14ac:dyDescent="0.2"/>
  <cols>
    <col min="1" max="1" width="9.42578125" style="261" hidden="1" customWidth="1"/>
    <col min="2" max="2" width="1.5703125" style="15" customWidth="1"/>
    <col min="3" max="3" width="6.5703125" style="15" customWidth="1"/>
    <col min="4" max="4" width="5.5703125" style="15" customWidth="1"/>
    <col min="5" max="5" width="11" style="15" customWidth="1"/>
    <col min="6" max="6" width="3.5703125" style="15" customWidth="1"/>
    <col min="7" max="7" width="15.5703125" style="15" customWidth="1"/>
    <col min="8" max="8" width="1.5703125" style="15" customWidth="1"/>
    <col min="9" max="9" width="15.5703125" style="15" customWidth="1"/>
    <col min="10" max="10" width="1.5703125" style="15" customWidth="1"/>
    <col min="11" max="11" width="15.5703125" style="15" customWidth="1"/>
    <col min="12" max="12" width="1.5703125" style="15" customWidth="1"/>
    <col min="13" max="18" width="3.42578125" style="15" customWidth="1"/>
    <col min="19" max="19" width="4.5703125" style="15" customWidth="1"/>
    <col min="20" max="20" width="0" style="15" hidden="1" customWidth="1"/>
    <col min="21" max="22" width="9.42578125" style="261" hidden="1" customWidth="1"/>
    <col min="23" max="16384" width="9.42578125" style="15"/>
  </cols>
  <sheetData>
    <row r="1" spans="1:33" s="12" customFormat="1" ht="15" customHeight="1" x14ac:dyDescent="0.25">
      <c r="A1" s="260"/>
      <c r="B1" s="2455" t="str">
        <f>+Index!$A$1</f>
        <v xml:space="preserve">                                                               Office of the State Controller                                                                </v>
      </c>
      <c r="C1" s="2455"/>
      <c r="D1" s="2455"/>
      <c r="E1" s="2455"/>
      <c r="F1" s="2455"/>
      <c r="G1" s="2455"/>
      <c r="H1" s="2455"/>
      <c r="I1" s="2455"/>
      <c r="J1" s="2455"/>
      <c r="K1" s="2455"/>
      <c r="L1" s="2455"/>
      <c r="M1" s="2455"/>
      <c r="N1" s="2455"/>
      <c r="O1" s="2455"/>
      <c r="P1" s="2455"/>
      <c r="Q1" s="2455"/>
      <c r="R1" s="2455"/>
      <c r="S1" s="2520" t="str">
        <f>IF(Index!$B$35="na","NA","")</f>
        <v/>
      </c>
      <c r="U1" s="260"/>
      <c r="V1" s="260"/>
      <c r="AG1" s="13"/>
    </row>
    <row r="2" spans="1:33" s="12" customFormat="1" ht="15" customHeight="1" x14ac:dyDescent="0.25">
      <c r="A2" s="260"/>
      <c r="B2" s="2511" t="str">
        <f>+Index!$A$2</f>
        <v>2023 ACFR Worksheets</v>
      </c>
      <c r="C2" s="2511"/>
      <c r="D2" s="2511"/>
      <c r="E2" s="2511"/>
      <c r="F2" s="2511"/>
      <c r="G2" s="2511"/>
      <c r="H2" s="2511"/>
      <c r="I2" s="2511"/>
      <c r="J2" s="2511"/>
      <c r="K2" s="2511"/>
      <c r="L2" s="2511"/>
      <c r="M2" s="2511"/>
      <c r="N2" s="2511"/>
      <c r="O2" s="2511"/>
      <c r="P2" s="2511"/>
      <c r="Q2" s="2511"/>
      <c r="R2" s="2511"/>
      <c r="S2" s="2520"/>
      <c r="U2" s="260"/>
      <c r="V2" s="260"/>
    </row>
    <row r="3" spans="1:33" s="12" customFormat="1" ht="15" customHeight="1" x14ac:dyDescent="0.25">
      <c r="A3" s="260"/>
      <c r="B3" s="2511" t="s">
        <v>1097</v>
      </c>
      <c r="C3" s="2511"/>
      <c r="D3" s="2511"/>
      <c r="E3" s="2511"/>
      <c r="F3" s="2511"/>
      <c r="G3" s="2511"/>
      <c r="H3" s="2511"/>
      <c r="I3" s="2511"/>
      <c r="J3" s="2511"/>
      <c r="K3" s="2511"/>
      <c r="L3" s="2511"/>
      <c r="M3" s="2511"/>
      <c r="N3" s="2511"/>
      <c r="O3" s="2511"/>
      <c r="P3" s="2511"/>
      <c r="Q3" s="2511"/>
      <c r="R3" s="2511"/>
      <c r="S3" s="2520"/>
      <c r="U3" s="260"/>
      <c r="V3" s="260"/>
    </row>
    <row r="4" spans="1:33" s="12" customFormat="1" ht="15" customHeight="1" x14ac:dyDescent="0.25">
      <c r="A4" s="260"/>
      <c r="B4" s="2511" t="s">
        <v>1098</v>
      </c>
      <c r="C4" s="2511"/>
      <c r="D4" s="2511"/>
      <c r="E4" s="2511"/>
      <c r="F4" s="2511"/>
      <c r="G4" s="2511"/>
      <c r="H4" s="2511"/>
      <c r="I4" s="2511"/>
      <c r="J4" s="2511"/>
      <c r="K4" s="2511"/>
      <c r="L4" s="2511"/>
      <c r="M4" s="2511"/>
      <c r="N4" s="2511"/>
      <c r="O4" s="2511"/>
      <c r="P4" s="2511"/>
      <c r="Q4" s="2511"/>
      <c r="R4" s="2511"/>
      <c r="S4" s="14"/>
      <c r="U4" s="260"/>
      <c r="V4" s="260"/>
    </row>
    <row r="5" spans="1:33" s="12" customFormat="1" ht="15" customHeight="1" x14ac:dyDescent="0.25">
      <c r="A5" s="260"/>
      <c r="B5" s="2511" t="s">
        <v>1099</v>
      </c>
      <c r="C5" s="2511"/>
      <c r="D5" s="2511"/>
      <c r="E5" s="2511"/>
      <c r="F5" s="2511"/>
      <c r="G5" s="2511"/>
      <c r="H5" s="2511"/>
      <c r="I5" s="2511"/>
      <c r="J5" s="2511"/>
      <c r="K5" s="2511"/>
      <c r="L5" s="2511"/>
      <c r="M5" s="2511"/>
      <c r="N5" s="2511"/>
      <c r="O5" s="2511"/>
      <c r="P5" s="2511"/>
      <c r="Q5" s="2237"/>
      <c r="R5" s="2237"/>
      <c r="S5" s="14"/>
      <c r="U5" s="260"/>
      <c r="V5" s="260"/>
    </row>
    <row r="6" spans="1:33" s="75" customFormat="1" ht="12" customHeight="1" x14ac:dyDescent="0.2">
      <c r="A6" s="2308"/>
      <c r="B6" s="289"/>
      <c r="C6" s="289"/>
      <c r="D6" s="289"/>
      <c r="E6" s="289"/>
      <c r="F6" s="289"/>
      <c r="G6" s="289"/>
      <c r="H6" s="289"/>
      <c r="I6" s="289"/>
      <c r="J6" s="2238" t="s">
        <v>1059</v>
      </c>
      <c r="K6" s="289"/>
      <c r="L6" s="2238"/>
      <c r="M6" s="2238"/>
      <c r="N6" s="2238"/>
      <c r="O6" s="2238"/>
      <c r="P6" s="2238"/>
      <c r="Q6" s="2238"/>
      <c r="R6" s="2238"/>
      <c r="S6" s="289"/>
      <c r="T6" s="289"/>
      <c r="U6" s="2308"/>
      <c r="V6" s="2308"/>
      <c r="W6" s="289"/>
      <c r="X6" s="289"/>
      <c r="Y6" s="289"/>
      <c r="Z6" s="289"/>
      <c r="AA6" s="289"/>
      <c r="AB6" s="289"/>
      <c r="AC6" s="289"/>
      <c r="AD6" s="289"/>
      <c r="AE6" s="289"/>
      <c r="AF6" s="289"/>
      <c r="AG6" s="289"/>
    </row>
    <row r="7" spans="1:33" s="75" customFormat="1" ht="12" customHeight="1" x14ac:dyDescent="0.2">
      <c r="A7" s="2308"/>
      <c r="B7" s="289"/>
      <c r="C7" s="289"/>
      <c r="D7" s="289"/>
      <c r="E7" s="288"/>
      <c r="F7" s="289"/>
      <c r="G7" s="289"/>
      <c r="H7" s="1754" t="s">
        <v>317</v>
      </c>
      <c r="I7" s="2492" t="str">
        <f>+Index!$E$10</f>
        <v>01</v>
      </c>
      <c r="J7" s="2492"/>
      <c r="K7" s="2492"/>
      <c r="L7" s="2492"/>
      <c r="M7" s="2492"/>
      <c r="N7" s="2492"/>
      <c r="O7" s="2492"/>
      <c r="P7" s="2492"/>
      <c r="Q7" s="2492"/>
      <c r="R7" s="2492"/>
      <c r="S7" s="21"/>
      <c r="T7" s="289"/>
      <c r="U7" s="2308"/>
      <c r="V7" s="2308"/>
      <c r="W7" s="289"/>
      <c r="X7" s="289"/>
      <c r="Y7" s="289"/>
      <c r="Z7" s="289"/>
      <c r="AA7" s="289"/>
      <c r="AB7" s="289"/>
      <c r="AC7" s="289"/>
      <c r="AD7" s="289"/>
      <c r="AE7" s="289"/>
      <c r="AF7" s="289"/>
      <c r="AG7" s="289"/>
    </row>
    <row r="8" spans="1:33" s="75" customFormat="1" ht="12" customHeight="1" x14ac:dyDescent="0.2">
      <c r="A8" s="2308"/>
      <c r="B8" s="289"/>
      <c r="C8" s="1481" t="s">
        <v>963</v>
      </c>
      <c r="D8" s="289"/>
      <c r="E8" s="1539" t="s">
        <v>877</v>
      </c>
      <c r="F8" s="289"/>
      <c r="G8" s="289"/>
      <c r="H8" s="1754" t="s">
        <v>318</v>
      </c>
      <c r="I8" s="2545" t="str">
        <f>+Index!$E$11</f>
        <v>North Carolina General Assembly</v>
      </c>
      <c r="J8" s="2545"/>
      <c r="K8" s="2545"/>
      <c r="L8" s="2545"/>
      <c r="M8" s="2545"/>
      <c r="N8" s="2545"/>
      <c r="O8" s="2545"/>
      <c r="P8" s="2545"/>
      <c r="Q8" s="2545"/>
      <c r="R8" s="2545"/>
      <c r="S8" s="21"/>
      <c r="T8" s="289"/>
      <c r="U8" s="2308"/>
      <c r="V8" s="2308"/>
      <c r="W8" s="289"/>
      <c r="X8" s="289"/>
      <c r="Y8" s="289"/>
      <c r="Z8" s="289"/>
      <c r="AA8" s="289"/>
      <c r="AB8" s="289"/>
      <c r="AC8" s="289"/>
      <c r="AD8" s="289"/>
      <c r="AE8" s="289"/>
      <c r="AF8" s="289"/>
      <c r="AG8" s="289"/>
    </row>
    <row r="9" spans="1:33" s="75" customFormat="1" ht="12" customHeight="1" x14ac:dyDescent="0.2">
      <c r="A9" s="2308"/>
      <c r="B9" s="289" t="s">
        <v>568</v>
      </c>
      <c r="C9" s="289"/>
      <c r="D9" s="289"/>
      <c r="E9" s="1770" t="s">
        <v>698</v>
      </c>
      <c r="F9" s="289"/>
      <c r="G9" s="289"/>
      <c r="H9" s="1754" t="s">
        <v>319</v>
      </c>
      <c r="I9" s="2546" t="str">
        <f>CONCATENATE(Index!$E$12," ",Index!$E$14)</f>
        <v xml:space="preserve"> </v>
      </c>
      <c r="J9" s="2546"/>
      <c r="K9" s="2546"/>
      <c r="L9" s="2546"/>
      <c r="M9" s="2546"/>
      <c r="N9" s="2546"/>
      <c r="O9" s="2546"/>
      <c r="P9" s="2546"/>
      <c r="Q9" s="2546"/>
      <c r="R9" s="2546"/>
      <c r="S9" s="21"/>
      <c r="T9" s="289"/>
      <c r="U9" s="2308"/>
      <c r="V9" s="2308"/>
      <c r="W9" s="289"/>
      <c r="X9" s="289"/>
      <c r="Y9" s="289"/>
      <c r="Z9" s="289"/>
      <c r="AA9" s="289"/>
      <c r="AB9" s="289"/>
      <c r="AC9" s="289"/>
      <c r="AD9" s="289"/>
      <c r="AE9" s="289"/>
      <c r="AF9" s="289"/>
      <c r="AG9" s="289"/>
    </row>
    <row r="10" spans="1:33" s="75" customFormat="1" ht="12" customHeight="1" x14ac:dyDescent="0.2">
      <c r="A10" s="2308"/>
      <c r="B10" s="289"/>
      <c r="C10" s="289"/>
      <c r="D10" s="289"/>
      <c r="E10" s="288"/>
      <c r="F10" s="289"/>
      <c r="G10" s="289"/>
      <c r="H10" s="1754" t="s">
        <v>71</v>
      </c>
      <c r="I10" s="2546">
        <f>+Index!$E$13</f>
        <v>0</v>
      </c>
      <c r="J10" s="2546"/>
      <c r="K10" s="2546"/>
      <c r="L10" s="2546"/>
      <c r="M10" s="2546"/>
      <c r="N10" s="2546"/>
      <c r="O10" s="2546"/>
      <c r="P10" s="2546"/>
      <c r="Q10" s="2546"/>
      <c r="R10" s="2546"/>
      <c r="S10" s="21"/>
      <c r="T10" s="289"/>
      <c r="U10" s="2308"/>
      <c r="V10" s="2308"/>
      <c r="W10" s="289"/>
      <c r="X10" s="289"/>
      <c r="Y10" s="289"/>
      <c r="Z10" s="289"/>
      <c r="AA10" s="289"/>
      <c r="AB10" s="289"/>
      <c r="AC10" s="289"/>
      <c r="AD10" s="289"/>
      <c r="AE10" s="289"/>
      <c r="AF10" s="289"/>
      <c r="AG10" s="289"/>
    </row>
    <row r="11" spans="1:33" s="75" customFormat="1" ht="6.75" customHeight="1" thickBot="1" x14ac:dyDescent="0.25">
      <c r="A11" s="2308"/>
      <c r="B11" s="1756"/>
      <c r="C11" s="1756"/>
      <c r="D11" s="1756"/>
      <c r="E11" s="1756"/>
      <c r="F11" s="1756"/>
      <c r="G11" s="1756"/>
      <c r="H11" s="1756"/>
      <c r="I11" s="1756"/>
      <c r="J11" s="1756"/>
      <c r="K11" s="1756"/>
      <c r="L11" s="1756"/>
      <c r="M11" s="1756"/>
      <c r="N11" s="1756"/>
      <c r="O11" s="1756"/>
      <c r="P11" s="1756"/>
      <c r="Q11" s="1756"/>
      <c r="R11" s="1756"/>
      <c r="S11" s="289"/>
      <c r="T11" s="289"/>
      <c r="U11" s="2308"/>
      <c r="V11" s="2308"/>
      <c r="W11" s="289"/>
      <c r="X11" s="289"/>
      <c r="Y11" s="289"/>
      <c r="Z11" s="289"/>
      <c r="AA11" s="289"/>
      <c r="AB11" s="289"/>
      <c r="AC11" s="289"/>
      <c r="AD11" s="289"/>
      <c r="AE11" s="289"/>
      <c r="AF11" s="289"/>
      <c r="AG11" s="289"/>
    </row>
    <row r="12" spans="1:33" s="75" customFormat="1" ht="14.1" customHeight="1" x14ac:dyDescent="0.2">
      <c r="A12" s="2308"/>
      <c r="B12" s="289"/>
      <c r="C12" s="289"/>
      <c r="D12" s="289"/>
      <c r="E12" s="289"/>
      <c r="F12" s="289"/>
      <c r="G12" s="289"/>
      <c r="H12" s="289"/>
      <c r="I12" s="289"/>
      <c r="J12" s="289"/>
      <c r="K12" s="289"/>
      <c r="L12" s="289"/>
      <c r="M12" s="289"/>
      <c r="N12" s="289"/>
      <c r="O12" s="289"/>
      <c r="P12" s="289"/>
      <c r="Q12" s="289"/>
      <c r="R12" s="289"/>
      <c r="S12" s="289"/>
      <c r="T12" s="289"/>
      <c r="U12" s="2308"/>
      <c r="V12" s="2308"/>
      <c r="W12" s="289"/>
      <c r="X12" s="289"/>
      <c r="Y12" s="289"/>
      <c r="Z12" s="289"/>
      <c r="AA12" s="289"/>
      <c r="AB12" s="289"/>
      <c r="AC12" s="289"/>
      <c r="AD12" s="289"/>
      <c r="AE12" s="289"/>
      <c r="AF12" s="289"/>
      <c r="AG12" s="289"/>
    </row>
    <row r="13" spans="1:33" s="75" customFormat="1" ht="12" customHeight="1" x14ac:dyDescent="0.2">
      <c r="A13" s="2308">
        <f>SUM(A15:A31)</f>
        <v>0</v>
      </c>
      <c r="B13" s="77" t="s">
        <v>1060</v>
      </c>
      <c r="C13" s="159"/>
      <c r="D13" s="159"/>
      <c r="E13" s="159"/>
      <c r="F13" s="159"/>
      <c r="G13" s="159"/>
      <c r="H13" s="159"/>
      <c r="I13" s="159"/>
      <c r="J13" s="159"/>
      <c r="K13" s="159"/>
      <c r="L13" s="159"/>
      <c r="M13" s="159"/>
      <c r="N13" s="159"/>
      <c r="O13" s="159"/>
      <c r="P13" s="159"/>
      <c r="Q13" s="159"/>
      <c r="R13" s="159"/>
      <c r="S13" s="159"/>
      <c r="T13" s="159"/>
      <c r="U13" s="1532"/>
      <c r="V13" s="2308"/>
      <c r="W13" s="289"/>
      <c r="X13" s="289"/>
      <c r="Y13" s="1481" t="s">
        <v>1100</v>
      </c>
      <c r="Z13" s="289"/>
      <c r="AA13" s="289"/>
      <c r="AB13" s="289"/>
      <c r="AC13" s="289"/>
      <c r="AD13" s="289"/>
      <c r="AE13" s="289"/>
      <c r="AF13" s="289"/>
      <c r="AG13" s="289"/>
    </row>
    <row r="14" spans="1:33" s="75" customFormat="1" ht="12" customHeight="1" thickBot="1" x14ac:dyDescent="0.25">
      <c r="A14" s="2308"/>
      <c r="B14" s="77"/>
      <c r="C14" s="159"/>
      <c r="D14" s="159"/>
      <c r="E14" s="159"/>
      <c r="F14" s="159"/>
      <c r="G14" s="159"/>
      <c r="H14" s="159"/>
      <c r="I14" s="159"/>
      <c r="J14" s="159"/>
      <c r="K14" s="159"/>
      <c r="L14" s="159"/>
      <c r="M14" s="159"/>
      <c r="N14" s="159"/>
      <c r="O14" s="159"/>
      <c r="P14" s="159"/>
      <c r="Q14" s="159"/>
      <c r="R14" s="159"/>
      <c r="S14" s="159"/>
      <c r="T14" s="159"/>
      <c r="U14" s="1532"/>
      <c r="V14" s="2308"/>
      <c r="W14" s="289"/>
      <c r="X14" s="289"/>
      <c r="Y14" s="289"/>
      <c r="Z14" s="289"/>
      <c r="AA14" s="289"/>
      <c r="AB14" s="289"/>
      <c r="AC14" s="289"/>
      <c r="AD14" s="289"/>
      <c r="AE14" s="289"/>
      <c r="AF14" s="289"/>
      <c r="AG14" s="289"/>
    </row>
    <row r="15" spans="1:33" s="75" customFormat="1" ht="12.75" customHeight="1" thickBot="1" x14ac:dyDescent="0.25">
      <c r="A15" s="2308" t="str">
        <f>IF(ISBLANK(D15)," ",C15)</f>
        <v xml:space="preserve"> </v>
      </c>
      <c r="B15" s="159"/>
      <c r="C15" s="192"/>
      <c r="D15" s="1000"/>
      <c r="E15" s="1" t="s">
        <v>1101</v>
      </c>
      <c r="F15" s="159"/>
      <c r="G15" s="159"/>
      <c r="H15" s="159"/>
      <c r="I15" s="159"/>
      <c r="J15" s="159"/>
      <c r="K15" s="159"/>
      <c r="L15" s="159"/>
      <c r="M15" s="159"/>
      <c r="N15" s="159"/>
      <c r="O15" s="159"/>
      <c r="P15" s="159"/>
      <c r="Q15" s="159"/>
      <c r="R15" s="159"/>
      <c r="S15" s="159"/>
      <c r="T15" s="159"/>
      <c r="U15" s="1532"/>
      <c r="V15" s="2308"/>
      <c r="W15" s="1465" t="str">
        <f>IF(D15="X","22610100","")</f>
        <v/>
      </c>
      <c r="X15" s="289"/>
      <c r="Y15" s="289"/>
      <c r="Z15" s="289"/>
      <c r="AA15" s="289"/>
      <c r="AB15" s="289"/>
      <c r="AC15" s="289"/>
      <c r="AD15" s="289"/>
      <c r="AE15" s="289"/>
      <c r="AF15" s="289"/>
      <c r="AG15" s="289"/>
    </row>
    <row r="16" spans="1:33" s="75" customFormat="1" ht="6" customHeight="1" thickBot="1" x14ac:dyDescent="0.25">
      <c r="A16" s="2308"/>
      <c r="B16" s="159"/>
      <c r="C16" s="192"/>
      <c r="D16" s="159"/>
      <c r="E16" s="159"/>
      <c r="F16" s="159"/>
      <c r="G16" s="159"/>
      <c r="H16" s="159"/>
      <c r="I16" s="159"/>
      <c r="J16" s="159"/>
      <c r="K16" s="159"/>
      <c r="L16" s="159"/>
      <c r="M16" s="159"/>
      <c r="N16" s="159"/>
      <c r="O16" s="159"/>
      <c r="P16" s="159"/>
      <c r="Q16" s="159"/>
      <c r="R16" s="159"/>
      <c r="S16" s="159"/>
      <c r="T16" s="159"/>
      <c r="U16" s="1532"/>
      <c r="V16" s="2308"/>
      <c r="W16" s="1465"/>
      <c r="X16" s="289"/>
      <c r="Y16" s="289"/>
      <c r="Z16" s="289"/>
      <c r="AA16" s="289"/>
      <c r="AB16" s="289"/>
      <c r="AC16" s="289"/>
      <c r="AD16" s="289"/>
      <c r="AE16" s="289"/>
      <c r="AF16" s="289"/>
      <c r="AG16" s="289"/>
    </row>
    <row r="17" spans="1:25" s="75" customFormat="1" ht="12.75" customHeight="1" thickBot="1" x14ac:dyDescent="0.25">
      <c r="A17" s="2308" t="str">
        <f>IF(ISBLANK(D17)," ",C17)</f>
        <v xml:space="preserve"> </v>
      </c>
      <c r="B17" s="159"/>
      <c r="C17" s="192"/>
      <c r="D17" s="1000"/>
      <c r="E17" s="1" t="s">
        <v>1064</v>
      </c>
      <c r="F17" s="159"/>
      <c r="G17" s="159"/>
      <c r="H17" s="159"/>
      <c r="I17" s="159"/>
      <c r="J17" s="159"/>
      <c r="K17" s="159"/>
      <c r="L17" s="159"/>
      <c r="M17" s="159"/>
      <c r="N17" s="159"/>
      <c r="O17" s="159"/>
      <c r="P17" s="159"/>
      <c r="Q17" s="159"/>
      <c r="R17" s="159"/>
      <c r="S17" s="159"/>
      <c r="T17" s="159"/>
      <c r="U17" s="1532"/>
      <c r="V17" s="2308"/>
      <c r="W17" s="1465" t="str">
        <f>IF(D17="X","22610000","")</f>
        <v/>
      </c>
      <c r="X17" s="289"/>
      <c r="Y17" s="289"/>
    </row>
    <row r="18" spans="1:25" s="75" customFormat="1" ht="6" customHeight="1" thickBot="1" x14ac:dyDescent="0.25">
      <c r="A18" s="2308"/>
      <c r="B18" s="159"/>
      <c r="C18" s="192"/>
      <c r="D18" s="159"/>
      <c r="E18" s="159"/>
      <c r="F18" s="159"/>
      <c r="G18" s="159"/>
      <c r="H18" s="159"/>
      <c r="I18" s="159"/>
      <c r="J18" s="159"/>
      <c r="K18" s="159"/>
      <c r="L18" s="159"/>
      <c r="M18" s="159"/>
      <c r="N18" s="159"/>
      <c r="O18" s="159"/>
      <c r="P18" s="159"/>
      <c r="Q18" s="159"/>
      <c r="R18" s="159"/>
      <c r="S18" s="159"/>
      <c r="T18" s="159"/>
      <c r="U18" s="1532"/>
      <c r="V18" s="2308"/>
      <c r="W18" s="1465"/>
      <c r="X18" s="289"/>
      <c r="Y18" s="289"/>
    </row>
    <row r="19" spans="1:25" s="75" customFormat="1" ht="12.75" customHeight="1" thickBot="1" x14ac:dyDescent="0.25">
      <c r="A19" s="2308" t="str">
        <f>IF(ISBLANK(D19)," ",C19)</f>
        <v xml:space="preserve"> </v>
      </c>
      <c r="B19" s="159"/>
      <c r="C19" s="192"/>
      <c r="D19" s="1000"/>
      <c r="E19" s="1" t="s">
        <v>1102</v>
      </c>
      <c r="F19" s="159"/>
      <c r="G19" s="289"/>
      <c r="H19" s="159"/>
      <c r="I19" s="159"/>
      <c r="J19" s="159"/>
      <c r="K19" s="159"/>
      <c r="L19" s="159"/>
      <c r="M19" s="159"/>
      <c r="N19" s="159"/>
      <c r="O19" s="159"/>
      <c r="P19" s="159"/>
      <c r="Q19" s="159"/>
      <c r="R19" s="159"/>
      <c r="S19" s="159"/>
      <c r="T19" s="159"/>
      <c r="U19" s="1532"/>
      <c r="V19" s="2308"/>
      <c r="W19" s="1465" t="str">
        <f>IF(D19="X","22610300","")</f>
        <v/>
      </c>
      <c r="X19" s="289"/>
      <c r="Y19" s="289"/>
    </row>
    <row r="20" spans="1:25" s="75" customFormat="1" ht="6.75" customHeight="1" thickBot="1" x14ac:dyDescent="0.25">
      <c r="A20" s="2308"/>
      <c r="B20" s="159"/>
      <c r="C20" s="159"/>
      <c r="D20" s="159"/>
      <c r="E20" s="159"/>
      <c r="F20" s="159"/>
      <c r="G20" s="1532"/>
      <c r="H20" s="1532"/>
      <c r="I20" s="1532"/>
      <c r="J20" s="1532"/>
      <c r="K20" s="1532"/>
      <c r="L20" s="2231"/>
      <c r="M20" s="159"/>
      <c r="N20" s="159"/>
      <c r="O20" s="159"/>
      <c r="P20" s="159"/>
      <c r="Q20" s="159"/>
      <c r="R20" s="159"/>
      <c r="S20" s="159"/>
      <c r="T20" s="159"/>
      <c r="U20" s="1532"/>
      <c r="V20" s="2308"/>
      <c r="W20" s="1465"/>
      <c r="X20" s="289"/>
      <c r="Y20" s="289"/>
    </row>
    <row r="21" spans="1:25" s="75" customFormat="1" ht="12.75" customHeight="1" thickBot="1" x14ac:dyDescent="0.25">
      <c r="A21" s="2308"/>
      <c r="B21" s="159"/>
      <c r="C21" s="192"/>
      <c r="D21" s="1000"/>
      <c r="E21" s="1" t="s">
        <v>1066</v>
      </c>
      <c r="F21" s="159"/>
      <c r="G21" s="1532"/>
      <c r="H21" s="1532"/>
      <c r="I21" s="1532"/>
      <c r="J21" s="1532"/>
      <c r="K21" s="1532"/>
      <c r="L21" s="2231"/>
      <c r="M21" s="159"/>
      <c r="N21" s="159"/>
      <c r="O21" s="159"/>
      <c r="P21" s="159"/>
      <c r="Q21" s="159"/>
      <c r="R21" s="159"/>
      <c r="S21" s="159"/>
      <c r="T21" s="159"/>
      <c r="U21" s="1532"/>
      <c r="V21" s="2308"/>
      <c r="W21" s="1465" t="str">
        <f>IF(D21="X","22610500","")</f>
        <v/>
      </c>
      <c r="X21" s="289"/>
      <c r="Y21" s="289"/>
    </row>
    <row r="22" spans="1:25" s="75" customFormat="1" ht="6" customHeight="1" thickBot="1" x14ac:dyDescent="0.25">
      <c r="A22" s="2308"/>
      <c r="B22" s="159"/>
      <c r="C22" s="159"/>
      <c r="D22" s="159"/>
      <c r="E22" s="159"/>
      <c r="F22" s="159"/>
      <c r="G22" s="1532"/>
      <c r="H22" s="1532"/>
      <c r="I22" s="1532"/>
      <c r="J22" s="1532"/>
      <c r="K22" s="1532"/>
      <c r="L22" s="2231"/>
      <c r="M22" s="159"/>
      <c r="N22" s="159"/>
      <c r="O22" s="159"/>
      <c r="P22" s="159"/>
      <c r="Q22" s="159"/>
      <c r="R22" s="159"/>
      <c r="S22" s="159"/>
      <c r="T22" s="159"/>
      <c r="U22" s="1532"/>
      <c r="V22" s="2308"/>
      <c r="W22" s="1465"/>
      <c r="X22" s="289"/>
      <c r="Y22" s="289"/>
    </row>
    <row r="23" spans="1:25" s="75" customFormat="1" ht="12.75" customHeight="1" thickBot="1" x14ac:dyDescent="0.25">
      <c r="A23" s="2308"/>
      <c r="B23" s="159"/>
      <c r="C23" s="192"/>
      <c r="D23" s="1000"/>
      <c r="E23" s="1" t="s">
        <v>1067</v>
      </c>
      <c r="F23" s="159"/>
      <c r="G23" s="1532"/>
      <c r="H23" s="1532"/>
      <c r="I23" s="1532"/>
      <c r="J23" s="1532"/>
      <c r="K23" s="1532"/>
      <c r="L23" s="2231"/>
      <c r="M23" s="159"/>
      <c r="N23" s="159"/>
      <c r="O23" s="159"/>
      <c r="P23" s="159"/>
      <c r="Q23" s="159"/>
      <c r="R23" s="159"/>
      <c r="S23" s="159"/>
      <c r="T23" s="159"/>
      <c r="U23" s="1532"/>
      <c r="V23" s="2308"/>
      <c r="W23" s="1465" t="str">
        <f>IF(D23="X","22610600","")</f>
        <v/>
      </c>
      <c r="X23" s="289"/>
      <c r="Y23" s="289"/>
    </row>
    <row r="24" spans="1:25" s="75" customFormat="1" ht="6" customHeight="1" thickBot="1" x14ac:dyDescent="0.25">
      <c r="A24" s="2308"/>
      <c r="B24" s="159"/>
      <c r="C24" s="192"/>
      <c r="D24" s="2250"/>
      <c r="E24" s="1"/>
      <c r="F24" s="159"/>
      <c r="G24" s="1532"/>
      <c r="H24" s="1532"/>
      <c r="I24" s="1532"/>
      <c r="J24" s="1532"/>
      <c r="K24" s="1532"/>
      <c r="L24" s="2231"/>
      <c r="M24" s="159"/>
      <c r="N24" s="159"/>
      <c r="O24" s="159"/>
      <c r="P24" s="159"/>
      <c r="Q24" s="159"/>
      <c r="R24" s="159"/>
      <c r="S24" s="159"/>
      <c r="T24" s="159"/>
      <c r="U24" s="1532"/>
      <c r="V24" s="2308"/>
      <c r="W24" s="1465"/>
      <c r="X24" s="289"/>
      <c r="Y24" s="289"/>
    </row>
    <row r="25" spans="1:25" s="75" customFormat="1" ht="12.75" customHeight="1" thickBot="1" x14ac:dyDescent="0.25">
      <c r="A25" s="2308"/>
      <c r="B25" s="159"/>
      <c r="C25" s="192"/>
      <c r="D25" s="1000"/>
      <c r="E25" s="1" t="s">
        <v>1103</v>
      </c>
      <c r="F25" s="159"/>
      <c r="G25" s="159"/>
      <c r="H25" s="159"/>
      <c r="I25" s="2246"/>
      <c r="J25" s="1532"/>
      <c r="K25" s="1532"/>
      <c r="L25" s="2231"/>
      <c r="M25" s="159"/>
      <c r="N25" s="159"/>
      <c r="O25" s="159"/>
      <c r="P25" s="159"/>
      <c r="Q25" s="159"/>
      <c r="R25" s="159"/>
      <c r="S25" s="159"/>
      <c r="T25" s="159"/>
      <c r="U25" s="1532"/>
      <c r="V25" s="2308"/>
      <c r="W25" s="1465" t="str">
        <f>IF(D25="X","22320000","")</f>
        <v/>
      </c>
      <c r="X25" s="289"/>
      <c r="Y25" s="289"/>
    </row>
    <row r="26" spans="1:25" s="75" customFormat="1" ht="6" customHeight="1" thickBot="1" x14ac:dyDescent="0.25">
      <c r="A26" s="2308"/>
      <c r="B26" s="159"/>
      <c r="C26" s="192"/>
      <c r="D26" s="2250"/>
      <c r="E26" s="376"/>
      <c r="F26" s="159"/>
      <c r="G26" s="159"/>
      <c r="H26" s="159"/>
      <c r="I26" s="2246"/>
      <c r="J26" s="1532"/>
      <c r="K26" s="1532"/>
      <c r="L26" s="2231"/>
      <c r="M26" s="159"/>
      <c r="N26" s="159"/>
      <c r="O26" s="159"/>
      <c r="P26" s="159"/>
      <c r="Q26" s="159"/>
      <c r="R26" s="159"/>
      <c r="S26" s="159"/>
      <c r="T26" s="159"/>
      <c r="U26" s="1532"/>
      <c r="V26" s="2308"/>
      <c r="W26" s="1475"/>
      <c r="X26" s="289"/>
      <c r="Y26" s="289"/>
    </row>
    <row r="27" spans="1:25" s="75" customFormat="1" ht="12.75" customHeight="1" thickBot="1" x14ac:dyDescent="0.25">
      <c r="A27" s="2308"/>
      <c r="B27" s="159"/>
      <c r="C27" s="192"/>
      <c r="D27" s="1000"/>
      <c r="E27" s="1" t="s">
        <v>1104</v>
      </c>
      <c r="F27" s="159"/>
      <c r="G27" s="159"/>
      <c r="H27" s="159"/>
      <c r="I27" s="2246"/>
      <c r="J27" s="159"/>
      <c r="K27" s="2231"/>
      <c r="L27" s="2231"/>
      <c r="M27" s="159"/>
      <c r="N27" s="159"/>
      <c r="O27" s="159"/>
      <c r="P27" s="159"/>
      <c r="Q27" s="159"/>
      <c r="R27" s="159"/>
      <c r="S27" s="159"/>
      <c r="T27" s="159"/>
      <c r="U27" s="1532"/>
      <c r="V27" s="2308"/>
      <c r="W27" s="1475" t="str">
        <f>IF(D27="X","22610400","")</f>
        <v/>
      </c>
      <c r="X27" s="289"/>
      <c r="Y27" s="289"/>
    </row>
    <row r="28" spans="1:25" s="75" customFormat="1" ht="12.75" customHeight="1" x14ac:dyDescent="0.2">
      <c r="A28" s="2308"/>
      <c r="B28" s="159"/>
      <c r="C28" s="192"/>
      <c r="D28" s="2250"/>
      <c r="E28" s="1"/>
      <c r="F28" s="159"/>
      <c r="G28" s="159"/>
      <c r="H28" s="159"/>
      <c r="I28" s="2246"/>
      <c r="J28" s="159"/>
      <c r="K28" s="2231"/>
      <c r="L28" s="2231"/>
      <c r="M28" s="159"/>
      <c r="N28" s="159"/>
      <c r="O28" s="159"/>
      <c r="P28" s="159"/>
      <c r="Q28" s="159"/>
      <c r="R28" s="159"/>
      <c r="S28" s="159"/>
      <c r="T28" s="159"/>
      <c r="U28" s="1532"/>
      <c r="V28" s="2308"/>
      <c r="W28" s="1475"/>
      <c r="X28" s="289"/>
      <c r="Y28" s="289"/>
    </row>
    <row r="29" spans="1:25" s="75" customFormat="1" ht="12.75" customHeight="1" x14ac:dyDescent="0.2">
      <c r="A29" s="2308"/>
      <c r="B29" s="159"/>
      <c r="C29" s="192"/>
      <c r="D29" s="2250"/>
      <c r="E29" s="1"/>
      <c r="F29" s="159"/>
      <c r="G29" s="159"/>
      <c r="H29" s="159"/>
      <c r="I29" s="2246"/>
      <c r="J29" s="159"/>
      <c r="K29" s="2231"/>
      <c r="L29" s="2231"/>
      <c r="M29" s="159"/>
      <c r="N29" s="159"/>
      <c r="O29" s="159"/>
      <c r="P29" s="159"/>
      <c r="Q29" s="159"/>
      <c r="R29" s="159"/>
      <c r="S29" s="159"/>
      <c r="T29" s="159"/>
      <c r="U29" s="1532"/>
      <c r="V29" s="2308"/>
      <c r="W29" s="1475"/>
      <c r="X29" s="289"/>
      <c r="Y29" s="289"/>
    </row>
    <row r="30" spans="1:25" s="75" customFormat="1" ht="12.75" customHeight="1" x14ac:dyDescent="0.2">
      <c r="A30" s="2308"/>
      <c r="B30" s="159"/>
      <c r="C30" s="192"/>
      <c r="D30" s="2250"/>
      <c r="E30" s="1"/>
      <c r="F30" s="159"/>
      <c r="G30" s="2233" t="s">
        <v>1105</v>
      </c>
      <c r="H30" s="2233"/>
      <c r="I30" s="2233" t="s">
        <v>1106</v>
      </c>
      <c r="J30" s="1465"/>
      <c r="K30" s="1465" t="s">
        <v>1107</v>
      </c>
      <c r="L30" s="2231"/>
      <c r="M30" s="159"/>
      <c r="N30" s="159"/>
      <c r="O30" s="159"/>
      <c r="P30" s="159"/>
      <c r="Q30" s="159"/>
      <c r="R30" s="159"/>
      <c r="S30" s="159"/>
      <c r="T30" s="159"/>
      <c r="U30" s="1532"/>
      <c r="V30" s="2308"/>
      <c r="W30" s="1475"/>
      <c r="X30" s="289"/>
      <c r="Y30" s="289"/>
    </row>
    <row r="31" spans="1:25" s="75" customFormat="1" ht="12" customHeight="1" x14ac:dyDescent="0.2">
      <c r="A31" s="2308"/>
      <c r="B31" s="159"/>
      <c r="C31" s="159"/>
      <c r="D31" s="159"/>
      <c r="E31" s="159"/>
      <c r="F31" s="159"/>
      <c r="G31" s="159"/>
      <c r="H31" s="159"/>
      <c r="I31" s="159"/>
      <c r="J31" s="159"/>
      <c r="K31" s="2231" t="s">
        <v>976</v>
      </c>
      <c r="L31" s="2231"/>
      <c r="M31" s="159"/>
      <c r="N31" s="159"/>
      <c r="O31" s="159"/>
      <c r="P31" s="159"/>
      <c r="Q31" s="159"/>
      <c r="R31" s="159"/>
      <c r="S31" s="159"/>
      <c r="T31" s="159"/>
      <c r="U31" s="1532"/>
      <c r="V31" s="2308"/>
      <c r="W31" s="289"/>
      <c r="X31" s="289"/>
      <c r="Y31" s="289"/>
    </row>
    <row r="32" spans="1:25" s="75" customFormat="1" ht="12" customHeight="1" x14ac:dyDescent="0.2">
      <c r="A32" s="2308"/>
      <c r="B32" s="159"/>
      <c r="C32" s="159"/>
      <c r="D32" s="159"/>
      <c r="E32" s="2261" t="s">
        <v>1073</v>
      </c>
      <c r="F32" s="289"/>
      <c r="G32" s="2261" t="s">
        <v>1074</v>
      </c>
      <c r="H32" s="159"/>
      <c r="I32" s="2261" t="s">
        <v>1075</v>
      </c>
      <c r="J32" s="2231"/>
      <c r="K32" s="2261" t="s">
        <v>1108</v>
      </c>
      <c r="L32" s="2231"/>
      <c r="M32" s="2231"/>
      <c r="N32" s="2231"/>
      <c r="O32" s="2231"/>
      <c r="P32" s="159"/>
      <c r="Q32" s="159"/>
      <c r="R32" s="289"/>
      <c r="S32" s="159"/>
      <c r="T32" s="1532"/>
      <c r="U32" s="1532">
        <f>LARGE(U33:U45,1)</f>
        <v>0</v>
      </c>
      <c r="V32" s="1532">
        <f>LARGE(V33:V45,1)</f>
        <v>0</v>
      </c>
      <c r="W32" s="289"/>
      <c r="X32" s="289"/>
      <c r="Y32" s="289"/>
    </row>
    <row r="33" spans="1:25" s="75" customFormat="1" ht="14.85" customHeight="1" x14ac:dyDescent="0.2">
      <c r="A33" s="2308">
        <v>1</v>
      </c>
      <c r="B33" s="159"/>
      <c r="C33" s="159"/>
      <c r="D33" s="1749">
        <f>+E33</f>
        <v>2024</v>
      </c>
      <c r="E33" s="1771">
        <f>+YEAR(Data!$A$2)+1</f>
        <v>2024</v>
      </c>
      <c r="F33" s="289"/>
      <c r="G33" s="2271"/>
      <c r="H33" s="2333"/>
      <c r="I33" s="2271"/>
      <c r="J33" s="2333"/>
      <c r="K33" s="2271"/>
      <c r="L33" s="2333"/>
      <c r="M33" s="2553" t="s">
        <v>1076</v>
      </c>
      <c r="N33" s="2554"/>
      <c r="O33" s="2554"/>
      <c r="P33" s="2554"/>
      <c r="Q33" s="2554"/>
      <c r="R33" s="2555"/>
      <c r="S33" s="159"/>
      <c r="T33" s="1772">
        <f>SUM($G33:$G$45)</f>
        <v>0</v>
      </c>
      <c r="U33" s="1532">
        <f>IF($T33&gt;0,$D33,0)</f>
        <v>0</v>
      </c>
      <c r="V33" s="1532">
        <f>IF($T33&gt;0,$D33,0)</f>
        <v>0</v>
      </c>
      <c r="W33" s="1467" t="s">
        <v>894</v>
      </c>
      <c r="X33" s="289"/>
      <c r="Y33" s="289"/>
    </row>
    <row r="34" spans="1:25" s="75" customFormat="1" ht="14.85" customHeight="1" x14ac:dyDescent="0.2">
      <c r="A34" s="2308">
        <v>2</v>
      </c>
      <c r="B34" s="159"/>
      <c r="C34" s="159"/>
      <c r="D34" s="1749">
        <f>+E34</f>
        <v>2025</v>
      </c>
      <c r="E34" s="1771">
        <f>E33+1</f>
        <v>2025</v>
      </c>
      <c r="F34" s="289"/>
      <c r="G34" s="2271"/>
      <c r="H34" s="2333"/>
      <c r="I34" s="2271"/>
      <c r="J34" s="2333"/>
      <c r="K34" s="2271"/>
      <c r="L34" s="2333"/>
      <c r="M34" s="2556"/>
      <c r="N34" s="2557"/>
      <c r="O34" s="2557"/>
      <c r="P34" s="2557"/>
      <c r="Q34" s="2557"/>
      <c r="R34" s="2558"/>
      <c r="S34" s="159"/>
      <c r="T34" s="1772">
        <f>SUM($G34:$G$45)</f>
        <v>0</v>
      </c>
      <c r="U34" s="1532">
        <f t="shared" ref="U34:V45" si="0">IF($T34&gt;0,$D34,0)</f>
        <v>0</v>
      </c>
      <c r="V34" s="1532">
        <f t="shared" si="0"/>
        <v>0</v>
      </c>
      <c r="W34" s="1467" t="s">
        <v>896</v>
      </c>
      <c r="X34" s="289"/>
      <c r="Y34" s="289"/>
    </row>
    <row r="35" spans="1:25" s="75" customFormat="1" ht="14.85" customHeight="1" x14ac:dyDescent="0.2">
      <c r="A35" s="2308">
        <v>3</v>
      </c>
      <c r="B35" s="159"/>
      <c r="C35" s="159"/>
      <c r="D35" s="1749">
        <f>+E35</f>
        <v>2026</v>
      </c>
      <c r="E35" s="1771">
        <f>E34+1</f>
        <v>2026</v>
      </c>
      <c r="F35" s="289"/>
      <c r="G35" s="2271"/>
      <c r="H35" s="2333"/>
      <c r="I35" s="2271"/>
      <c r="J35" s="2333"/>
      <c r="K35" s="2271"/>
      <c r="L35" s="2333"/>
      <c r="M35" s="2561"/>
      <c r="N35" s="2562"/>
      <c r="O35" s="2562"/>
      <c r="P35" s="2562"/>
      <c r="Q35" s="2562"/>
      <c r="R35" s="2563"/>
      <c r="S35" s="159"/>
      <c r="T35" s="1772">
        <f>SUM($G35:$G$45)</f>
        <v>0</v>
      </c>
      <c r="U35" s="1532">
        <f t="shared" si="0"/>
        <v>0</v>
      </c>
      <c r="V35" s="1532">
        <f t="shared" si="0"/>
        <v>0</v>
      </c>
      <c r="W35" s="1467" t="s">
        <v>897</v>
      </c>
      <c r="X35" s="289"/>
      <c r="Y35" s="289"/>
    </row>
    <row r="36" spans="1:25" s="75" customFormat="1" ht="14.85" customHeight="1" x14ac:dyDescent="0.2">
      <c r="A36" s="2308">
        <v>4</v>
      </c>
      <c r="B36" s="159"/>
      <c r="C36" s="159"/>
      <c r="D36" s="1749">
        <f>+E36</f>
        <v>2027</v>
      </c>
      <c r="E36" s="1771">
        <f>E35+1</f>
        <v>2027</v>
      </c>
      <c r="F36" s="289"/>
      <c r="G36" s="2271"/>
      <c r="H36" s="2333"/>
      <c r="I36" s="2271"/>
      <c r="J36" s="2333"/>
      <c r="K36" s="2190"/>
      <c r="L36" s="2333"/>
      <c r="M36" s="2523"/>
      <c r="N36" s="2524"/>
      <c r="O36" s="2524"/>
      <c r="P36" s="2524"/>
      <c r="Q36" s="2524"/>
      <c r="R36" s="2525"/>
      <c r="S36" s="159"/>
      <c r="T36" s="1772">
        <f>SUM($G36:$G$45)</f>
        <v>0</v>
      </c>
      <c r="U36" s="1532">
        <f t="shared" si="0"/>
        <v>0</v>
      </c>
      <c r="V36" s="1532">
        <f t="shared" si="0"/>
        <v>0</v>
      </c>
      <c r="W36" s="1467" t="s">
        <v>898</v>
      </c>
      <c r="X36" s="289"/>
      <c r="Y36" s="289"/>
    </row>
    <row r="37" spans="1:25" s="75" customFormat="1" ht="14.85" customHeight="1" x14ac:dyDescent="0.2">
      <c r="A37" s="2308">
        <v>5</v>
      </c>
      <c r="B37" s="159"/>
      <c r="C37" s="159"/>
      <c r="D37" s="1749">
        <f>+E37</f>
        <v>2028</v>
      </c>
      <c r="E37" s="1771">
        <f>E36+1</f>
        <v>2028</v>
      </c>
      <c r="F37" s="289"/>
      <c r="G37" s="2271"/>
      <c r="H37" s="2333"/>
      <c r="I37" s="2271"/>
      <c r="J37" s="2333"/>
      <c r="K37" s="2271"/>
      <c r="L37" s="2333"/>
      <c r="M37" s="159"/>
      <c r="N37" s="159"/>
      <c r="O37" s="159"/>
      <c r="P37" s="159"/>
      <c r="Q37" s="289"/>
      <c r="R37" s="289"/>
      <c r="S37" s="159"/>
      <c r="T37" s="1772">
        <f>SUM($G37:$G$45)</f>
        <v>0</v>
      </c>
      <c r="U37" s="1532">
        <f t="shared" si="0"/>
        <v>0</v>
      </c>
      <c r="V37" s="1532">
        <f t="shared" si="0"/>
        <v>0</v>
      </c>
      <c r="W37" s="1467" t="s">
        <v>899</v>
      </c>
      <c r="X37" s="289"/>
      <c r="Y37" s="289"/>
    </row>
    <row r="38" spans="1:25" s="75" customFormat="1" ht="14.85" customHeight="1" x14ac:dyDescent="0.2">
      <c r="A38" s="2308">
        <v>6</v>
      </c>
      <c r="B38" s="159"/>
      <c r="C38" s="159"/>
      <c r="D38" s="1749">
        <f>E37+1</f>
        <v>2029</v>
      </c>
      <c r="E38" s="1771" t="str">
        <f t="shared" ref="E38:E45" si="1">(D38)&amp;" - "&amp;(D38+4)</f>
        <v>2029 - 2033</v>
      </c>
      <c r="F38" s="289"/>
      <c r="G38" s="2271"/>
      <c r="H38" s="2333"/>
      <c r="I38" s="2271"/>
      <c r="J38" s="2333"/>
      <c r="K38" s="2271"/>
      <c r="L38" s="2333"/>
      <c r="M38" s="2553" t="s">
        <v>1077</v>
      </c>
      <c r="N38" s="2554"/>
      <c r="O38" s="2554"/>
      <c r="P38" s="2554"/>
      <c r="Q38" s="2554"/>
      <c r="R38" s="2555"/>
      <c r="S38" s="159"/>
      <c r="T38" s="1772">
        <f>SUM($G38:$G$45)</f>
        <v>0</v>
      </c>
      <c r="U38" s="1532">
        <f t="shared" si="0"/>
        <v>0</v>
      </c>
      <c r="V38" s="1532">
        <f>IF($T38&gt;0,$D38+4,0)</f>
        <v>0</v>
      </c>
      <c r="W38" s="1467" t="s">
        <v>900</v>
      </c>
      <c r="X38" s="289"/>
      <c r="Y38" s="289"/>
    </row>
    <row r="39" spans="1:25" s="75" customFormat="1" ht="14.85" customHeight="1" x14ac:dyDescent="0.2">
      <c r="A39" s="2308">
        <v>7</v>
      </c>
      <c r="B39" s="159"/>
      <c r="C39" s="159"/>
      <c r="D39" s="1749">
        <f t="shared" ref="D39:D45" si="2">D38+5</f>
        <v>2034</v>
      </c>
      <c r="E39" s="1771" t="str">
        <f t="shared" si="1"/>
        <v>2034 - 2038</v>
      </c>
      <c r="F39" s="289"/>
      <c r="G39" s="2271"/>
      <c r="H39" s="2333"/>
      <c r="I39" s="2271"/>
      <c r="J39" s="2333"/>
      <c r="K39" s="2271"/>
      <c r="L39" s="2333"/>
      <c r="M39" s="2556"/>
      <c r="N39" s="2557"/>
      <c r="O39" s="2557"/>
      <c r="P39" s="2557"/>
      <c r="Q39" s="2557"/>
      <c r="R39" s="2558"/>
      <c r="S39" s="159"/>
      <c r="T39" s="1772">
        <f>SUM($G39:$G$45)</f>
        <v>0</v>
      </c>
      <c r="U39" s="1532">
        <f t="shared" si="0"/>
        <v>0</v>
      </c>
      <c r="V39" s="1532">
        <f t="shared" ref="V39:V45" si="3">IF($T39&gt;0,$D39+4,0)</f>
        <v>0</v>
      </c>
      <c r="W39" s="1467" t="s">
        <v>901</v>
      </c>
      <c r="X39" s="289"/>
      <c r="Y39" s="289"/>
    </row>
    <row r="40" spans="1:25" s="75" customFormat="1" ht="14.85" customHeight="1" x14ac:dyDescent="0.2">
      <c r="A40" s="2308">
        <v>8</v>
      </c>
      <c r="B40" s="159"/>
      <c r="C40" s="159"/>
      <c r="D40" s="1749">
        <f t="shared" si="2"/>
        <v>2039</v>
      </c>
      <c r="E40" s="1771" t="str">
        <f t="shared" si="1"/>
        <v>2039 - 2043</v>
      </c>
      <c r="F40" s="289"/>
      <c r="G40" s="2271"/>
      <c r="H40" s="2333"/>
      <c r="I40" s="2271"/>
      <c r="J40" s="2333"/>
      <c r="K40" s="2271"/>
      <c r="L40" s="2333"/>
      <c r="M40" s="2561"/>
      <c r="N40" s="2562"/>
      <c r="O40" s="2562"/>
      <c r="P40" s="2562"/>
      <c r="Q40" s="2562"/>
      <c r="R40" s="2563"/>
      <c r="S40" s="159"/>
      <c r="T40" s="1772">
        <f>SUM($G40:$G$45)</f>
        <v>0</v>
      </c>
      <c r="U40" s="1532">
        <f t="shared" si="0"/>
        <v>0</v>
      </c>
      <c r="V40" s="1532">
        <f t="shared" si="3"/>
        <v>0</v>
      </c>
      <c r="W40" s="1467" t="s">
        <v>902</v>
      </c>
      <c r="X40" s="289"/>
      <c r="Y40" s="289"/>
    </row>
    <row r="41" spans="1:25" s="75" customFormat="1" ht="14.85" customHeight="1" x14ac:dyDescent="0.2">
      <c r="A41" s="2308">
        <v>9</v>
      </c>
      <c r="B41" s="159"/>
      <c r="C41" s="159"/>
      <c r="D41" s="1749">
        <f t="shared" si="2"/>
        <v>2044</v>
      </c>
      <c r="E41" s="1771" t="str">
        <f t="shared" si="1"/>
        <v>2044 - 2048</v>
      </c>
      <c r="F41" s="289"/>
      <c r="G41" s="2271"/>
      <c r="H41" s="2333"/>
      <c r="I41" s="2271"/>
      <c r="J41" s="2333"/>
      <c r="K41" s="2271"/>
      <c r="L41" s="2333"/>
      <c r="M41" s="2550" t="s">
        <v>1078</v>
      </c>
      <c r="N41" s="2551"/>
      <c r="O41" s="2552"/>
      <c r="P41" s="2550" t="s">
        <v>1079</v>
      </c>
      <c r="Q41" s="2551"/>
      <c r="R41" s="2552"/>
      <c r="S41" s="159"/>
      <c r="T41" s="1772">
        <f>SUM($G41:$G$45)</f>
        <v>0</v>
      </c>
      <c r="U41" s="1532">
        <f t="shared" si="0"/>
        <v>0</v>
      </c>
      <c r="V41" s="1532">
        <f t="shared" si="3"/>
        <v>0</v>
      </c>
      <c r="W41" s="1467" t="s">
        <v>903</v>
      </c>
      <c r="X41" s="289"/>
      <c r="Y41" s="289"/>
    </row>
    <row r="42" spans="1:25" s="75" customFormat="1" ht="14.85" customHeight="1" x14ac:dyDescent="0.2">
      <c r="A42" s="2308">
        <v>10</v>
      </c>
      <c r="B42" s="159"/>
      <c r="C42" s="159"/>
      <c r="D42" s="1749">
        <f t="shared" si="2"/>
        <v>2049</v>
      </c>
      <c r="E42" s="1771" t="str">
        <f t="shared" si="1"/>
        <v>2049 - 2053</v>
      </c>
      <c r="F42" s="289"/>
      <c r="G42" s="2271"/>
      <c r="H42" s="2333"/>
      <c r="I42" s="2271"/>
      <c r="J42" s="2333"/>
      <c r="K42" s="2271"/>
      <c r="L42" s="2333"/>
      <c r="M42" s="2528"/>
      <c r="N42" s="2526"/>
      <c r="O42" s="2527"/>
      <c r="P42" s="2528"/>
      <c r="Q42" s="2526"/>
      <c r="R42" s="2527"/>
      <c r="S42" s="159"/>
      <c r="T42" s="1772">
        <f>SUM($G42:$G$45)</f>
        <v>0</v>
      </c>
      <c r="U42" s="1532">
        <f t="shared" si="0"/>
        <v>0</v>
      </c>
      <c r="V42" s="1532">
        <f t="shared" si="3"/>
        <v>0</v>
      </c>
      <c r="W42" s="1467" t="s">
        <v>904</v>
      </c>
      <c r="X42" s="289"/>
      <c r="Y42" s="289"/>
    </row>
    <row r="43" spans="1:25" s="75" customFormat="1" ht="14.85" customHeight="1" x14ac:dyDescent="0.2">
      <c r="A43" s="2308">
        <v>11</v>
      </c>
      <c r="B43" s="159"/>
      <c r="C43" s="159"/>
      <c r="D43" s="1749">
        <f t="shared" si="2"/>
        <v>2054</v>
      </c>
      <c r="E43" s="1771" t="str">
        <f t="shared" si="1"/>
        <v>2054 - 2058</v>
      </c>
      <c r="F43" s="289"/>
      <c r="G43" s="2271"/>
      <c r="H43" s="2333"/>
      <c r="I43" s="2271"/>
      <c r="J43" s="2333"/>
      <c r="K43" s="2271"/>
      <c r="L43" s="2333"/>
      <c r="M43" s="289"/>
      <c r="N43" s="289"/>
      <c r="O43" s="289"/>
      <c r="P43" s="289"/>
      <c r="Q43" s="289"/>
      <c r="R43" s="289"/>
      <c r="S43" s="159"/>
      <c r="T43" s="1772">
        <f>SUM($G43:$G$45)</f>
        <v>0</v>
      </c>
      <c r="U43" s="1532">
        <f t="shared" si="0"/>
        <v>0</v>
      </c>
      <c r="V43" s="1532">
        <f t="shared" si="3"/>
        <v>0</v>
      </c>
      <c r="W43" s="1467" t="s">
        <v>905</v>
      </c>
      <c r="X43" s="289"/>
      <c r="Y43" s="289"/>
    </row>
    <row r="44" spans="1:25" s="75" customFormat="1" ht="14.85" customHeight="1" x14ac:dyDescent="0.2">
      <c r="A44" s="2308">
        <v>12</v>
      </c>
      <c r="B44" s="159"/>
      <c r="C44" s="159"/>
      <c r="D44" s="1749">
        <f t="shared" si="2"/>
        <v>2059</v>
      </c>
      <c r="E44" s="1771" t="str">
        <f t="shared" si="1"/>
        <v>2059 - 2063</v>
      </c>
      <c r="F44" s="289"/>
      <c r="G44" s="2271"/>
      <c r="H44" s="2333"/>
      <c r="I44" s="2271"/>
      <c r="J44" s="2333"/>
      <c r="K44" s="2271"/>
      <c r="L44" s="2333"/>
      <c r="M44" s="2553" t="s">
        <v>1080</v>
      </c>
      <c r="N44" s="2554"/>
      <c r="O44" s="2554"/>
      <c r="P44" s="2554"/>
      <c r="Q44" s="2554"/>
      <c r="R44" s="2555"/>
      <c r="S44" s="159"/>
      <c r="T44" s="1772">
        <f>SUM($G44:$G$45)</f>
        <v>0</v>
      </c>
      <c r="U44" s="1532">
        <f t="shared" si="0"/>
        <v>0</v>
      </c>
      <c r="V44" s="1532">
        <f t="shared" si="3"/>
        <v>0</v>
      </c>
      <c r="W44" s="1467" t="s">
        <v>906</v>
      </c>
      <c r="X44" s="289"/>
      <c r="Y44" s="289"/>
    </row>
    <row r="45" spans="1:25" s="75" customFormat="1" ht="14.85" customHeight="1" x14ac:dyDescent="0.2">
      <c r="A45" s="2308">
        <v>13</v>
      </c>
      <c r="B45" s="159"/>
      <c r="C45" s="159"/>
      <c r="D45" s="1749">
        <f t="shared" si="2"/>
        <v>2064</v>
      </c>
      <c r="E45" s="1771" t="str">
        <f t="shared" si="1"/>
        <v>2064 - 2068</v>
      </c>
      <c r="F45" s="289"/>
      <c r="G45" s="2271"/>
      <c r="H45" s="2333"/>
      <c r="I45" s="2271"/>
      <c r="J45" s="2333"/>
      <c r="K45" s="2271"/>
      <c r="L45" s="2333"/>
      <c r="M45" s="2556"/>
      <c r="N45" s="2557"/>
      <c r="O45" s="2557"/>
      <c r="P45" s="2557"/>
      <c r="Q45" s="2557"/>
      <c r="R45" s="2558"/>
      <c r="S45" s="159"/>
      <c r="T45" s="1772">
        <f>SUM($G45:$G$45)</f>
        <v>0</v>
      </c>
      <c r="U45" s="1532">
        <f t="shared" si="0"/>
        <v>0</v>
      </c>
      <c r="V45" s="1532">
        <f t="shared" si="3"/>
        <v>0</v>
      </c>
      <c r="W45" s="1467" t="s">
        <v>907</v>
      </c>
      <c r="X45" s="289"/>
      <c r="Y45" s="289"/>
    </row>
    <row r="46" spans="1:25" s="75" customFormat="1" ht="16.350000000000001" customHeight="1" thickBot="1" x14ac:dyDescent="0.25">
      <c r="A46" s="2308"/>
      <c r="B46" s="159"/>
      <c r="C46" s="159"/>
      <c r="D46" s="1" t="s">
        <v>1081</v>
      </c>
      <c r="E46" s="159"/>
      <c r="F46" s="159"/>
      <c r="G46" s="1773">
        <f>SUM(G33:G45)</f>
        <v>0</v>
      </c>
      <c r="H46" s="2333"/>
      <c r="I46" s="1773">
        <f>SUM(I33:I45)</f>
        <v>0</v>
      </c>
      <c r="J46" s="2333"/>
      <c r="K46" s="1773">
        <f>SUM(K33:K45)</f>
        <v>0</v>
      </c>
      <c r="L46" s="2333"/>
      <c r="M46" s="2529"/>
      <c r="N46" s="2530"/>
      <c r="O46" s="2530"/>
      <c r="P46" s="2530"/>
      <c r="Q46" s="2530"/>
      <c r="R46" s="2531"/>
      <c r="S46" s="159"/>
      <c r="T46" s="1532"/>
      <c r="U46" s="1532">
        <f>YEAR(__FMD320)</f>
        <v>1900</v>
      </c>
      <c r="V46" s="2308"/>
      <c r="W46" s="289"/>
      <c r="X46" s="289"/>
      <c r="Y46" s="289"/>
    </row>
    <row r="47" spans="1:25" s="75" customFormat="1" ht="12.75" customHeight="1" thickTop="1" x14ac:dyDescent="0.2">
      <c r="A47" s="2308"/>
      <c r="B47" s="159"/>
      <c r="C47" s="159"/>
      <c r="D47" s="1"/>
      <c r="E47" s="159"/>
      <c r="F47" s="159"/>
      <c r="G47" s="159"/>
      <c r="H47" s="74" t="s">
        <v>1082</v>
      </c>
      <c r="I47" s="2370" t="s">
        <v>1083</v>
      </c>
      <c r="J47" s="2002"/>
      <c r="K47" s="2231"/>
      <c r="L47" s="2231"/>
      <c r="M47" s="2231"/>
      <c r="N47" s="2002"/>
      <c r="O47" s="2002"/>
      <c r="P47" s="2246"/>
      <c r="Q47" s="2246"/>
      <c r="R47" s="159"/>
      <c r="S47" s="159"/>
      <c r="T47" s="159"/>
      <c r="U47" s="1532"/>
      <c r="V47" s="2308"/>
      <c r="W47" s="289"/>
      <c r="X47" s="289"/>
      <c r="Y47" s="289"/>
    </row>
    <row r="48" spans="1:25" s="75" customFormat="1" ht="8.1" customHeight="1" x14ac:dyDescent="0.2">
      <c r="A48" s="2308"/>
      <c r="B48" s="159"/>
      <c r="C48" s="159"/>
      <c r="D48" s="1"/>
      <c r="E48" s="159"/>
      <c r="F48" s="159"/>
      <c r="G48" s="159"/>
      <c r="H48" s="74"/>
      <c r="I48" s="2370"/>
      <c r="J48" s="2002"/>
      <c r="K48" s="2231"/>
      <c r="L48" s="2231"/>
      <c r="M48" s="2231"/>
      <c r="N48" s="2002"/>
      <c r="O48" s="2002"/>
      <c r="P48" s="2246"/>
      <c r="Q48" s="2246"/>
      <c r="R48" s="159"/>
      <c r="S48" s="159"/>
      <c r="T48" s="159"/>
      <c r="U48" s="1532"/>
      <c r="V48" s="2308"/>
      <c r="W48" s="289"/>
      <c r="X48" s="289"/>
      <c r="Y48" s="289"/>
    </row>
    <row r="49" spans="1:25" s="75" customFormat="1" ht="12.75" customHeight="1" x14ac:dyDescent="0.2">
      <c r="A49" s="2308"/>
      <c r="B49" s="159" t="s">
        <v>1109</v>
      </c>
      <c r="C49" s="159"/>
      <c r="D49" s="1"/>
      <c r="E49" s="159"/>
      <c r="F49" s="159"/>
      <c r="G49" s="159"/>
      <c r="H49" s="74"/>
      <c r="I49" s="2002"/>
      <c r="J49" s="2002"/>
      <c r="K49" s="2231"/>
      <c r="L49" s="2231"/>
      <c r="M49" s="2231"/>
      <c r="N49" s="2002"/>
      <c r="O49" s="2002"/>
      <c r="P49" s="2246"/>
      <c r="Q49" s="2246"/>
      <c r="R49" s="159"/>
      <c r="S49" s="159"/>
      <c r="T49" s="159"/>
      <c r="U49" s="1532"/>
      <c r="V49" s="2308"/>
      <c r="W49" s="289"/>
      <c r="X49" s="289"/>
      <c r="Y49" s="289"/>
    </row>
    <row r="50" spans="1:25" s="75" customFormat="1" ht="12.75" customHeight="1" x14ac:dyDescent="0.2">
      <c r="A50" s="2308"/>
      <c r="B50" s="159" t="s">
        <v>1085</v>
      </c>
      <c r="C50" s="159"/>
      <c r="D50" s="1"/>
      <c r="E50" s="159"/>
      <c r="F50" s="159"/>
      <c r="G50" s="159"/>
      <c r="H50" s="74"/>
      <c r="I50" s="2002"/>
      <c r="J50" s="2002"/>
      <c r="K50" s="2231"/>
      <c r="L50" s="2231"/>
      <c r="M50" s="2231"/>
      <c r="N50" s="2002"/>
      <c r="O50" s="2002"/>
      <c r="P50" s="2246"/>
      <c r="Q50" s="2246"/>
      <c r="R50" s="159"/>
      <c r="S50" s="159"/>
      <c r="T50" s="159"/>
      <c r="U50" s="1532"/>
      <c r="V50" s="2308"/>
      <c r="W50" s="289"/>
      <c r="X50" s="289"/>
      <c r="Y50" s="289"/>
    </row>
    <row r="51" spans="1:25" s="75" customFormat="1" ht="12.75" customHeight="1" x14ac:dyDescent="0.2">
      <c r="A51" s="2308"/>
      <c r="B51" s="159"/>
      <c r="C51" s="159"/>
      <c r="D51" s="2246" t="s">
        <v>339</v>
      </c>
      <c r="E51" s="2242"/>
      <c r="F51" s="159"/>
      <c r="G51" s="159"/>
      <c r="H51" s="74"/>
      <c r="I51" s="2002"/>
      <c r="J51" s="2002"/>
      <c r="K51" s="2231"/>
      <c r="L51" s="2231"/>
      <c r="M51" s="2231"/>
      <c r="N51" s="2002"/>
      <c r="O51" s="2002"/>
      <c r="P51" s="2246"/>
      <c r="Q51" s="2246"/>
      <c r="R51" s="159"/>
      <c r="S51" s="159"/>
      <c r="T51" s="159"/>
      <c r="U51" s="1532"/>
      <c r="V51" s="2308"/>
      <c r="W51" s="289"/>
      <c r="X51" s="289"/>
      <c r="Y51" s="289"/>
    </row>
    <row r="52" spans="1:25" s="75" customFormat="1" ht="12.75" customHeight="1" x14ac:dyDescent="0.2">
      <c r="A52" s="2308"/>
      <c r="B52" s="159"/>
      <c r="C52" s="159"/>
      <c r="D52" s="2246" t="s">
        <v>340</v>
      </c>
      <c r="E52" s="1090"/>
      <c r="F52" s="159"/>
      <c r="G52" s="159"/>
      <c r="H52" s="74"/>
      <c r="I52" s="2002"/>
      <c r="J52" s="2002"/>
      <c r="K52" s="2231"/>
      <c r="L52" s="2231"/>
      <c r="M52" s="2231"/>
      <c r="N52" s="2002"/>
      <c r="O52" s="2002"/>
      <c r="P52" s="2246"/>
      <c r="Q52" s="2246"/>
      <c r="R52" s="159"/>
      <c r="S52" s="159"/>
      <c r="T52" s="159"/>
      <c r="U52" s="1532"/>
      <c r="V52" s="2308"/>
      <c r="W52" s="289"/>
      <c r="X52" s="289"/>
      <c r="Y52" s="289"/>
    </row>
    <row r="53" spans="1:25" s="75" customFormat="1" ht="12.75" customHeight="1" x14ac:dyDescent="0.2">
      <c r="A53" s="2308"/>
      <c r="B53" s="159"/>
      <c r="C53" s="159"/>
      <c r="D53" s="1"/>
      <c r="E53" s="159"/>
      <c r="F53" s="159"/>
      <c r="G53" s="159"/>
      <c r="H53" s="74"/>
      <c r="I53" s="2002"/>
      <c r="J53" s="2002"/>
      <c r="K53" s="2231"/>
      <c r="L53" s="2231"/>
      <c r="M53" s="2231"/>
      <c r="N53" s="2002"/>
      <c r="O53" s="2002"/>
      <c r="P53" s="2246"/>
      <c r="Q53" s="2246"/>
      <c r="R53" s="159"/>
      <c r="S53" s="159"/>
      <c r="T53" s="159"/>
      <c r="U53" s="1532"/>
      <c r="V53" s="2308"/>
      <c r="W53" s="289"/>
      <c r="X53" s="289"/>
      <c r="Y53" s="289"/>
    </row>
    <row r="54" spans="1:25" s="75" customFormat="1" ht="12.75" customHeight="1" x14ac:dyDescent="0.2">
      <c r="A54" s="2308"/>
      <c r="B54" s="159" t="str">
        <f>CONCATENATE("Do the fiscal year ",+TEXT(Data!$A$6,"yyyy")," principal requirements (including debt without interest rate swaps on 315) agree with")</f>
        <v>Do the fiscal year 2024 principal requirements (including debt without interest rate swaps on 315) agree with</v>
      </c>
      <c r="C54" s="159"/>
      <c r="D54" s="1"/>
      <c r="E54" s="159"/>
      <c r="F54" s="159"/>
      <c r="G54" s="159"/>
      <c r="H54" s="74"/>
      <c r="I54" s="2002"/>
      <c r="J54" s="2002"/>
      <c r="K54" s="2231"/>
      <c r="L54" s="2231"/>
      <c r="M54" s="2231"/>
      <c r="N54" s="2002"/>
      <c r="O54" s="2002"/>
      <c r="P54" s="2246"/>
      <c r="Q54" s="2246"/>
      <c r="R54" s="159"/>
      <c r="S54" s="159"/>
      <c r="T54" s="159"/>
      <c r="U54" s="1532"/>
      <c r="V54" s="2308"/>
      <c r="W54" s="289"/>
      <c r="X54" s="289"/>
      <c r="Y54" s="289"/>
    </row>
    <row r="55" spans="1:25" s="75" customFormat="1" ht="12.75" customHeight="1" x14ac:dyDescent="0.2">
      <c r="A55" s="2308"/>
      <c r="B55" s="159" t="s">
        <v>1087</v>
      </c>
      <c r="C55" s="159"/>
      <c r="D55" s="1"/>
      <c r="E55" s="159"/>
      <c r="F55" s="159"/>
      <c r="G55" s="159"/>
      <c r="H55" s="74"/>
      <c r="I55" s="2002"/>
      <c r="J55" s="2002"/>
      <c r="K55" s="2231"/>
      <c r="L55" s="2231"/>
      <c r="M55" s="2231"/>
      <c r="N55" s="2002"/>
      <c r="O55" s="2002"/>
      <c r="P55" s="2246"/>
      <c r="Q55" s="2246"/>
      <c r="R55" s="159"/>
      <c r="S55" s="159"/>
      <c r="T55" s="159"/>
      <c r="U55" s="1532"/>
      <c r="V55" s="2308"/>
      <c r="W55" s="289"/>
      <c r="X55" s="289"/>
      <c r="Y55" s="289"/>
    </row>
    <row r="56" spans="1:25" s="75" customFormat="1" ht="12.75" customHeight="1" x14ac:dyDescent="0.2">
      <c r="A56" s="2308"/>
      <c r="B56" s="11" t="s">
        <v>1110</v>
      </c>
      <c r="C56" s="159"/>
      <c r="D56" s="1"/>
      <c r="E56" s="159"/>
      <c r="F56" s="159"/>
      <c r="G56" s="159"/>
      <c r="H56" s="74"/>
      <c r="I56" s="2002"/>
      <c r="J56" s="2002"/>
      <c r="K56" s="2231"/>
      <c r="L56" s="2231"/>
      <c r="M56" s="2231"/>
      <c r="N56" s="2002"/>
      <c r="O56" s="2002"/>
      <c r="P56" s="2246"/>
      <c r="Q56" s="2246"/>
      <c r="R56" s="159"/>
      <c r="S56" s="159"/>
      <c r="T56" s="159"/>
      <c r="U56" s="1532"/>
      <c r="V56" s="2308"/>
      <c r="W56" s="289"/>
      <c r="X56" s="289"/>
      <c r="Y56" s="289"/>
    </row>
    <row r="57" spans="1:25" s="75" customFormat="1" ht="12.75" customHeight="1" x14ac:dyDescent="0.2">
      <c r="A57" s="2308"/>
      <c r="B57" s="159"/>
      <c r="C57" s="159"/>
      <c r="D57" s="2246" t="s">
        <v>339</v>
      </c>
      <c r="E57" s="2242"/>
      <c r="F57" s="159"/>
      <c r="G57" s="159"/>
      <c r="H57" s="74"/>
      <c r="I57" s="2002"/>
      <c r="J57" s="2002"/>
      <c r="K57" s="2231"/>
      <c r="L57" s="2231"/>
      <c r="M57" s="2231"/>
      <c r="N57" s="2002"/>
      <c r="O57" s="2002"/>
      <c r="P57" s="2246"/>
      <c r="Q57" s="2246"/>
      <c r="R57" s="159"/>
      <c r="S57" s="159"/>
      <c r="T57" s="159"/>
      <c r="U57" s="1532"/>
      <c r="V57" s="2308"/>
      <c r="W57" s="289"/>
      <c r="X57" s="289"/>
      <c r="Y57" s="289"/>
    </row>
    <row r="58" spans="1:25" s="75" customFormat="1" ht="12.75" customHeight="1" x14ac:dyDescent="0.2">
      <c r="A58" s="2308"/>
      <c r="B58" s="159"/>
      <c r="C58" s="159"/>
      <c r="D58" s="2246" t="s">
        <v>340</v>
      </c>
      <c r="E58" s="1090"/>
      <c r="F58" s="159"/>
      <c r="G58" s="159"/>
      <c r="H58" s="74"/>
      <c r="I58" s="2002"/>
      <c r="J58" s="2002"/>
      <c r="K58" s="2231"/>
      <c r="L58" s="2231"/>
      <c r="M58" s="2231"/>
      <c r="N58" s="2002"/>
      <c r="O58" s="2002"/>
      <c r="P58" s="2246"/>
      <c r="Q58" s="2246"/>
      <c r="R58" s="159"/>
      <c r="S58" s="159"/>
      <c r="T58" s="159"/>
      <c r="U58" s="1532"/>
      <c r="V58" s="2308"/>
      <c r="W58" s="289"/>
      <c r="X58" s="289"/>
      <c r="Y58" s="289"/>
    </row>
    <row r="59" spans="1:25" s="75" customFormat="1" ht="8.1" customHeight="1" x14ac:dyDescent="0.2">
      <c r="A59" s="2308"/>
      <c r="B59" s="159"/>
      <c r="C59" s="159"/>
      <c r="D59" s="2246"/>
      <c r="E59" s="159"/>
      <c r="F59" s="159"/>
      <c r="G59" s="159"/>
      <c r="H59" s="74"/>
      <c r="I59" s="2002"/>
      <c r="J59" s="2002"/>
      <c r="K59" s="2231"/>
      <c r="L59" s="2231"/>
      <c r="M59" s="2231"/>
      <c r="N59" s="2002"/>
      <c r="O59" s="2002"/>
      <c r="P59" s="2246"/>
      <c r="Q59" s="2246"/>
      <c r="R59" s="159"/>
      <c r="S59" s="159"/>
      <c r="T59" s="159"/>
      <c r="U59" s="1532"/>
      <c r="V59" s="2308"/>
      <c r="W59" s="289"/>
      <c r="X59" s="289"/>
      <c r="Y59" s="289"/>
    </row>
    <row r="60" spans="1:25" s="75" customFormat="1" ht="12.75" customHeight="1" x14ac:dyDescent="0.2">
      <c r="A60" s="2308"/>
      <c r="B60" s="289"/>
      <c r="C60" s="289"/>
      <c r="D60" s="159" t="s">
        <v>1111</v>
      </c>
      <c r="E60" s="159"/>
      <c r="F60" s="159"/>
      <c r="G60" s="2564"/>
      <c r="H60" s="2565"/>
      <c r="I60" s="2565"/>
      <c r="J60" s="2565"/>
      <c r="K60" s="2565"/>
      <c r="L60" s="2565"/>
      <c r="M60" s="2565"/>
      <c r="N60" s="2565"/>
      <c r="O60" s="2565"/>
      <c r="P60" s="2565"/>
      <c r="Q60" s="2565"/>
      <c r="R60" s="2565"/>
      <c r="S60" s="159"/>
      <c r="T60" s="159"/>
      <c r="U60" s="1532"/>
      <c r="V60" s="2308"/>
      <c r="W60" s="289"/>
      <c r="X60" s="289"/>
      <c r="Y60" s="289"/>
    </row>
    <row r="61" spans="1:25" s="75" customFormat="1" ht="14.1" customHeight="1" x14ac:dyDescent="0.2">
      <c r="A61" s="2308"/>
      <c r="B61" s="159"/>
      <c r="C61" s="159"/>
      <c r="D61" s="2564"/>
      <c r="E61" s="2566"/>
      <c r="F61" s="2566"/>
      <c r="G61" s="2566"/>
      <c r="H61" s="2566"/>
      <c r="I61" s="2566"/>
      <c r="J61" s="2566"/>
      <c r="K61" s="2566"/>
      <c r="L61" s="2566"/>
      <c r="M61" s="2566"/>
      <c r="N61" s="2566"/>
      <c r="O61" s="2566"/>
      <c r="P61" s="2566"/>
      <c r="Q61" s="2566"/>
      <c r="R61" s="2566"/>
      <c r="S61" s="159"/>
      <c r="T61" s="159"/>
      <c r="U61" s="1532"/>
      <c r="V61" s="2308"/>
      <c r="W61" s="289"/>
      <c r="X61" s="289"/>
      <c r="Y61" s="289"/>
    </row>
    <row r="62" spans="1:25" s="75" customFormat="1" ht="14.1" customHeight="1" x14ac:dyDescent="0.2">
      <c r="A62" s="2308"/>
      <c r="B62" s="159"/>
      <c r="C62" s="159"/>
      <c r="D62" s="2548"/>
      <c r="E62" s="2549"/>
      <c r="F62" s="2549"/>
      <c r="G62" s="2549"/>
      <c r="H62" s="2549"/>
      <c r="I62" s="2549"/>
      <c r="J62" s="2549"/>
      <c r="K62" s="2549"/>
      <c r="L62" s="2549"/>
      <c r="M62" s="2549"/>
      <c r="N62" s="2549"/>
      <c r="O62" s="2549"/>
      <c r="P62" s="2549"/>
      <c r="Q62" s="2549"/>
      <c r="R62" s="2549"/>
      <c r="S62" s="159"/>
      <c r="T62" s="159"/>
      <c r="U62" s="1532"/>
      <c r="V62" s="2308"/>
      <c r="W62" s="289"/>
      <c r="X62" s="289"/>
      <c r="Y62" s="289"/>
    </row>
    <row r="63" spans="1:25" ht="12.75" customHeight="1" x14ac:dyDescent="0.2"/>
    <row r="64" spans="1:25" ht="12.75" x14ac:dyDescent="0.2">
      <c r="B64" s="159" t="s">
        <v>1112</v>
      </c>
      <c r="C64" s="159"/>
      <c r="D64" s="1"/>
      <c r="E64" s="159"/>
      <c r="F64" s="159"/>
      <c r="G64" s="159"/>
      <c r="H64" s="74"/>
      <c r="I64" s="2002"/>
      <c r="J64" s="2231"/>
      <c r="K64" s="2231"/>
      <c r="L64" s="2002"/>
      <c r="M64" s="2002"/>
      <c r="N64" s="2246"/>
      <c r="O64" s="2246"/>
    </row>
    <row r="65" spans="1:15" ht="12.75" x14ac:dyDescent="0.2">
      <c r="B65" s="11" t="s">
        <v>1113</v>
      </c>
      <c r="C65" s="159"/>
      <c r="D65" s="1"/>
      <c r="E65" s="159"/>
      <c r="F65" s="159"/>
      <c r="G65" s="2002"/>
      <c r="H65" s="74"/>
      <c r="I65" s="2002"/>
      <c r="J65" s="2559"/>
      <c r="K65" s="2559"/>
      <c r="L65" s="2538"/>
      <c r="M65" s="2538"/>
      <c r="N65" s="2560"/>
      <c r="O65" s="2560"/>
    </row>
    <row r="66" spans="1:15" ht="12.75" x14ac:dyDescent="0.2">
      <c r="B66" s="11"/>
      <c r="C66" s="159"/>
      <c r="D66" s="2246" t="s">
        <v>339</v>
      </c>
      <c r="E66" s="2242"/>
      <c r="F66" s="159"/>
      <c r="G66" s="2002"/>
      <c r="H66" s="74"/>
      <c r="I66" s="2002"/>
      <c r="J66" s="2249"/>
      <c r="K66" s="2249"/>
      <c r="L66" s="2002"/>
      <c r="M66" s="2002"/>
      <c r="N66" s="2250"/>
      <c r="O66" s="2250"/>
    </row>
    <row r="67" spans="1:15" ht="12.75" x14ac:dyDescent="0.2">
      <c r="B67" s="11"/>
      <c r="C67" s="159"/>
      <c r="D67" s="2246" t="s">
        <v>340</v>
      </c>
      <c r="E67" s="1090"/>
      <c r="F67" s="159"/>
      <c r="G67" s="2002"/>
      <c r="H67" s="74"/>
      <c r="I67" s="2002"/>
      <c r="J67" s="2249"/>
      <c r="K67" s="2249"/>
      <c r="L67" s="2002"/>
      <c r="M67" s="2002"/>
      <c r="N67" s="2250"/>
      <c r="O67" s="2250"/>
    </row>
    <row r="68" spans="1:15" ht="8.1" customHeight="1" x14ac:dyDescent="0.2">
      <c r="B68" s="11"/>
      <c r="C68" s="159"/>
      <c r="D68" s="1"/>
      <c r="E68" s="159"/>
      <c r="F68" s="159"/>
      <c r="G68" s="2002"/>
      <c r="H68" s="74"/>
      <c r="I68" s="2002"/>
      <c r="J68" s="2249"/>
      <c r="K68" s="2249"/>
      <c r="L68" s="2002"/>
      <c r="M68" s="2002"/>
      <c r="N68" s="2250"/>
      <c r="O68" s="2250"/>
    </row>
    <row r="69" spans="1:15" ht="12.75" x14ac:dyDescent="0.2">
      <c r="D69" s="159" t="s">
        <v>1114</v>
      </c>
      <c r="E69" s="2246"/>
      <c r="F69" s="2246"/>
      <c r="G69" s="2246"/>
      <c r="H69" s="74"/>
      <c r="I69" s="2334"/>
      <c r="J69" s="2334"/>
      <c r="K69" s="2271" t="s">
        <v>1115</v>
      </c>
      <c r="L69" s="2002"/>
      <c r="M69" s="2002"/>
      <c r="N69" s="2250"/>
      <c r="O69" s="2250"/>
    </row>
    <row r="72" spans="1:15" ht="15" x14ac:dyDescent="0.2">
      <c r="A72" s="445" t="str">
        <f ca="1">MID(CELL("filename",A1),FIND("]",CELL("filename",A1))+1,256)</f>
        <v>320</v>
      </c>
      <c r="B72" s="445" t="s">
        <v>636</v>
      </c>
    </row>
    <row r="73" spans="1:15" ht="15" x14ac:dyDescent="0.2">
      <c r="A73" s="445" t="s">
        <v>380</v>
      </c>
      <c r="B73" s="445" t="str">
        <f t="shared" ref="B73:B82" ca="1" si="4">IF(ISNA(INDEX(ErrorTable,MATCH($A$72&amp;$A73&amp;FALSE,ErrorKey,0),6)),"",INDEX(ErrorTable,MATCH($A$72&amp;$A73&amp;FALSE,ErrorKey,0),6))</f>
        <v/>
      </c>
    </row>
    <row r="74" spans="1:15" ht="15" x14ac:dyDescent="0.2">
      <c r="A74" s="445" t="s">
        <v>381</v>
      </c>
      <c r="B74" s="445" t="str">
        <f t="shared" ca="1" si="4"/>
        <v/>
      </c>
    </row>
    <row r="75" spans="1:15" ht="15" x14ac:dyDescent="0.2">
      <c r="A75" s="445" t="s">
        <v>382</v>
      </c>
      <c r="B75" s="445" t="str">
        <f t="shared" ca="1" si="4"/>
        <v/>
      </c>
    </row>
    <row r="76" spans="1:15" ht="15" x14ac:dyDescent="0.2">
      <c r="A76" s="445" t="s">
        <v>383</v>
      </c>
      <c r="B76" s="445" t="str">
        <f t="shared" ca="1" si="4"/>
        <v>Original issue amount is blank.</v>
      </c>
    </row>
    <row r="77" spans="1:15" ht="15" x14ac:dyDescent="0.2">
      <c r="A77" s="445" t="s">
        <v>384</v>
      </c>
      <c r="B77" s="445" t="str">
        <f t="shared" ca="1" si="4"/>
        <v>"From" interest rate is blank.</v>
      </c>
    </row>
    <row r="78" spans="1:15" ht="15" x14ac:dyDescent="0.2">
      <c r="A78" s="445" t="s">
        <v>385</v>
      </c>
      <c r="B78" s="445" t="str">
        <f t="shared" ca="1" si="4"/>
        <v>"To" interest rate is blank.</v>
      </c>
    </row>
    <row r="79" spans="1:15" ht="15" x14ac:dyDescent="0.2">
      <c r="A79" s="445" t="s">
        <v>386</v>
      </c>
      <c r="B79" s="445" t="str">
        <f t="shared" ca="1" si="4"/>
        <v>Final maturity date is blank.</v>
      </c>
    </row>
    <row r="80" spans="1:15" ht="15" x14ac:dyDescent="0.2">
      <c r="A80" s="445" t="s">
        <v>387</v>
      </c>
      <c r="B80" s="445" t="str">
        <f t="shared" ca="1" si="4"/>
        <v/>
      </c>
    </row>
    <row r="81" spans="1:2" ht="15" x14ac:dyDescent="0.2">
      <c r="A81" s="445" t="s">
        <v>388</v>
      </c>
      <c r="B81" s="445" t="str">
        <f t="shared" ca="1" si="4"/>
        <v/>
      </c>
    </row>
    <row r="82" spans="1:2" ht="15" x14ac:dyDescent="0.2">
      <c r="A82" s="445" t="s">
        <v>389</v>
      </c>
      <c r="B82" s="445" t="str">
        <f t="shared" ca="1" si="4"/>
        <v/>
      </c>
    </row>
  </sheetData>
  <sheetProtection algorithmName="SHA-512" hashValue="Ob7zbDLuQi++ar9MqzcD9w+k/zLsfZa9a1FmXNh8YMDENCcodvfAJ5jc1kcEMMrAn4lb1kRi0PPJxhzuYK7mRw==" saltValue="w3IAsV/IzXuoxwBWruL2yw==" spinCount="100000" sheet="1" objects="1" scenarios="1" autoFilter="0"/>
  <customSheetViews>
    <customSheetView guid="{9FCFC836-1CA5-48BF-958D-24D2EA94B219}" showGridLines="0" fitToPage="1" hiddenColumns="1" topLeftCell="B1">
      <selection activeCell="B12" sqref="B12"/>
      <pageMargins left="0" right="0" top="0" bottom="0" header="0" footer="0"/>
      <pageSetup scale="88" orientation="portrait" r:id="rId1"/>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ageSetup scale="88" orientation="portrait" r:id="rId2"/>
      <headerFooter alignWithMargins="0">
        <oddFooter>&amp;R&amp;A</oddFooter>
      </headerFooter>
    </customSheetView>
  </customSheetViews>
  <mergeCells count="25">
    <mergeCell ref="S1:S3"/>
    <mergeCell ref="M33:R35"/>
    <mergeCell ref="I7:R7"/>
    <mergeCell ref="I8:R8"/>
    <mergeCell ref="I9:R9"/>
    <mergeCell ref="B3:R3"/>
    <mergeCell ref="B2:R2"/>
    <mergeCell ref="B1:R1"/>
    <mergeCell ref="I10:R10"/>
    <mergeCell ref="B4:R4"/>
    <mergeCell ref="B5:P5"/>
    <mergeCell ref="M38:R40"/>
    <mergeCell ref="M36:R36"/>
    <mergeCell ref="M46:R46"/>
    <mergeCell ref="G60:R60"/>
    <mergeCell ref="D61:R61"/>
    <mergeCell ref="M42:O42"/>
    <mergeCell ref="P42:R42"/>
    <mergeCell ref="D62:R62"/>
    <mergeCell ref="M41:O41"/>
    <mergeCell ref="P41:R41"/>
    <mergeCell ref="M44:R45"/>
    <mergeCell ref="J65:K65"/>
    <mergeCell ref="L65:M65"/>
    <mergeCell ref="N65:O65"/>
  </mergeCells>
  <phoneticPr fontId="16" type="noConversion"/>
  <conditionalFormatting sqref="S1:S3">
    <cfRule type="cellIs" dxfId="128" priority="3" stopIfTrue="1" operator="equal">
      <formula>"na"</formula>
    </cfRule>
  </conditionalFormatting>
  <dataValidations count="2">
    <dataValidation type="textLength" operator="equal" allowBlank="1" showErrorMessage="1" errorTitle="Invalid input!" error="Enter a single x." sqref="D25:D30" xr:uid="{E50059F1-B40B-43A8-96DE-FF4D63BBDC1D}">
      <formula1>1</formula1>
    </dataValidation>
    <dataValidation type="list" allowBlank="1" showInputMessage="1" showErrorMessage="1" sqref="E8" xr:uid="{41F6FE68-D9EF-4721-8CAC-C510B858DC93}">
      <formula1>"GovtAct,BTAAct"</formula1>
    </dataValidation>
  </dataValidations>
  <hyperlinks>
    <hyperlink ref="B1:R1" location="Index!A1" display="Index!A1" xr:uid="{00000000-0004-0000-0F00-000000000000}"/>
  </hyperlinks>
  <pageMargins left="0.6" right="0.6" top="0.5" bottom="0.5" header="0.3" footer="0.3"/>
  <pageSetup scale="85" orientation="portrait" r:id="rId3"/>
  <ignoredErrors>
    <ignoredError sqref="I9:I10"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AA65"/>
  <sheetViews>
    <sheetView showGridLines="0" zoomScaleNormal="100" workbookViewId="0">
      <selection activeCell="A2" sqref="A2:M2"/>
    </sheetView>
  </sheetViews>
  <sheetFormatPr defaultColWidth="9.42578125" defaultRowHeight="11.25" x14ac:dyDescent="0.2"/>
  <cols>
    <col min="1" max="1" width="1.5703125" style="28" customWidth="1"/>
    <col min="2" max="2" width="4.42578125" style="28" customWidth="1"/>
    <col min="3" max="3" width="7.5703125" style="28" customWidth="1"/>
    <col min="4" max="4" width="1.5703125" style="28" customWidth="1"/>
    <col min="5" max="5" width="13.5703125" style="28" customWidth="1"/>
    <col min="6" max="6" width="1.5703125" style="28" customWidth="1"/>
    <col min="7" max="7" width="9.5703125" style="28" customWidth="1"/>
    <col min="8" max="8" width="2.5703125" style="28" customWidth="1"/>
    <col min="9" max="9" width="16.5703125" style="28" customWidth="1"/>
    <col min="10" max="10" width="1.42578125" style="28" customWidth="1"/>
    <col min="11" max="11" width="8.42578125" style="28" customWidth="1"/>
    <col min="12" max="12" width="6.42578125" style="28" customWidth="1"/>
    <col min="13" max="13" width="22.5703125" style="28" customWidth="1"/>
    <col min="14" max="14" width="4.5703125" style="28" customWidth="1"/>
    <col min="15" max="16384" width="9.42578125" style="28"/>
  </cols>
  <sheetData>
    <row r="1" spans="1:27" s="29" customFormat="1" ht="15" customHeight="1" x14ac:dyDescent="0.25">
      <c r="A1" s="2455" t="str">
        <f>+Index!$A$1</f>
        <v xml:space="preserve">                                                               Office of the State Controller                                                                </v>
      </c>
      <c r="B1" s="2455"/>
      <c r="C1" s="2455"/>
      <c r="D1" s="2455"/>
      <c r="E1" s="2455"/>
      <c r="F1" s="2455"/>
      <c r="G1" s="2455"/>
      <c r="H1" s="2455"/>
      <c r="I1" s="2455"/>
      <c r="J1" s="2455"/>
      <c r="K1" s="2455"/>
      <c r="L1" s="2455"/>
      <c r="M1" s="2455"/>
      <c r="N1" s="2520" t="str">
        <f>IF(Index!$B$36="na","NA","")</f>
        <v/>
      </c>
      <c r="AA1" s="30"/>
    </row>
    <row r="2" spans="1:27" s="29" customFormat="1" ht="15" customHeight="1" x14ac:dyDescent="0.25">
      <c r="A2" s="2493" t="str">
        <f>+Index!$A$2</f>
        <v>2023 ACFR Worksheets</v>
      </c>
      <c r="B2" s="2493"/>
      <c r="C2" s="2493"/>
      <c r="D2" s="2493"/>
      <c r="E2" s="2493"/>
      <c r="F2" s="2493"/>
      <c r="G2" s="2493"/>
      <c r="H2" s="2493"/>
      <c r="I2" s="2493"/>
      <c r="J2" s="2493"/>
      <c r="K2" s="2493"/>
      <c r="L2" s="2493"/>
      <c r="M2" s="2493"/>
      <c r="N2" s="2520"/>
    </row>
    <row r="3" spans="1:27" s="29" customFormat="1" ht="15" customHeight="1" x14ac:dyDescent="0.25">
      <c r="A3" s="2493" t="s">
        <v>1116</v>
      </c>
      <c r="B3" s="2493"/>
      <c r="C3" s="2493"/>
      <c r="D3" s="2493"/>
      <c r="E3" s="2493"/>
      <c r="F3" s="2493"/>
      <c r="G3" s="2493"/>
      <c r="H3" s="2493"/>
      <c r="I3" s="2493"/>
      <c r="J3" s="2493"/>
      <c r="K3" s="2493"/>
      <c r="L3" s="2493"/>
      <c r="M3" s="2493"/>
      <c r="N3" s="2520"/>
    </row>
    <row r="4" spans="1:27" s="89" customFormat="1" ht="15" customHeight="1" x14ac:dyDescent="0.2">
      <c r="A4" s="160"/>
      <c r="B4" s="160"/>
      <c r="C4" s="160"/>
      <c r="D4" s="160"/>
      <c r="E4" s="160"/>
      <c r="F4" s="160"/>
      <c r="G4" s="160"/>
      <c r="H4" s="2260"/>
      <c r="I4" s="160"/>
      <c r="J4" s="160"/>
      <c r="K4" s="160"/>
      <c r="L4" s="160"/>
      <c r="M4" s="160"/>
      <c r="N4" s="160"/>
      <c r="O4" s="160"/>
      <c r="P4" s="160"/>
      <c r="Q4" s="160"/>
      <c r="R4" s="160"/>
      <c r="S4" s="160"/>
      <c r="T4" s="160"/>
      <c r="U4" s="160"/>
      <c r="V4" s="160"/>
      <c r="W4" s="160"/>
      <c r="X4" s="160"/>
      <c r="Y4" s="160"/>
      <c r="Z4" s="160"/>
      <c r="AA4" s="160"/>
    </row>
    <row r="5" spans="1:27" s="89" customFormat="1" ht="15" customHeight="1" x14ac:dyDescent="0.2">
      <c r="A5" s="160"/>
      <c r="B5" s="160"/>
      <c r="C5" s="160"/>
      <c r="D5" s="2260"/>
      <c r="E5" s="160"/>
      <c r="F5" s="160"/>
      <c r="G5" s="160"/>
      <c r="H5" s="160"/>
      <c r="I5" s="1733" t="s">
        <v>317</v>
      </c>
      <c r="J5" s="2567" t="str">
        <f>+Index!$E$10</f>
        <v>01</v>
      </c>
      <c r="K5" s="2567"/>
      <c r="L5" s="2567"/>
      <c r="M5" s="2567"/>
      <c r="N5" s="1775"/>
      <c r="O5" s="160"/>
      <c r="P5" s="160"/>
      <c r="Q5" s="160"/>
      <c r="R5" s="160"/>
      <c r="S5" s="160"/>
      <c r="T5" s="160"/>
      <c r="U5" s="160"/>
      <c r="V5" s="160"/>
      <c r="W5" s="160"/>
      <c r="X5" s="160"/>
      <c r="Y5" s="160"/>
      <c r="Z5" s="160"/>
      <c r="AA5" s="160"/>
    </row>
    <row r="6" spans="1:27" s="89" customFormat="1" ht="15" customHeight="1" x14ac:dyDescent="0.2">
      <c r="A6" s="160"/>
      <c r="B6" s="160"/>
      <c r="C6" s="160"/>
      <c r="D6" s="160"/>
      <c r="E6" s="160"/>
      <c r="F6" s="160"/>
      <c r="G6" s="160"/>
      <c r="H6" s="160"/>
      <c r="I6" s="1733" t="s">
        <v>318</v>
      </c>
      <c r="J6" s="2571" t="str">
        <f>+Index!$E$11</f>
        <v>North Carolina General Assembly</v>
      </c>
      <c r="K6" s="2571"/>
      <c r="L6" s="2571"/>
      <c r="M6" s="2571"/>
      <c r="N6" s="1775"/>
      <c r="O6" s="160"/>
      <c r="P6" s="160"/>
      <c r="Q6" s="160"/>
      <c r="R6" s="160"/>
      <c r="S6" s="160"/>
      <c r="T6" s="160"/>
      <c r="U6" s="160"/>
      <c r="V6" s="160"/>
      <c r="W6" s="160"/>
      <c r="X6" s="160"/>
      <c r="Y6" s="160"/>
      <c r="Z6" s="160"/>
      <c r="AA6" s="160"/>
    </row>
    <row r="7" spans="1:27" s="89" customFormat="1" ht="15" customHeight="1" x14ac:dyDescent="0.2">
      <c r="A7" s="160" t="s">
        <v>568</v>
      </c>
      <c r="B7" s="160"/>
      <c r="C7" s="160"/>
      <c r="D7" s="2572" t="s">
        <v>477</v>
      </c>
      <c r="E7" s="2573"/>
      <c r="F7" s="160"/>
      <c r="G7" s="160"/>
      <c r="H7" s="160"/>
      <c r="I7" s="1733" t="s">
        <v>319</v>
      </c>
      <c r="J7" s="2546" t="str">
        <f>CONCATENATE(Index!$E$12," ",Index!$E$14)</f>
        <v xml:space="preserve"> </v>
      </c>
      <c r="K7" s="2546"/>
      <c r="L7" s="2546"/>
      <c r="M7" s="2546"/>
      <c r="N7" s="1776"/>
      <c r="O7" s="160"/>
      <c r="P7" s="160"/>
      <c r="Q7" s="160"/>
      <c r="R7" s="160"/>
      <c r="S7" s="160"/>
      <c r="T7" s="160"/>
      <c r="U7" s="160"/>
      <c r="V7" s="160"/>
      <c r="W7" s="160"/>
      <c r="X7" s="160"/>
      <c r="Y7" s="160"/>
      <c r="Z7" s="160"/>
      <c r="AA7" s="160"/>
    </row>
    <row r="8" spans="1:27" s="89" customFormat="1" ht="15" customHeight="1" x14ac:dyDescent="0.2">
      <c r="A8" s="160"/>
      <c r="B8" s="160"/>
      <c r="C8" s="160"/>
      <c r="D8" s="2260"/>
      <c r="E8" s="160"/>
      <c r="F8" s="160"/>
      <c r="G8" s="160"/>
      <c r="H8" s="160"/>
      <c r="I8" s="1733" t="s">
        <v>71</v>
      </c>
      <c r="J8" s="2574">
        <f>+Index!$E$13</f>
        <v>0</v>
      </c>
      <c r="K8" s="2574"/>
      <c r="L8" s="2574"/>
      <c r="M8" s="2574"/>
      <c r="N8" s="1777"/>
      <c r="O8" s="160"/>
      <c r="P8" s="160"/>
      <c r="Q8" s="160"/>
      <c r="R8" s="160"/>
      <c r="S8" s="160"/>
      <c r="T8" s="160"/>
      <c r="U8" s="160"/>
      <c r="V8" s="160"/>
      <c r="W8" s="160"/>
      <c r="X8" s="160"/>
      <c r="Y8" s="160"/>
      <c r="Z8" s="160"/>
      <c r="AA8" s="160"/>
    </row>
    <row r="9" spans="1:27" s="89" customFormat="1" ht="6" customHeight="1" thickBot="1" x14ac:dyDescent="0.25">
      <c r="A9" s="1735"/>
      <c r="B9" s="1735"/>
      <c r="C9" s="1735"/>
      <c r="D9" s="1735"/>
      <c r="E9" s="1735"/>
      <c r="F9" s="1735"/>
      <c r="G9" s="1735"/>
      <c r="H9" s="1735"/>
      <c r="I9" s="1735"/>
      <c r="J9" s="1735"/>
      <c r="K9" s="1735"/>
      <c r="L9" s="1735"/>
      <c r="M9" s="1735"/>
      <c r="N9" s="160"/>
      <c r="O9" s="160"/>
      <c r="P9" s="160"/>
      <c r="Q9" s="160"/>
      <c r="R9" s="160"/>
      <c r="S9" s="160"/>
      <c r="T9" s="160"/>
      <c r="U9" s="160"/>
      <c r="V9" s="160"/>
      <c r="W9" s="160"/>
      <c r="X9" s="160"/>
      <c r="Y9" s="160"/>
      <c r="Z9" s="160"/>
      <c r="AA9" s="160"/>
    </row>
    <row r="10" spans="1:27" s="89" customFormat="1" ht="5.0999999999999996" customHeight="1" x14ac:dyDescent="0.2">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row>
    <row r="11" spans="1:27" s="89" customFormat="1" ht="5.0999999999999996" customHeight="1"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row>
    <row r="12" spans="1:27" s="89" customFormat="1" ht="12.75" customHeight="1" x14ac:dyDescent="0.2">
      <c r="A12" s="2570" t="s">
        <v>1117</v>
      </c>
      <c r="B12" s="2383"/>
      <c r="C12" s="2383"/>
      <c r="D12" s="2383"/>
      <c r="E12" s="2383"/>
      <c r="F12" s="2383"/>
      <c r="G12" s="2383"/>
      <c r="H12" s="2383"/>
      <c r="I12" s="2383"/>
      <c r="J12" s="2383"/>
      <c r="K12" s="2383"/>
      <c r="L12" s="2383"/>
      <c r="M12" s="2383"/>
      <c r="N12" s="160"/>
      <c r="O12" s="160"/>
      <c r="P12" s="160"/>
      <c r="Q12" s="160"/>
      <c r="R12" s="160"/>
      <c r="S12" s="160"/>
      <c r="T12" s="160"/>
      <c r="U12" s="160"/>
      <c r="V12" s="160"/>
      <c r="W12" s="160"/>
      <c r="X12" s="160"/>
      <c r="Y12" s="160"/>
      <c r="Z12" s="160"/>
      <c r="AA12" s="160"/>
    </row>
    <row r="13" spans="1:27" s="89" customFormat="1" ht="12.75" customHeight="1" x14ac:dyDescent="0.2">
      <c r="A13" s="2570" t="s">
        <v>1118</v>
      </c>
      <c r="B13" s="2383"/>
      <c r="C13" s="2383"/>
      <c r="D13" s="2383"/>
      <c r="E13" s="2383"/>
      <c r="F13" s="2383"/>
      <c r="G13" s="2383"/>
      <c r="H13" s="2383"/>
      <c r="I13" s="2383"/>
      <c r="J13" s="2383"/>
      <c r="K13" s="2383"/>
      <c r="L13" s="2383"/>
      <c r="M13" s="2383"/>
      <c r="N13" s="160"/>
      <c r="O13" s="160"/>
      <c r="P13" s="160"/>
      <c r="Q13" s="160"/>
      <c r="R13" s="160"/>
      <c r="S13" s="160"/>
      <c r="T13" s="160"/>
      <c r="U13" s="160"/>
      <c r="V13" s="160"/>
      <c r="W13" s="160"/>
      <c r="X13" s="160"/>
      <c r="Y13" s="160"/>
      <c r="Z13" s="160"/>
      <c r="AA13" s="160"/>
    </row>
    <row r="14" spans="1:27" s="89" customFormat="1" ht="12.75" customHeight="1" x14ac:dyDescent="0.2">
      <c r="A14" s="2254" t="s">
        <v>1119</v>
      </c>
      <c r="B14"/>
      <c r="C14"/>
      <c r="D14"/>
      <c r="E14"/>
      <c r="F14"/>
      <c r="G14"/>
      <c r="H14"/>
      <c r="I14"/>
      <c r="J14"/>
      <c r="K14"/>
      <c r="L14"/>
      <c r="M14"/>
      <c r="N14" s="160"/>
      <c r="O14" s="160"/>
      <c r="P14" s="160"/>
      <c r="Q14" s="160"/>
      <c r="R14" s="160"/>
      <c r="S14" s="160"/>
      <c r="T14" s="160"/>
      <c r="U14" s="160"/>
      <c r="V14" s="160"/>
      <c r="W14" s="160"/>
      <c r="X14" s="160"/>
      <c r="Y14" s="160"/>
      <c r="Z14" s="160"/>
      <c r="AA14" s="160"/>
    </row>
    <row r="15" spans="1:27" s="89" customFormat="1" ht="12.75" customHeight="1" x14ac:dyDescent="0.2">
      <c r="A15" s="2575" t="s">
        <v>1120</v>
      </c>
      <c r="B15" s="2576"/>
      <c r="C15" s="2576"/>
      <c r="D15" s="2576"/>
      <c r="E15" s="2576"/>
      <c r="F15"/>
      <c r="G15"/>
      <c r="H15"/>
      <c r="I15"/>
      <c r="J15"/>
      <c r="K15"/>
      <c r="L15"/>
      <c r="M15"/>
      <c r="N15" s="160"/>
      <c r="O15" s="160"/>
      <c r="P15" s="160"/>
      <c r="Q15" s="160"/>
      <c r="R15" s="160"/>
      <c r="S15" s="160"/>
      <c r="T15" s="160"/>
      <c r="U15" s="160"/>
      <c r="V15" s="160"/>
      <c r="W15" s="160"/>
      <c r="X15" s="160"/>
      <c r="Y15" s="160"/>
      <c r="Z15" s="160"/>
      <c r="AA15" s="160"/>
    </row>
    <row r="16" spans="1:27" s="89" customFormat="1" ht="10.35" customHeight="1" x14ac:dyDescent="0.2">
      <c r="A16" s="2256"/>
      <c r="B16" s="1"/>
      <c r="C16" s="1"/>
      <c r="D16" s="1"/>
      <c r="E16" s="1"/>
      <c r="F16"/>
      <c r="G16"/>
      <c r="H16"/>
      <c r="I16"/>
      <c r="J16"/>
      <c r="K16"/>
      <c r="L16"/>
      <c r="M16"/>
      <c r="N16" s="160"/>
      <c r="O16" s="160"/>
      <c r="P16" s="160"/>
      <c r="Q16" s="160"/>
      <c r="R16" s="160"/>
      <c r="S16" s="160"/>
      <c r="T16" s="160"/>
      <c r="U16" s="160"/>
      <c r="V16" s="160"/>
      <c r="W16" s="160"/>
      <c r="X16" s="160"/>
      <c r="Y16" s="160"/>
      <c r="Z16" s="160"/>
      <c r="AA16" s="160"/>
    </row>
    <row r="17" spans="1:13" s="89" customFormat="1" ht="14.1" customHeight="1" x14ac:dyDescent="0.25">
      <c r="A17" s="2570" t="s">
        <v>1121</v>
      </c>
      <c r="B17" s="2383"/>
      <c r="C17" s="2383"/>
      <c r="D17" s="2383"/>
      <c r="E17" s="2383"/>
      <c r="F17" s="2383"/>
      <c r="G17" s="2383"/>
      <c r="H17" s="2383"/>
      <c r="I17" s="2383"/>
      <c r="J17" s="2383"/>
      <c r="K17" s="2383"/>
      <c r="L17" s="2383"/>
      <c r="M17" s="2383"/>
    </row>
    <row r="18" spans="1:13" s="89" customFormat="1" ht="10.35" customHeight="1" x14ac:dyDescent="0.2">
      <c r="A18" s="2254"/>
      <c r="B18"/>
      <c r="C18"/>
      <c r="D18"/>
      <c r="E18"/>
      <c r="F18"/>
      <c r="G18"/>
      <c r="H18"/>
      <c r="I18"/>
      <c r="J18"/>
      <c r="K18"/>
      <c r="L18"/>
      <c r="M18"/>
    </row>
    <row r="19" spans="1:13" s="89" customFormat="1" ht="15" customHeight="1" x14ac:dyDescent="0.2">
      <c r="A19" s="2268" t="s">
        <v>1122</v>
      </c>
      <c r="B19" s="160"/>
      <c r="C19" s="160"/>
      <c r="D19" s="160"/>
      <c r="E19" s="160"/>
      <c r="F19" s="160"/>
      <c r="G19" s="160"/>
      <c r="H19" s="160"/>
      <c r="I19" s="160"/>
      <c r="J19" s="160"/>
      <c r="K19" s="160"/>
      <c r="L19" s="160"/>
      <c r="M19" s="160"/>
    </row>
    <row r="20" spans="1:13" s="89" customFormat="1" ht="15" customHeight="1" x14ac:dyDescent="0.2">
      <c r="A20" s="160"/>
      <c r="B20" s="2266" t="s">
        <v>1123</v>
      </c>
      <c r="C20" s="909"/>
      <c r="D20" s="160"/>
      <c r="E20" s="160"/>
      <c r="F20" s="160"/>
      <c r="G20" s="2266"/>
      <c r="H20" s="160"/>
      <c r="I20" s="1778"/>
      <c r="J20" s="160"/>
      <c r="K20" s="466" t="s">
        <v>1124</v>
      </c>
      <c r="L20" s="160"/>
      <c r="M20" s="160"/>
    </row>
    <row r="21" spans="1:13" s="89" customFormat="1" ht="14.85" customHeight="1" x14ac:dyDescent="0.2">
      <c r="A21" s="160"/>
      <c r="B21" s="160" t="s">
        <v>1125</v>
      </c>
      <c r="C21" s="909"/>
      <c r="D21" s="160"/>
      <c r="E21" s="160"/>
      <c r="F21" s="160"/>
      <c r="G21" s="2266"/>
      <c r="H21" s="160"/>
      <c r="I21" s="1779"/>
      <c r="J21" s="160"/>
      <c r="K21" s="466" t="s">
        <v>1126</v>
      </c>
      <c r="L21" s="160"/>
      <c r="M21" s="160"/>
    </row>
    <row r="22" spans="1:13" s="89" customFormat="1" ht="14.85" customHeight="1" thickBot="1" x14ac:dyDescent="0.25">
      <c r="A22" s="160"/>
      <c r="B22" s="1780" t="s">
        <v>1127</v>
      </c>
      <c r="C22" s="909"/>
      <c r="D22" s="160"/>
      <c r="E22" s="160"/>
      <c r="F22" s="160"/>
      <c r="G22" s="2266"/>
      <c r="H22" s="160"/>
      <c r="I22" s="1781">
        <f>SUM(I20:I21)</f>
        <v>0</v>
      </c>
      <c r="J22" s="160"/>
      <c r="K22" s="466" t="s">
        <v>1128</v>
      </c>
      <c r="L22" s="160"/>
      <c r="M22" s="160"/>
    </row>
    <row r="23" spans="1:13" s="89" customFormat="1" ht="6" customHeight="1" thickTop="1" x14ac:dyDescent="0.2">
      <c r="A23" s="160"/>
      <c r="B23" s="160"/>
      <c r="C23" s="1780"/>
      <c r="D23" s="160"/>
      <c r="E23" s="160"/>
      <c r="F23" s="160"/>
      <c r="G23" s="2266"/>
      <c r="H23" s="160"/>
      <c r="I23" s="1782"/>
      <c r="J23" s="160"/>
      <c r="K23" s="466"/>
      <c r="L23" s="160"/>
      <c r="M23" s="160"/>
    </row>
    <row r="24" spans="1:13" s="89" customFormat="1" ht="11.1" customHeight="1" x14ac:dyDescent="0.25">
      <c r="A24" s="160"/>
      <c r="B24" s="468" t="s">
        <v>708</v>
      </c>
      <c r="C24" s="2568" t="s">
        <v>1129</v>
      </c>
      <c r="D24" s="2569"/>
      <c r="E24" s="2569"/>
      <c r="F24" s="2569"/>
      <c r="G24" s="2569"/>
      <c r="H24" s="2569"/>
      <c r="I24" s="2569"/>
      <c r="J24" s="2569"/>
      <c r="K24" s="2569"/>
      <c r="L24" s="2569"/>
      <c r="M24" s="2569"/>
    </row>
    <row r="25" spans="1:13" s="89" customFormat="1" ht="11.1" customHeight="1" x14ac:dyDescent="0.25">
      <c r="A25" s="160"/>
      <c r="B25" s="468"/>
      <c r="C25" s="2568" t="s">
        <v>1130</v>
      </c>
      <c r="D25" s="2569"/>
      <c r="E25" s="2569"/>
      <c r="F25" s="2569"/>
      <c r="G25" s="2569"/>
      <c r="H25" s="2569"/>
      <c r="I25" s="2569"/>
      <c r="J25" s="2569"/>
      <c r="K25" s="2569"/>
      <c r="L25" s="2569"/>
      <c r="M25" s="2569"/>
    </row>
    <row r="26" spans="1:13" s="89" customFormat="1" ht="4.3499999999999996" customHeight="1" x14ac:dyDescent="0.25">
      <c r="A26" s="160"/>
      <c r="B26" s="468"/>
      <c r="C26" s="465" t="s">
        <v>323</v>
      </c>
      <c r="D26" s="467"/>
      <c r="E26" s="467"/>
      <c r="F26" s="467"/>
      <c r="G26" s="2266"/>
      <c r="H26" s="160"/>
      <c r="I26" s="1782"/>
      <c r="J26" s="160"/>
      <c r="K26" s="466"/>
      <c r="L26" s="160"/>
      <c r="M26" s="160"/>
    </row>
    <row r="27" spans="1:13" s="89" customFormat="1" ht="15" customHeight="1" x14ac:dyDescent="0.2">
      <c r="A27" s="160"/>
      <c r="B27" s="2266" t="s">
        <v>1131</v>
      </c>
      <c r="C27" s="2266"/>
      <c r="D27" s="467"/>
      <c r="E27" s="467"/>
      <c r="F27" s="467"/>
      <c r="G27" s="2266"/>
      <c r="H27" s="160"/>
      <c r="I27" s="1782"/>
      <c r="J27" s="160"/>
      <c r="K27" s="466"/>
      <c r="L27" s="160"/>
      <c r="M27" s="160"/>
    </row>
    <row r="28" spans="1:13" s="89" customFormat="1" ht="15" customHeight="1" x14ac:dyDescent="0.2">
      <c r="A28" s="160"/>
      <c r="B28" s="2266"/>
      <c r="C28" s="1061"/>
      <c r="D28" s="467"/>
      <c r="E28" s="467" t="s">
        <v>339</v>
      </c>
      <c r="F28" s="467"/>
      <c r="G28" s="2266"/>
      <c r="H28" s="160"/>
      <c r="I28" s="1782"/>
      <c r="J28" s="160"/>
      <c r="K28" s="466"/>
      <c r="L28" s="160"/>
      <c r="M28" s="160"/>
    </row>
    <row r="29" spans="1:13" s="89" customFormat="1" ht="15" customHeight="1" x14ac:dyDescent="0.2">
      <c r="A29" s="160"/>
      <c r="B29" s="2266"/>
      <c r="C29" s="1091"/>
      <c r="D29" s="467"/>
      <c r="E29" s="467" t="s">
        <v>340</v>
      </c>
      <c r="F29" s="467"/>
      <c r="G29" s="2266"/>
      <c r="H29" s="160"/>
      <c r="I29" s="1782"/>
      <c r="J29" s="160"/>
      <c r="K29" s="466"/>
      <c r="L29" s="160"/>
      <c r="M29" s="160"/>
    </row>
    <row r="30" spans="1:13" s="89" customFormat="1" ht="6" customHeight="1" x14ac:dyDescent="0.2">
      <c r="A30" s="160"/>
      <c r="B30" s="160"/>
      <c r="C30" s="160"/>
      <c r="D30" s="160"/>
      <c r="E30" s="160"/>
      <c r="F30" s="160"/>
      <c r="G30" s="160"/>
      <c r="H30" s="160"/>
      <c r="I30" s="160"/>
      <c r="J30" s="160"/>
      <c r="K30" s="160"/>
      <c r="L30" s="160"/>
      <c r="M30" s="160"/>
    </row>
    <row r="31" spans="1:13" ht="12.75" x14ac:dyDescent="0.2">
      <c r="A31" s="2268" t="s">
        <v>1132</v>
      </c>
      <c r="C31"/>
      <c r="D31"/>
      <c r="E31"/>
      <c r="F31"/>
      <c r="G31"/>
      <c r="H31"/>
      <c r="I31"/>
      <c r="J31"/>
      <c r="K31"/>
      <c r="L31"/>
      <c r="M31"/>
    </row>
    <row r="32" spans="1:13" ht="14.1" customHeight="1" x14ac:dyDescent="0.2">
      <c r="A32" s="160"/>
      <c r="B32" s="1783" t="s">
        <v>542</v>
      </c>
      <c r="C32" s="1061"/>
      <c r="E32" s="2266" t="s">
        <v>1133</v>
      </c>
      <c r="F32" s="909"/>
      <c r="G32" s="909"/>
      <c r="H32" s="909"/>
      <c r="I32" s="909"/>
      <c r="J32" s="909"/>
      <c r="K32" s="909"/>
      <c r="L32" s="160"/>
      <c r="M32" s="160"/>
    </row>
    <row r="33" spans="1:13" ht="12.6" customHeight="1" x14ac:dyDescent="0.2">
      <c r="A33" s="160"/>
      <c r="B33" s="1783"/>
      <c r="D33" s="909"/>
      <c r="E33" s="909" t="s">
        <v>1134</v>
      </c>
      <c r="F33" s="909"/>
      <c r="G33" s="909"/>
      <c r="H33" s="909"/>
      <c r="I33" s="909"/>
      <c r="J33" s="909"/>
      <c r="K33" s="909"/>
      <c r="L33" s="160"/>
      <c r="M33" s="160"/>
    </row>
    <row r="34" spans="1:13" ht="12.6" customHeight="1" x14ac:dyDescent="0.2">
      <c r="A34" s="160"/>
      <c r="B34" s="1783"/>
      <c r="C34" s="909"/>
      <c r="D34" s="909"/>
      <c r="E34" s="909" t="s">
        <v>1135</v>
      </c>
      <c r="F34" s="909"/>
      <c r="G34" s="909"/>
      <c r="H34" s="909"/>
      <c r="I34" s="909"/>
      <c r="J34" s="909"/>
      <c r="K34" s="909"/>
      <c r="L34" s="160"/>
      <c r="M34" s="160"/>
    </row>
    <row r="35" spans="1:13" ht="14.1" customHeight="1" x14ac:dyDescent="0.2">
      <c r="A35" s="160"/>
      <c r="B35" s="1783" t="s">
        <v>545</v>
      </c>
      <c r="C35" s="1061"/>
      <c r="D35" s="1784" t="s">
        <v>1136</v>
      </c>
      <c r="E35" s="909"/>
      <c r="F35" s="909"/>
      <c r="G35" s="909"/>
      <c r="H35" s="909"/>
      <c r="I35" s="909"/>
      <c r="J35" s="909"/>
      <c r="K35" s="909"/>
      <c r="L35" s="160"/>
      <c r="M35" s="160"/>
    </row>
    <row r="36" spans="1:13" ht="12.6" customHeight="1" x14ac:dyDescent="0.2">
      <c r="A36" s="160"/>
      <c r="B36" s="1783"/>
      <c r="D36" s="909"/>
      <c r="E36" s="909" t="s">
        <v>1137</v>
      </c>
      <c r="F36" s="909"/>
      <c r="G36" s="909"/>
      <c r="H36" s="909"/>
      <c r="I36" s="909"/>
      <c r="J36" s="909"/>
      <c r="K36" s="909"/>
      <c r="L36" s="160"/>
      <c r="M36" s="160"/>
    </row>
    <row r="37" spans="1:13" ht="14.1" customHeight="1" x14ac:dyDescent="0.2">
      <c r="A37" s="160"/>
      <c r="B37" s="1783" t="s">
        <v>548</v>
      </c>
      <c r="C37" s="1061"/>
      <c r="D37" s="1784" t="s">
        <v>1138</v>
      </c>
      <c r="E37" s="909"/>
      <c r="F37" s="909"/>
      <c r="G37" s="909"/>
      <c r="H37" s="909"/>
      <c r="I37" s="909"/>
      <c r="J37" s="909"/>
      <c r="K37" s="909"/>
      <c r="L37" s="160"/>
      <c r="M37" s="160"/>
    </row>
    <row r="38" spans="1:13" ht="12.6" customHeight="1" x14ac:dyDescent="0.2">
      <c r="A38" s="160"/>
      <c r="B38" s="1783"/>
      <c r="D38" s="909"/>
      <c r="E38" s="909" t="s">
        <v>1139</v>
      </c>
      <c r="F38" s="909"/>
      <c r="G38" s="909"/>
      <c r="H38" s="909"/>
      <c r="I38" s="909"/>
      <c r="J38" s="909"/>
      <c r="K38" s="909"/>
      <c r="L38" s="160"/>
      <c r="M38" s="160"/>
    </row>
    <row r="39" spans="1:13" ht="12.6" customHeight="1" x14ac:dyDescent="0.2">
      <c r="A39" s="160"/>
      <c r="B39" s="1783"/>
      <c r="D39" s="909"/>
      <c r="E39" s="909" t="s">
        <v>1140</v>
      </c>
      <c r="F39" s="909"/>
      <c r="G39" s="909"/>
      <c r="H39" s="909"/>
      <c r="I39" s="909"/>
      <c r="J39" s="909"/>
      <c r="K39" s="909"/>
      <c r="L39" s="160"/>
      <c r="M39" s="160"/>
    </row>
    <row r="40" spans="1:13" ht="14.1" customHeight="1" x14ac:dyDescent="0.2">
      <c r="A40" s="160"/>
      <c r="B40" s="1783" t="s">
        <v>1141</v>
      </c>
      <c r="C40" s="1061"/>
      <c r="D40" s="1784" t="s">
        <v>1142</v>
      </c>
      <c r="E40" s="909"/>
      <c r="F40" s="909"/>
      <c r="G40" s="909"/>
      <c r="H40" s="909"/>
      <c r="I40" s="909"/>
      <c r="J40" s="909"/>
      <c r="K40" s="909"/>
      <c r="L40" s="160"/>
      <c r="M40" s="160"/>
    </row>
    <row r="41" spans="1:13" ht="12.6" customHeight="1" x14ac:dyDescent="0.2">
      <c r="A41" s="160"/>
      <c r="B41" s="1783"/>
      <c r="D41" s="909"/>
      <c r="E41" s="909" t="s">
        <v>1143</v>
      </c>
      <c r="F41" s="909"/>
      <c r="G41" s="909"/>
      <c r="H41" s="909"/>
      <c r="I41" s="909"/>
      <c r="J41" s="909"/>
      <c r="K41" s="909"/>
      <c r="L41" s="160"/>
      <c r="M41" s="160"/>
    </row>
    <row r="42" spans="1:13" ht="14.1" customHeight="1" x14ac:dyDescent="0.2">
      <c r="A42" s="160"/>
      <c r="B42" s="1783" t="s">
        <v>1144</v>
      </c>
      <c r="C42" s="1061"/>
      <c r="D42" s="1784" t="s">
        <v>1145</v>
      </c>
      <c r="E42" s="909"/>
      <c r="F42" s="909"/>
      <c r="G42" s="909"/>
      <c r="H42" s="909"/>
      <c r="I42" s="909"/>
      <c r="J42" s="909"/>
      <c r="K42" s="909"/>
      <c r="L42" s="160"/>
      <c r="M42" s="160"/>
    </row>
    <row r="43" spans="1:13" ht="12.6" customHeight="1" x14ac:dyDescent="0.2">
      <c r="A43" s="160"/>
      <c r="B43" s="909"/>
      <c r="D43" s="909"/>
      <c r="E43" s="909" t="s">
        <v>1146</v>
      </c>
      <c r="F43" s="909"/>
      <c r="G43" s="909"/>
      <c r="H43" s="909"/>
      <c r="I43" s="909"/>
      <c r="J43" s="909"/>
      <c r="K43" s="909"/>
      <c r="L43" s="160"/>
      <c r="M43" s="160"/>
    </row>
    <row r="44" spans="1:13" ht="12.6" customHeight="1" x14ac:dyDescent="0.2">
      <c r="A44" s="160"/>
      <c r="B44" s="909"/>
      <c r="D44" s="909"/>
      <c r="E44" s="909" t="s">
        <v>1147</v>
      </c>
      <c r="F44" s="909"/>
      <c r="G44" s="909"/>
      <c r="H44" s="909"/>
      <c r="I44" s="909"/>
      <c r="J44" s="909"/>
      <c r="K44" s="909"/>
      <c r="L44" s="160"/>
      <c r="M44" s="160"/>
    </row>
    <row r="45" spans="1:13" ht="12.6" customHeight="1" x14ac:dyDescent="0.2">
      <c r="A45" s="160"/>
      <c r="B45" s="909"/>
      <c r="D45" s="909"/>
      <c r="E45" s="909" t="s">
        <v>1148</v>
      </c>
      <c r="F45" s="909"/>
      <c r="G45" s="909"/>
      <c r="H45" s="909"/>
      <c r="I45" s="909"/>
      <c r="J45" s="909"/>
      <c r="K45" s="909"/>
      <c r="L45" s="160"/>
      <c r="M45" s="160"/>
    </row>
    <row r="46" spans="1:13" ht="12.6" customHeight="1" x14ac:dyDescent="0.2">
      <c r="A46" s="160"/>
      <c r="B46" s="909"/>
      <c r="D46" s="909"/>
      <c r="E46" s="909" t="s">
        <v>1149</v>
      </c>
      <c r="F46" s="909"/>
      <c r="G46" s="909"/>
      <c r="H46" s="909"/>
      <c r="I46" s="909"/>
      <c r="J46" s="909"/>
      <c r="K46" s="909"/>
      <c r="L46" s="160"/>
      <c r="M46" s="160"/>
    </row>
    <row r="47" spans="1:13" ht="15" customHeight="1" x14ac:dyDescent="0.25">
      <c r="A47" s="160"/>
      <c r="B47" s="465" t="s">
        <v>1150</v>
      </c>
      <c r="D47" s="909"/>
      <c r="E47" s="909"/>
      <c r="F47" s="909"/>
      <c r="G47" s="909"/>
      <c r="H47" s="909"/>
      <c r="I47" s="909"/>
      <c r="J47" s="909"/>
      <c r="K47" s="909"/>
      <c r="L47" s="160"/>
      <c r="M47" s="160"/>
    </row>
    <row r="48" spans="1:13" ht="4.3499999999999996" customHeight="1" x14ac:dyDescent="0.2">
      <c r="A48" s="160"/>
      <c r="B48" s="160"/>
      <c r="C48" s="160"/>
      <c r="D48" s="160"/>
      <c r="E48" s="160"/>
      <c r="F48" s="160"/>
      <c r="G48" s="160"/>
      <c r="H48" s="160"/>
      <c r="I48" s="160"/>
      <c r="J48" s="160"/>
      <c r="K48" s="160"/>
      <c r="L48" s="160"/>
      <c r="M48" s="160"/>
    </row>
    <row r="49" spans="1:13" ht="12.75" x14ac:dyDescent="0.2">
      <c r="A49" s="228" t="s">
        <v>1151</v>
      </c>
      <c r="B49" s="160"/>
      <c r="C49" s="160"/>
      <c r="D49" s="160"/>
      <c r="E49" s="160"/>
      <c r="F49" s="160"/>
      <c r="G49" s="160"/>
      <c r="H49" s="160"/>
      <c r="I49" s="160"/>
      <c r="J49" s="160"/>
      <c r="K49" s="160"/>
      <c r="L49" s="160"/>
      <c r="M49" s="160"/>
    </row>
    <row r="50" spans="1:13" ht="14.1" customHeight="1" x14ac:dyDescent="0.2">
      <c r="B50" s="1785" t="s">
        <v>542</v>
      </c>
      <c r="C50" s="1061"/>
      <c r="E50" s="909" t="s">
        <v>1152</v>
      </c>
      <c r="F50" s="160"/>
      <c r="G50" s="160"/>
      <c r="H50" s="160"/>
      <c r="I50" s="160"/>
      <c r="J50" s="160"/>
      <c r="K50" s="160"/>
      <c r="L50" s="160"/>
      <c r="M50" s="160"/>
    </row>
    <row r="51" spans="1:13" ht="12.6" customHeight="1" x14ac:dyDescent="0.2">
      <c r="B51" s="159"/>
      <c r="C51" s="159"/>
      <c r="E51" s="909" t="s">
        <v>1153</v>
      </c>
      <c r="F51" s="160"/>
      <c r="G51" s="160"/>
      <c r="H51" s="160"/>
      <c r="I51" s="160"/>
      <c r="J51" s="160"/>
      <c r="K51" s="160"/>
      <c r="L51" s="160"/>
      <c r="M51" s="160"/>
    </row>
    <row r="52" spans="1:13" ht="14.1" customHeight="1" x14ac:dyDescent="0.2">
      <c r="B52" s="1785" t="s">
        <v>545</v>
      </c>
      <c r="C52" s="2242"/>
      <c r="E52" s="909" t="s">
        <v>1154</v>
      </c>
      <c r="F52" s="160"/>
      <c r="G52" s="160"/>
      <c r="H52" s="160"/>
      <c r="I52" s="160"/>
      <c r="J52" s="160"/>
      <c r="K52" s="160"/>
      <c r="L52" s="160"/>
      <c r="M52" s="160"/>
    </row>
    <row r="53" spans="1:13" ht="12.6" customHeight="1" x14ac:dyDescent="0.2">
      <c r="B53" s="159"/>
      <c r="C53" s="159"/>
      <c r="E53" s="909" t="s">
        <v>1155</v>
      </c>
      <c r="F53" s="160"/>
      <c r="G53" s="160"/>
      <c r="H53" s="160"/>
      <c r="I53" s="160"/>
      <c r="J53" s="160"/>
      <c r="K53" s="160"/>
      <c r="L53" s="160"/>
      <c r="M53" s="160"/>
    </row>
    <row r="54" spans="1:13" ht="12.6" customHeight="1" x14ac:dyDescent="0.2">
      <c r="B54" s="159"/>
      <c r="C54" s="159"/>
      <c r="E54" s="909" t="s">
        <v>1156</v>
      </c>
      <c r="F54" s="160"/>
      <c r="G54" s="160"/>
      <c r="H54" s="160"/>
      <c r="I54" s="160"/>
      <c r="J54" s="160"/>
      <c r="K54" s="160"/>
      <c r="L54" s="160"/>
      <c r="M54" s="160"/>
    </row>
    <row r="55" spans="1:13" ht="14.1" customHeight="1" x14ac:dyDescent="0.2">
      <c r="B55" s="1785" t="s">
        <v>548</v>
      </c>
      <c r="C55" s="2242"/>
      <c r="E55" s="909" t="s">
        <v>1157</v>
      </c>
      <c r="F55" s="160"/>
      <c r="G55" s="160"/>
      <c r="H55" s="160"/>
      <c r="I55" s="160"/>
      <c r="J55" s="160"/>
      <c r="K55" s="160"/>
      <c r="L55" s="160"/>
      <c r="M55" s="160"/>
    </row>
    <row r="56" spans="1:13" ht="12.6" customHeight="1" x14ac:dyDescent="0.2">
      <c r="B56" s="159"/>
      <c r="C56" s="159"/>
      <c r="E56" s="909" t="s">
        <v>1158</v>
      </c>
      <c r="F56" s="160"/>
      <c r="G56" s="160"/>
      <c r="H56" s="160"/>
      <c r="I56" s="160"/>
      <c r="J56" s="160"/>
      <c r="K56" s="160"/>
      <c r="L56" s="160"/>
      <c r="M56" s="160"/>
    </row>
    <row r="57" spans="1:13" ht="14.1" customHeight="1" x14ac:dyDescent="0.2">
      <c r="B57" s="1785" t="s">
        <v>1141</v>
      </c>
      <c r="C57" s="2242"/>
      <c r="E57" s="909" t="s">
        <v>1159</v>
      </c>
      <c r="F57" s="160"/>
      <c r="G57" s="160"/>
      <c r="H57" s="160"/>
      <c r="I57" s="160"/>
      <c r="J57" s="160"/>
      <c r="K57" s="160"/>
      <c r="L57" s="160"/>
      <c r="M57" s="160"/>
    </row>
    <row r="58" spans="1:13" ht="6" customHeight="1" x14ac:dyDescent="0.2"/>
    <row r="59" spans="1:13" ht="12.75" x14ac:dyDescent="0.2">
      <c r="A59" s="228" t="s">
        <v>741</v>
      </c>
    </row>
    <row r="60" spans="1:13" ht="12.75" customHeight="1" x14ac:dyDescent="0.2">
      <c r="A60" s="160" t="s">
        <v>1160</v>
      </c>
      <c r="B60" s="160"/>
      <c r="C60" s="160"/>
      <c r="D60" s="160"/>
      <c r="E60" s="160"/>
      <c r="F60" s="160"/>
      <c r="G60" s="160"/>
      <c r="H60" s="160"/>
      <c r="I60" s="160"/>
      <c r="J60" s="160"/>
      <c r="K60" s="160"/>
      <c r="L60" s="160"/>
      <c r="M60" s="160"/>
    </row>
    <row r="61" spans="1:13" ht="12.75" customHeight="1" x14ac:dyDescent="0.2">
      <c r="A61" s="160" t="s">
        <v>1161</v>
      </c>
      <c r="B61" s="160"/>
      <c r="C61" s="160"/>
      <c r="D61" s="160"/>
      <c r="E61" s="160"/>
      <c r="F61" s="160"/>
      <c r="G61" s="160"/>
      <c r="H61" s="160"/>
      <c r="I61" s="160"/>
      <c r="J61" s="160"/>
      <c r="K61" s="160"/>
      <c r="L61" s="160"/>
      <c r="M61" s="160"/>
    </row>
    <row r="62" spans="1:13" ht="8.1" customHeight="1" x14ac:dyDescent="0.2">
      <c r="A62" s="160"/>
      <c r="B62" s="160"/>
      <c r="C62" s="160"/>
      <c r="D62" s="160"/>
      <c r="E62" s="160"/>
      <c r="F62" s="160"/>
      <c r="G62" s="160"/>
      <c r="H62" s="160"/>
      <c r="I62" s="160"/>
      <c r="J62" s="160"/>
      <c r="K62" s="160"/>
      <c r="L62" s="160"/>
      <c r="M62" s="160"/>
    </row>
    <row r="63" spans="1:13" ht="12.75" x14ac:dyDescent="0.2">
      <c r="A63" s="160"/>
      <c r="B63" s="160"/>
      <c r="C63" s="160"/>
      <c r="D63" s="160"/>
      <c r="E63" s="160"/>
      <c r="F63" s="160"/>
      <c r="G63" s="160"/>
      <c r="H63" s="160"/>
      <c r="I63" s="160"/>
      <c r="J63" s="160"/>
      <c r="K63" s="160"/>
      <c r="L63" s="160"/>
      <c r="M63" s="160"/>
    </row>
    <row r="64" spans="1:13" ht="12.75" x14ac:dyDescent="0.2">
      <c r="A64" s="160"/>
      <c r="B64" s="160"/>
      <c r="C64" s="160"/>
      <c r="D64" s="160"/>
      <c r="E64" s="160"/>
      <c r="F64" s="160"/>
      <c r="G64" s="160"/>
      <c r="H64" s="160"/>
      <c r="I64" s="160"/>
      <c r="J64" s="160"/>
      <c r="K64" s="160"/>
      <c r="L64" s="160"/>
      <c r="M64" s="160"/>
    </row>
    <row r="65" spans="1:13" ht="12.75" x14ac:dyDescent="0.2">
      <c r="A65" s="160"/>
      <c r="B65" s="160"/>
      <c r="C65" s="160"/>
      <c r="D65" s="160"/>
      <c r="E65" s="160"/>
      <c r="F65" s="160"/>
      <c r="G65" s="160"/>
      <c r="H65" s="160"/>
      <c r="I65" s="160"/>
      <c r="J65" s="160"/>
      <c r="K65" s="160"/>
      <c r="L65" s="160"/>
      <c r="M65" s="160"/>
    </row>
  </sheetData>
  <sheetProtection algorithmName="SHA-512" hashValue="+g0uiMpnP376o2zx+C4pXyrjLqzWc+UvPblCFxrnj5aBd3eXPW074xISiCRemUFG23G7DoY7cKRjFWmFAKRO7w==" saltValue="9trxtJLz2Gbci9fXtdp64g==" spinCount="100000" sheet="1" objects="1" scenarios="1" autoFilter="0"/>
  <customSheetViews>
    <customSheetView guid="{9FCFC836-1CA5-48BF-958D-24D2EA94B219}" showGridLines="0" fitToPage="1" topLeftCell="A25">
      <selection activeCell="C63" sqref="C63"/>
      <pageMargins left="0" right="0" top="0" bottom="0" header="0" footer="0"/>
      <pageSetup scale="94" orientation="portrait" r:id="rId1"/>
      <headerFooter alignWithMargins="0">
        <oddFooter>&amp;R&amp;A</oddFooter>
      </headerFooter>
    </customSheetView>
    <customSheetView guid="{B08879A4-635B-4C39-9937-AC7883D562FC}" showGridLines="0" fitToPage="1" topLeftCell="A25">
      <selection activeCell="C63" sqref="C63"/>
      <pageMargins left="0" right="0" top="0" bottom="0" header="0" footer="0"/>
      <pageSetup scale="94" orientation="portrait" r:id="rId2"/>
      <headerFooter alignWithMargins="0">
        <oddFooter>&amp;R&amp;A</oddFooter>
      </headerFooter>
    </customSheetView>
  </customSheetViews>
  <mergeCells count="15">
    <mergeCell ref="C25:M25"/>
    <mergeCell ref="A12:M12"/>
    <mergeCell ref="A13:M13"/>
    <mergeCell ref="A17:M17"/>
    <mergeCell ref="J6:M6"/>
    <mergeCell ref="D7:E7"/>
    <mergeCell ref="J7:M7"/>
    <mergeCell ref="J8:M8"/>
    <mergeCell ref="A15:E15"/>
    <mergeCell ref="C24:M24"/>
    <mergeCell ref="A1:M1"/>
    <mergeCell ref="N1:N3"/>
    <mergeCell ref="A2:M2"/>
    <mergeCell ref="A3:M3"/>
    <mergeCell ref="J5:M5"/>
  </mergeCells>
  <conditionalFormatting sqref="N1:N3">
    <cfRule type="cellIs" dxfId="127" priority="7" stopIfTrue="1" operator="equal">
      <formula>"na"</formula>
    </cfRule>
  </conditionalFormatting>
  <hyperlinks>
    <hyperlink ref="A1:M1" location="Index!A1" display="Index!A1" xr:uid="{00000000-0004-0000-1000-000000000000}"/>
    <hyperlink ref="A15" r:id="rId3" xr:uid="{00000000-0004-0000-1000-000001000000}"/>
    <hyperlink ref="A15:E15" r:id="rId4" display="NC OSC Policy 103.2" xr:uid="{00000000-0004-0000-1000-000002000000}"/>
  </hyperlinks>
  <pageMargins left="0.6" right="0.6" top="0.5" bottom="0.5" header="0.3" footer="0.3"/>
  <pageSetup scale="85" orientation="portrait" r:id="rId5"/>
  <ignoredErrors>
    <ignoredError sqref="J7:J8" unlockedFormula="1"/>
    <ignoredError sqref="B2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0C43-C7A6-49C8-AACD-3439728920FB}">
  <sheetPr codeName="Sheet94">
    <pageSetUpPr fitToPage="1"/>
  </sheetPr>
  <dimension ref="A1:X121"/>
  <sheetViews>
    <sheetView showGridLines="0" topLeftCell="B1" zoomScaleNormal="100" zoomScaleSheetLayoutView="100" workbookViewId="0">
      <selection activeCell="A2" sqref="A2"/>
    </sheetView>
  </sheetViews>
  <sheetFormatPr defaultColWidth="9.42578125" defaultRowHeight="12.75" x14ac:dyDescent="0.2"/>
  <cols>
    <col min="1" max="1" width="9.42578125" style="48" hidden="1" customWidth="1"/>
    <col min="2" max="3" width="3.42578125" style="48" customWidth="1"/>
    <col min="4" max="4" width="7.5703125" style="48" customWidth="1"/>
    <col min="5" max="5" width="1" style="48" customWidth="1"/>
    <col min="6" max="6" width="8.5703125" style="48" customWidth="1"/>
    <col min="7" max="7" width="13.85546875" style="48" customWidth="1"/>
    <col min="8" max="8" width="8.140625" style="48" customWidth="1"/>
    <col min="9" max="9" width="8.5703125" style="48" customWidth="1"/>
    <col min="10" max="10" width="7.42578125" style="48" customWidth="1"/>
    <col min="11" max="11" width="21.5703125" style="48" customWidth="1"/>
    <col min="12" max="12" width="6.5703125" style="48" customWidth="1"/>
    <col min="13" max="16384" width="9.42578125" style="48"/>
  </cols>
  <sheetData>
    <row r="1" spans="1:13" ht="15.75" x14ac:dyDescent="0.25">
      <c r="A1" s="48" t="str">
        <f t="shared" ref="A1:A10" si="0">AgyIdx</f>
        <v>01</v>
      </c>
      <c r="B1" s="2384" t="str">
        <f>+Index!$A$1</f>
        <v xml:space="preserve">                                                               Office of the State Controller                                                                </v>
      </c>
      <c r="C1" s="2384"/>
      <c r="D1" s="2384"/>
      <c r="E1" s="2384"/>
      <c r="F1" s="2384"/>
      <c r="G1" s="2384"/>
      <c r="H1" s="2384"/>
      <c r="I1" s="2384"/>
      <c r="J1" s="2384"/>
      <c r="K1" s="2384"/>
      <c r="L1" s="2464" t="str">
        <f>IF(Index!$B$37="na","NA","")</f>
        <v/>
      </c>
    </row>
    <row r="2" spans="1:13" ht="15.75" x14ac:dyDescent="0.25">
      <c r="A2" s="48" t="str">
        <f t="shared" si="0"/>
        <v>01</v>
      </c>
      <c r="B2" s="2452" t="str">
        <f>+Index!$A$2</f>
        <v>2023 ACFR Worksheets</v>
      </c>
      <c r="C2" s="2452"/>
      <c r="D2" s="2452"/>
      <c r="E2" s="2452"/>
      <c r="F2" s="2452"/>
      <c r="G2" s="2452"/>
      <c r="H2" s="2452"/>
      <c r="I2" s="2452"/>
      <c r="J2" s="2452"/>
      <c r="K2" s="2452"/>
      <c r="L2" s="2464"/>
    </row>
    <row r="3" spans="1:13" ht="15.75" x14ac:dyDescent="0.25">
      <c r="A3" s="48" t="str">
        <f t="shared" si="0"/>
        <v>01</v>
      </c>
      <c r="B3" s="2453" t="s">
        <v>1162</v>
      </c>
      <c r="C3" s="2453"/>
      <c r="D3" s="2453"/>
      <c r="E3" s="2453"/>
      <c r="F3" s="2453"/>
      <c r="G3" s="2453"/>
      <c r="H3" s="2453"/>
      <c r="I3" s="2453"/>
      <c r="J3" s="2453"/>
      <c r="K3" s="2453"/>
      <c r="L3" s="2464"/>
    </row>
    <row r="4" spans="1:13" ht="12.75" customHeight="1" x14ac:dyDescent="0.2">
      <c r="A4" s="48" t="str">
        <f t="shared" si="0"/>
        <v>01</v>
      </c>
      <c r="B4" s="268"/>
      <c r="C4" s="268"/>
      <c r="D4" s="268"/>
      <c r="E4" s="268"/>
      <c r="F4" s="268"/>
      <c r="G4" s="268"/>
      <c r="H4" s="268"/>
      <c r="I4" s="268"/>
      <c r="J4" s="268"/>
      <c r="K4" s="263"/>
      <c r="L4" s="264"/>
    </row>
    <row r="5" spans="1:13" x14ac:dyDescent="0.2">
      <c r="A5" s="48" t="str">
        <f t="shared" si="0"/>
        <v>01</v>
      </c>
      <c r="B5" s="638"/>
      <c r="C5" s="638"/>
      <c r="D5" s="638"/>
      <c r="E5" s="638"/>
      <c r="F5" s="266"/>
      <c r="G5" s="828"/>
      <c r="H5" s="820" t="s">
        <v>317</v>
      </c>
      <c r="I5" s="2567" t="str">
        <f>+Index!$E$10</f>
        <v>01</v>
      </c>
      <c r="J5" s="2567"/>
      <c r="K5" s="2567"/>
      <c r="L5" s="1775"/>
    </row>
    <row r="6" spans="1:13" x14ac:dyDescent="0.2">
      <c r="A6" s="48" t="str">
        <f t="shared" si="0"/>
        <v>01</v>
      </c>
      <c r="B6" s="638"/>
      <c r="C6" s="638"/>
      <c r="D6" s="638"/>
      <c r="E6" s="638"/>
      <c r="F6" s="638"/>
      <c r="G6" s="2217"/>
      <c r="H6" s="820" t="s">
        <v>318</v>
      </c>
      <c r="I6" s="2571" t="str">
        <f>+Index!$E$11</f>
        <v>North Carolina General Assembly</v>
      </c>
      <c r="J6" s="2571"/>
      <c r="K6" s="2571"/>
      <c r="L6" s="1775"/>
    </row>
    <row r="7" spans="1:13" x14ac:dyDescent="0.2">
      <c r="A7" s="48" t="str">
        <f t="shared" si="0"/>
        <v>01</v>
      </c>
      <c r="B7" s="2458" t="s">
        <v>476</v>
      </c>
      <c r="C7" s="2396"/>
      <c r="D7" s="2396"/>
      <c r="E7" s="159"/>
      <c r="F7" s="819" t="s">
        <v>477</v>
      </c>
      <c r="G7" s="268"/>
      <c r="H7" s="820" t="s">
        <v>319</v>
      </c>
      <c r="I7" s="2546" t="str">
        <f>CONCATENATE(Index!$E$12," ",Index!$E$14)</f>
        <v xml:space="preserve"> </v>
      </c>
      <c r="J7" s="2546"/>
      <c r="K7" s="2546"/>
      <c r="L7" s="1776"/>
    </row>
    <row r="8" spans="1:13" x14ac:dyDescent="0.2">
      <c r="A8" s="48" t="str">
        <f t="shared" si="0"/>
        <v>01</v>
      </c>
      <c r="B8" s="2217"/>
      <c r="C8" s="2217"/>
      <c r="D8" s="828"/>
      <c r="E8" s="828"/>
      <c r="F8" s="268"/>
      <c r="G8" s="268"/>
      <c r="H8" s="820" t="s">
        <v>71</v>
      </c>
      <c r="I8" s="2574">
        <f>+Index!$E$13</f>
        <v>0</v>
      </c>
      <c r="J8" s="2574"/>
      <c r="K8" s="2574"/>
      <c r="L8" s="1777"/>
    </row>
    <row r="9" spans="1:13" ht="10.35" customHeight="1" thickBot="1" x14ac:dyDescent="0.25">
      <c r="A9" s="48" t="str">
        <f t="shared" si="0"/>
        <v>01</v>
      </c>
      <c r="B9" s="829"/>
      <c r="C9" s="829"/>
      <c r="D9" s="829"/>
      <c r="E9" s="829"/>
      <c r="F9" s="829"/>
      <c r="G9" s="829"/>
      <c r="H9" s="829"/>
      <c r="I9" s="829"/>
      <c r="J9" s="829"/>
      <c r="K9" s="829"/>
    </row>
    <row r="10" spans="1:13" ht="12" customHeight="1" x14ac:dyDescent="0.25">
      <c r="A10" s="48" t="str">
        <f t="shared" si="0"/>
        <v>01</v>
      </c>
      <c r="B10" s="2220"/>
      <c r="C10" s="2220"/>
      <c r="D10" s="2220"/>
      <c r="E10" s="2220"/>
      <c r="F10" s="2220"/>
      <c r="G10" s="2220"/>
      <c r="H10" s="2220"/>
      <c r="I10" s="2220"/>
      <c r="J10" s="2220"/>
      <c r="K10" s="2220"/>
    </row>
    <row r="11" spans="1:13" ht="12" customHeight="1" x14ac:dyDescent="0.2">
      <c r="B11" s="723" t="s">
        <v>1163</v>
      </c>
      <c r="C11" s="723"/>
      <c r="D11" s="723"/>
      <c r="E11" s="723"/>
      <c r="F11" s="723"/>
      <c r="G11" s="723"/>
      <c r="H11" s="723"/>
      <c r="I11" s="723"/>
      <c r="J11" s="723"/>
      <c r="K11" s="723"/>
      <c r="L11" s="826"/>
      <c r="M11" s="805"/>
    </row>
    <row r="12" spans="1:13" ht="12" customHeight="1" x14ac:dyDescent="0.2">
      <c r="B12" s="723" t="s">
        <v>1164</v>
      </c>
      <c r="C12" s="723"/>
      <c r="D12" s="723"/>
      <c r="E12" s="723"/>
      <c r="F12" s="723"/>
      <c r="G12" s="723"/>
      <c r="H12" s="723"/>
      <c r="I12" s="723"/>
      <c r="J12" s="723"/>
      <c r="K12" s="723"/>
      <c r="L12" s="826"/>
      <c r="M12" s="805"/>
    </row>
    <row r="13" spans="1:13" ht="12" customHeight="1" x14ac:dyDescent="0.2">
      <c r="B13" s="2579" t="s">
        <v>1165</v>
      </c>
      <c r="C13" s="2579"/>
      <c r="D13" s="2579"/>
      <c r="E13" s="2579"/>
      <c r="F13" s="2579"/>
      <c r="G13" s="2579"/>
      <c r="H13" s="723" t="s">
        <v>1166</v>
      </c>
      <c r="I13" s="723"/>
      <c r="J13" s="723"/>
      <c r="K13" s="723"/>
      <c r="L13" s="826"/>
      <c r="M13" s="805"/>
    </row>
    <row r="14" spans="1:13" ht="12" customHeight="1" x14ac:dyDescent="0.2">
      <c r="B14" s="1430"/>
      <c r="C14" s="1430"/>
      <c r="D14" s="1430"/>
      <c r="E14" s="1430"/>
      <c r="F14" s="1430"/>
      <c r="G14" s="1430"/>
      <c r="H14" s="723"/>
      <c r="I14" s="723"/>
      <c r="J14" s="723"/>
      <c r="K14" s="723"/>
      <c r="L14" s="826"/>
      <c r="M14" s="805"/>
    </row>
    <row r="15" spans="1:13" s="50" customFormat="1" ht="12" customHeight="1" x14ac:dyDescent="0.25">
      <c r="B15" s="723" t="s">
        <v>1167</v>
      </c>
      <c r="C15" s="637"/>
      <c r="D15" s="638"/>
      <c r="E15" s="638"/>
      <c r="F15" s="638"/>
      <c r="G15" s="638"/>
      <c r="H15" s="638"/>
      <c r="I15" s="638"/>
      <c r="J15" s="638"/>
      <c r="K15" s="638"/>
      <c r="L15" s="48"/>
    </row>
    <row r="16" spans="1:13" s="50" customFormat="1" ht="12" customHeight="1" x14ac:dyDescent="0.25">
      <c r="B16" s="723" t="s">
        <v>1168</v>
      </c>
      <c r="C16" s="637"/>
      <c r="D16" s="638"/>
      <c r="E16" s="638"/>
      <c r="F16" s="638"/>
      <c r="G16" s="638"/>
      <c r="H16" s="638"/>
      <c r="I16" s="638"/>
      <c r="J16" s="638"/>
      <c r="K16" s="638"/>
      <c r="L16" s="48"/>
    </row>
    <row r="17" spans="2:24" s="50" customFormat="1" ht="12" customHeight="1" x14ac:dyDescent="0.25">
      <c r="B17" s="723" t="s">
        <v>1169</v>
      </c>
      <c r="C17" s="637"/>
      <c r="D17" s="638"/>
      <c r="E17" s="638"/>
      <c r="F17" s="638"/>
      <c r="G17" s="638"/>
      <c r="H17" s="638"/>
      <c r="I17" s="638"/>
      <c r="J17" s="638"/>
      <c r="K17" s="638"/>
      <c r="L17" s="48"/>
    </row>
    <row r="18" spans="2:24" s="50" customFormat="1" ht="12.75" customHeight="1" x14ac:dyDescent="0.25">
      <c r="B18" s="723" t="s">
        <v>1170</v>
      </c>
      <c r="C18" s="637"/>
      <c r="D18" s="638"/>
      <c r="E18" s="638"/>
      <c r="F18" s="638"/>
      <c r="G18" s="638"/>
      <c r="H18" s="638"/>
      <c r="I18" s="638"/>
      <c r="J18" s="638"/>
      <c r="K18" s="638"/>
      <c r="L18" s="48"/>
    </row>
    <row r="19" spans="2:24" s="50" customFormat="1" ht="12" customHeight="1" x14ac:dyDescent="0.25">
      <c r="B19" s="723" t="s">
        <v>1171</v>
      </c>
      <c r="C19" s="637"/>
      <c r="D19" s="638"/>
      <c r="E19" s="638"/>
      <c r="F19" s="638"/>
      <c r="G19" s="638"/>
      <c r="H19" s="638"/>
      <c r="I19" s="638"/>
      <c r="J19" s="638"/>
      <c r="K19" s="638"/>
      <c r="L19" s="48"/>
    </row>
    <row r="20" spans="2:24" s="50" customFormat="1" ht="12" customHeight="1" x14ac:dyDescent="0.25">
      <c r="B20" s="723" t="s">
        <v>1172</v>
      </c>
      <c r="C20" s="637"/>
      <c r="D20" s="638"/>
      <c r="E20" s="638"/>
      <c r="F20" s="638"/>
      <c r="G20" s="638"/>
      <c r="H20" s="638"/>
      <c r="I20" s="638"/>
      <c r="J20" s="638"/>
      <c r="K20" s="638"/>
      <c r="L20" s="48"/>
    </row>
    <row r="21" spans="2:24" s="50" customFormat="1" ht="6" customHeight="1" x14ac:dyDescent="0.25">
      <c r="B21" s="638"/>
      <c r="C21" s="723"/>
      <c r="D21" s="2221"/>
      <c r="E21" s="2221"/>
      <c r="F21" s="159"/>
      <c r="G21" s="159"/>
      <c r="H21" s="159"/>
      <c r="I21" s="159"/>
      <c r="J21" s="159"/>
      <c r="K21" s="159"/>
      <c r="L21" s="48"/>
      <c r="M21" s="806"/>
      <c r="O21" s="723"/>
      <c r="P21" s="2221"/>
      <c r="Q21" s="2221"/>
      <c r="R21" s="159"/>
      <c r="S21" s="159"/>
      <c r="T21" s="159"/>
      <c r="U21" s="159"/>
      <c r="V21" s="159"/>
      <c r="W21" s="159"/>
      <c r="X21" s="48"/>
    </row>
    <row r="22" spans="2:24" s="50" customFormat="1" ht="12" customHeight="1" x14ac:dyDescent="0.25">
      <c r="B22" s="638" t="s">
        <v>1173</v>
      </c>
      <c r="C22" s="723"/>
      <c r="D22" s="2221"/>
      <c r="E22" s="2221"/>
      <c r="F22" s="159"/>
      <c r="G22" s="159"/>
      <c r="H22" s="159"/>
      <c r="I22" s="159"/>
      <c r="J22" s="159"/>
      <c r="K22" s="159"/>
      <c r="L22" s="48"/>
      <c r="M22" s="806"/>
      <c r="N22" s="515"/>
    </row>
    <row r="23" spans="2:24" s="50" customFormat="1" ht="3.6" customHeight="1" x14ac:dyDescent="0.25">
      <c r="B23" s="638"/>
      <c r="C23" s="723"/>
      <c r="D23" s="2221"/>
      <c r="E23" s="2221"/>
      <c r="F23" s="159"/>
      <c r="G23" s="159"/>
      <c r="H23" s="159"/>
      <c r="I23" s="159"/>
      <c r="J23" s="159"/>
      <c r="K23" s="159"/>
      <c r="L23" s="48"/>
      <c r="M23" s="806"/>
      <c r="N23" s="515"/>
    </row>
    <row r="24" spans="2:24" s="50" customFormat="1" ht="12" customHeight="1" x14ac:dyDescent="0.25">
      <c r="B24" s="637" t="s">
        <v>1174</v>
      </c>
      <c r="C24" s="723"/>
      <c r="D24" s="2221"/>
      <c r="E24" s="2221"/>
      <c r="F24" s="159"/>
      <c r="G24" s="159"/>
      <c r="H24" s="159"/>
      <c r="I24" s="159"/>
      <c r="J24" s="159"/>
      <c r="K24" s="159"/>
      <c r="L24" s="48"/>
      <c r="M24" s="806"/>
      <c r="N24" s="515"/>
    </row>
    <row r="25" spans="2:24" s="50" customFormat="1" ht="12" customHeight="1" x14ac:dyDescent="0.25">
      <c r="B25" s="638"/>
      <c r="C25" s="723" t="s">
        <v>542</v>
      </c>
      <c r="D25" s="1351"/>
      <c r="F25" s="2221" t="s">
        <v>1175</v>
      </c>
      <c r="G25" s="159"/>
      <c r="H25" s="159"/>
      <c r="I25" s="159"/>
      <c r="J25" s="159"/>
      <c r="K25" s="159"/>
      <c r="L25" s="48"/>
      <c r="M25" s="806"/>
      <c r="N25" s="515"/>
    </row>
    <row r="26" spans="2:24" s="50" customFormat="1" ht="12" customHeight="1" x14ac:dyDescent="0.25">
      <c r="B26" s="638"/>
      <c r="C26" s="723" t="s">
        <v>545</v>
      </c>
      <c r="D26" s="1352"/>
      <c r="F26" s="2221" t="s">
        <v>1176</v>
      </c>
      <c r="G26" s="159"/>
      <c r="H26" s="159"/>
      <c r="I26" s="159"/>
      <c r="J26" s="159"/>
      <c r="K26" s="159"/>
      <c r="L26" s="48"/>
      <c r="M26" s="806"/>
      <c r="N26" s="515"/>
    </row>
    <row r="27" spans="2:24" s="50" customFormat="1" ht="12" customHeight="1" x14ac:dyDescent="0.25">
      <c r="B27" s="638"/>
      <c r="C27" s="723" t="s">
        <v>548</v>
      </c>
      <c r="D27" s="1352"/>
      <c r="F27" s="2221" t="s">
        <v>1177</v>
      </c>
      <c r="G27" s="159"/>
      <c r="H27" s="159"/>
      <c r="I27" s="159"/>
      <c r="J27" s="159"/>
      <c r="K27" s="159"/>
      <c r="L27" s="48"/>
      <c r="M27" s="806"/>
      <c r="N27" s="515"/>
    </row>
    <row r="28" spans="2:24" s="50" customFormat="1" ht="6" customHeight="1" x14ac:dyDescent="0.25">
      <c r="B28" s="638"/>
      <c r="C28" s="723"/>
      <c r="D28" s="2221"/>
      <c r="E28" s="2221"/>
      <c r="F28" s="159"/>
      <c r="G28" s="159"/>
      <c r="H28" s="159"/>
      <c r="I28" s="159"/>
      <c r="J28" s="159"/>
      <c r="K28" s="159"/>
      <c r="L28" s="48"/>
      <c r="M28" s="806"/>
      <c r="N28" s="515"/>
    </row>
    <row r="29" spans="2:24" s="50" customFormat="1" ht="12" customHeight="1" x14ac:dyDescent="0.25">
      <c r="B29" s="637" t="s">
        <v>1178</v>
      </c>
      <c r="C29" s="723"/>
      <c r="D29" s="2221"/>
      <c r="E29" s="2221"/>
      <c r="F29" s="159"/>
      <c r="G29" s="159"/>
      <c r="H29" s="159"/>
      <c r="I29" s="159"/>
      <c r="J29" s="159"/>
      <c r="K29" s="159"/>
      <c r="L29" s="48"/>
      <c r="M29" s="806"/>
      <c r="N29" s="515"/>
    </row>
    <row r="30" spans="2:24" s="50" customFormat="1" ht="12" customHeight="1" x14ac:dyDescent="0.25">
      <c r="B30" s="638"/>
      <c r="C30" s="723" t="s">
        <v>542</v>
      </c>
      <c r="D30" s="1351"/>
      <c r="E30" s="2221"/>
      <c r="F30" s="2221" t="s">
        <v>1179</v>
      </c>
      <c r="G30" s="159"/>
      <c r="H30" s="159"/>
      <c r="I30" s="159"/>
      <c r="J30" s="159"/>
      <c r="K30" s="159"/>
      <c r="L30" s="48"/>
      <c r="M30" s="806"/>
      <c r="N30" s="515"/>
    </row>
    <row r="31" spans="2:24" s="50" customFormat="1" ht="12" customHeight="1" x14ac:dyDescent="0.25">
      <c r="B31" s="638"/>
      <c r="C31" s="723"/>
      <c r="E31" s="2221"/>
      <c r="F31" s="2221" t="s">
        <v>1180</v>
      </c>
      <c r="G31" s="159"/>
      <c r="H31" s="159"/>
      <c r="I31" s="159"/>
      <c r="J31" s="159"/>
      <c r="K31" s="159"/>
      <c r="L31" s="48"/>
      <c r="M31" s="806"/>
      <c r="N31" s="515"/>
    </row>
    <row r="32" spans="2:24" s="50" customFormat="1" ht="12" customHeight="1" x14ac:dyDescent="0.25">
      <c r="B32" s="638"/>
      <c r="C32" s="723" t="s">
        <v>545</v>
      </c>
      <c r="D32" s="1351"/>
      <c r="E32" s="2221"/>
      <c r="F32" s="2221" t="s">
        <v>1181</v>
      </c>
      <c r="G32" s="159"/>
      <c r="H32" s="159"/>
      <c r="I32" s="159"/>
      <c r="J32" s="159"/>
      <c r="K32" s="159"/>
      <c r="L32" s="48"/>
      <c r="M32" s="806"/>
      <c r="N32" s="515"/>
    </row>
    <row r="33" spans="2:14" s="50" customFormat="1" ht="12" customHeight="1" x14ac:dyDescent="0.25">
      <c r="B33" s="638"/>
      <c r="C33" s="723" t="s">
        <v>548</v>
      </c>
      <c r="D33" s="1352"/>
      <c r="E33" s="2221"/>
      <c r="F33" s="2221" t="s">
        <v>1182</v>
      </c>
      <c r="G33" s="159"/>
      <c r="H33" s="159"/>
      <c r="I33" s="159"/>
      <c r="J33" s="159"/>
      <c r="K33" s="159"/>
      <c r="L33" s="48"/>
      <c r="M33" s="806"/>
      <c r="N33" s="515"/>
    </row>
    <row r="34" spans="2:14" s="50" customFormat="1" ht="12" customHeight="1" x14ac:dyDescent="0.25">
      <c r="B34" s="638"/>
      <c r="C34" s="723" t="s">
        <v>1141</v>
      </c>
      <c r="D34" s="1352"/>
      <c r="E34" s="2221"/>
      <c r="F34" s="2221" t="s">
        <v>1183</v>
      </c>
      <c r="G34" s="159"/>
      <c r="H34" s="159"/>
      <c r="I34" s="159"/>
      <c r="J34" s="159"/>
      <c r="K34" s="159"/>
      <c r="L34" s="48"/>
      <c r="M34" s="806"/>
      <c r="N34" s="515"/>
    </row>
    <row r="35" spans="2:14" s="50" customFormat="1" ht="12" customHeight="1" x14ac:dyDescent="0.25">
      <c r="B35" s="638"/>
      <c r="C35" s="723"/>
      <c r="E35" s="2221"/>
      <c r="F35" s="2221"/>
      <c r="G35" s="159"/>
      <c r="H35" s="159"/>
      <c r="I35" s="159"/>
      <c r="J35" s="159"/>
      <c r="K35" s="159"/>
      <c r="L35" s="48"/>
      <c r="M35" s="806"/>
      <c r="N35" s="515"/>
    </row>
    <row r="36" spans="2:14" s="50" customFormat="1" ht="12" customHeight="1" x14ac:dyDescent="0.25">
      <c r="B36" s="638" t="s">
        <v>1184</v>
      </c>
      <c r="C36" s="48"/>
      <c r="D36" s="48"/>
      <c r="E36" s="48"/>
      <c r="F36" s="48"/>
      <c r="G36" s="48"/>
      <c r="H36" s="48"/>
      <c r="I36" s="48"/>
      <c r="J36" s="48"/>
      <c r="K36" s="48"/>
      <c r="L36" s="48"/>
      <c r="M36" s="1431"/>
      <c r="N36" s="515"/>
    </row>
    <row r="37" spans="2:14" s="50" customFormat="1" ht="13.5" customHeight="1" x14ac:dyDescent="0.25">
      <c r="B37" s="638" t="s">
        <v>1185</v>
      </c>
      <c r="C37" s="48"/>
      <c r="D37" s="48"/>
      <c r="E37" s="48"/>
      <c r="F37" s="48"/>
      <c r="G37" s="48"/>
      <c r="H37" s="48"/>
      <c r="I37" s="48"/>
      <c r="J37" s="48"/>
      <c r="K37" s="48"/>
      <c r="L37" s="48"/>
      <c r="M37" s="48"/>
    </row>
    <row r="38" spans="2:14" s="50" customFormat="1" ht="12" customHeight="1" x14ac:dyDescent="0.25">
      <c r="B38" s="637" t="s">
        <v>1186</v>
      </c>
      <c r="C38" s="637"/>
      <c r="D38" s="639"/>
      <c r="E38" s="639"/>
      <c r="F38" s="928"/>
      <c r="G38" s="638"/>
      <c r="H38" s="638"/>
      <c r="I38" s="638"/>
      <c r="J38" s="638"/>
      <c r="K38" s="638"/>
      <c r="L38" s="48"/>
    </row>
    <row r="39" spans="2:14" s="50" customFormat="1" ht="12" customHeight="1" x14ac:dyDescent="0.25">
      <c r="B39" s="1432"/>
      <c r="C39" s="1432"/>
      <c r="D39" s="1433"/>
      <c r="E39" s="1433"/>
      <c r="F39" s="1434"/>
      <c r="G39" s="1277"/>
      <c r="H39" s="1277"/>
      <c r="I39" s="1277"/>
      <c r="J39" s="1277"/>
      <c r="K39" s="1277"/>
      <c r="L39" s="1435"/>
    </row>
    <row r="40" spans="2:14" s="50" customFormat="1" ht="13.5" customHeight="1" x14ac:dyDescent="0.25">
      <c r="B40" s="1321" t="s">
        <v>1187</v>
      </c>
      <c r="C40" s="637"/>
      <c r="D40" s="639"/>
      <c r="E40" s="639"/>
      <c r="F40" s="928"/>
      <c r="G40" s="638"/>
      <c r="H40" s="638"/>
      <c r="I40" s="638"/>
      <c r="J40" s="638"/>
      <c r="K40" s="638"/>
      <c r="L40" s="48"/>
    </row>
    <row r="41" spans="2:14" s="50" customFormat="1" ht="6" customHeight="1" x14ac:dyDescent="0.25">
      <c r="B41" s="1321"/>
      <c r="C41" s="637"/>
      <c r="D41" s="639"/>
      <c r="E41" s="639"/>
      <c r="F41" s="928"/>
      <c r="G41" s="638"/>
      <c r="H41" s="638"/>
      <c r="I41" s="638"/>
      <c r="J41" s="638"/>
      <c r="K41" s="638"/>
      <c r="L41" s="48"/>
    </row>
    <row r="42" spans="2:14" s="50" customFormat="1" ht="15.75" x14ac:dyDescent="0.25">
      <c r="B42" s="638" t="s">
        <v>1188</v>
      </c>
      <c r="C42" s="637"/>
      <c r="D42" s="639"/>
      <c r="E42" s="639"/>
      <c r="F42" s="928"/>
      <c r="G42" s="638"/>
      <c r="H42" s="638"/>
      <c r="I42" s="638"/>
      <c r="J42" s="638"/>
      <c r="K42" s="638"/>
      <c r="L42" s="48"/>
    </row>
    <row r="43" spans="2:14" s="50" customFormat="1" ht="12" customHeight="1" x14ac:dyDescent="0.25">
      <c r="B43" s="637" t="s">
        <v>1189</v>
      </c>
      <c r="C43" s="637"/>
      <c r="D43" s="639"/>
      <c r="E43" s="639"/>
      <c r="F43" s="928"/>
      <c r="G43" s="638"/>
      <c r="H43" s="638"/>
      <c r="I43" s="638"/>
      <c r="J43" s="638"/>
      <c r="K43" s="638"/>
      <c r="L43" s="48"/>
    </row>
    <row r="44" spans="2:14" s="50" customFormat="1" ht="5.25" customHeight="1" x14ac:dyDescent="0.25">
      <c r="B44" s="638"/>
      <c r="C44" s="637"/>
      <c r="D44" s="639"/>
      <c r="E44" s="639"/>
      <c r="F44" s="928"/>
      <c r="G44" s="638"/>
      <c r="H44" s="638"/>
      <c r="I44" s="638"/>
      <c r="J44" s="638"/>
      <c r="K44" s="638"/>
      <c r="L44" s="48"/>
    </row>
    <row r="45" spans="2:14" s="50" customFormat="1" ht="15.75" x14ac:dyDescent="0.25">
      <c r="B45" s="1320" t="s">
        <v>1190</v>
      </c>
      <c r="C45" s="637"/>
      <c r="D45" s="639"/>
      <c r="E45" s="639"/>
      <c r="F45" s="928"/>
      <c r="G45" s="638"/>
      <c r="H45" s="638"/>
      <c r="I45" s="638"/>
      <c r="J45" s="638"/>
      <c r="K45" s="638"/>
      <c r="L45" s="48"/>
    </row>
    <row r="46" spans="2:14" s="50" customFormat="1" ht="6" customHeight="1" x14ac:dyDescent="0.25">
      <c r="B46" s="1319"/>
      <c r="C46" s="637"/>
      <c r="D46" s="639"/>
      <c r="E46" s="639"/>
      <c r="F46" s="928"/>
      <c r="G46" s="638"/>
      <c r="H46" s="638"/>
      <c r="I46" s="638"/>
      <c r="J46" s="638"/>
      <c r="K46" s="638"/>
      <c r="L46" s="48"/>
    </row>
    <row r="47" spans="2:14" s="638" customFormat="1" x14ac:dyDescent="0.2">
      <c r="B47" s="1318" t="s">
        <v>1191</v>
      </c>
      <c r="C47" s="1318"/>
      <c r="D47" s="1318"/>
      <c r="E47" s="1318"/>
      <c r="F47" s="1318"/>
      <c r="G47" s="1318"/>
    </row>
    <row r="48" spans="2:14" s="638" customFormat="1" ht="12" customHeight="1" x14ac:dyDescent="0.2">
      <c r="B48" s="638" t="s">
        <v>1192</v>
      </c>
    </row>
    <row r="49" spans="2:10" s="638" customFormat="1" ht="12" customHeight="1" x14ac:dyDescent="0.2">
      <c r="B49" s="638" t="s">
        <v>1193</v>
      </c>
    </row>
    <row r="50" spans="2:10" s="638" customFormat="1" ht="12" customHeight="1" x14ac:dyDescent="0.2">
      <c r="B50" s="637" t="s">
        <v>1194</v>
      </c>
      <c r="I50" s="2578"/>
      <c r="J50" s="2578"/>
    </row>
    <row r="51" spans="2:10" s="638" customFormat="1" ht="12" customHeight="1" x14ac:dyDescent="0.2">
      <c r="B51" s="637" t="s">
        <v>1195</v>
      </c>
      <c r="I51" s="2258"/>
      <c r="J51" s="2258"/>
    </row>
    <row r="52" spans="2:10" s="638" customFormat="1" ht="12" customHeight="1" x14ac:dyDescent="0.2"/>
    <row r="53" spans="2:10" s="638" customFormat="1" ht="12" customHeight="1" x14ac:dyDescent="0.2">
      <c r="B53" s="1318" t="s">
        <v>1196</v>
      </c>
      <c r="C53" s="637"/>
      <c r="D53" s="639"/>
      <c r="E53" s="639"/>
      <c r="F53" s="928"/>
    </row>
    <row r="54" spans="2:10" s="638" customFormat="1" ht="12" customHeight="1" x14ac:dyDescent="0.2">
      <c r="B54" s="638" t="s">
        <v>1197</v>
      </c>
      <c r="C54" s="637"/>
      <c r="D54" s="639"/>
      <c r="E54" s="639"/>
      <c r="F54" s="928"/>
    </row>
    <row r="55" spans="2:10" s="638" customFormat="1" ht="12" customHeight="1" x14ac:dyDescent="0.2">
      <c r="B55" s="638" t="s">
        <v>1198</v>
      </c>
      <c r="C55" s="637"/>
      <c r="D55" s="639"/>
      <c r="E55" s="639"/>
      <c r="F55" s="928"/>
    </row>
    <row r="56" spans="2:10" s="638" customFormat="1" ht="12" customHeight="1" x14ac:dyDescent="0.2">
      <c r="B56" s="637" t="s">
        <v>1199</v>
      </c>
      <c r="C56" s="637"/>
      <c r="I56" s="2578"/>
      <c r="J56" s="2578"/>
    </row>
    <row r="57" spans="2:10" s="638" customFormat="1" ht="12" customHeight="1" x14ac:dyDescent="0.2">
      <c r="C57" s="637"/>
      <c r="I57" s="2258"/>
      <c r="J57" s="2258"/>
    </row>
    <row r="58" spans="2:10" s="638" customFormat="1" ht="12" customHeight="1" x14ac:dyDescent="0.2">
      <c r="B58" s="1318" t="s">
        <v>1200</v>
      </c>
      <c r="C58" s="637"/>
      <c r="I58" s="2258"/>
      <c r="J58" s="2258"/>
    </row>
    <row r="59" spans="2:10" s="638" customFormat="1" ht="12" customHeight="1" x14ac:dyDescent="0.2">
      <c r="B59" s="637" t="s">
        <v>1201</v>
      </c>
      <c r="C59" s="637"/>
      <c r="I59" s="2577"/>
      <c r="J59" s="2577"/>
    </row>
    <row r="60" spans="2:10" s="638" customFormat="1" ht="12" customHeight="1" x14ac:dyDescent="0.2">
      <c r="B60" s="637" t="s">
        <v>1202</v>
      </c>
      <c r="C60" s="637"/>
      <c r="I60" s="2578"/>
      <c r="J60" s="2578"/>
    </row>
    <row r="61" spans="2:10" s="638" customFormat="1" ht="12" customHeight="1" x14ac:dyDescent="0.2">
      <c r="C61" s="637"/>
      <c r="I61" s="1301"/>
      <c r="J61" s="1301"/>
    </row>
    <row r="62" spans="2:10" s="638" customFormat="1" ht="13.5" customHeight="1" x14ac:dyDescent="0.2">
      <c r="B62" s="637" t="s">
        <v>1203</v>
      </c>
      <c r="C62" s="637"/>
      <c r="I62" s="1301"/>
      <c r="J62" s="1301"/>
    </row>
    <row r="63" spans="2:10" s="638" customFormat="1" ht="5.25" customHeight="1" x14ac:dyDescent="0.2">
      <c r="C63" s="637"/>
      <c r="I63" s="1301"/>
      <c r="J63" s="1301"/>
    </row>
    <row r="64" spans="2:10" s="638" customFormat="1" ht="15" x14ac:dyDescent="0.2">
      <c r="B64" s="1320" t="s">
        <v>1204</v>
      </c>
      <c r="C64" s="637"/>
      <c r="I64" s="1301"/>
      <c r="J64" s="1301"/>
    </row>
    <row r="65" spans="2:13" s="638" customFormat="1" ht="6" customHeight="1" x14ac:dyDescent="0.2">
      <c r="B65" s="1320"/>
      <c r="C65" s="637"/>
      <c r="I65" s="1301"/>
      <c r="J65" s="1301"/>
    </row>
    <row r="66" spans="2:13" s="638" customFormat="1" ht="12" customHeight="1" x14ac:dyDescent="0.2">
      <c r="B66" s="1318" t="s">
        <v>1205</v>
      </c>
      <c r="C66" s="637"/>
      <c r="I66" s="1301"/>
      <c r="J66" s="1301"/>
    </row>
    <row r="67" spans="2:13" s="638" customFormat="1" ht="12" customHeight="1" x14ac:dyDescent="0.2">
      <c r="B67" s="638" t="s">
        <v>1206</v>
      </c>
      <c r="C67" s="637"/>
      <c r="I67" s="1301"/>
      <c r="J67" s="1301"/>
    </row>
    <row r="68" spans="2:13" s="638" customFormat="1" ht="12" customHeight="1" x14ac:dyDescent="0.2">
      <c r="B68" s="638" t="s">
        <v>1207</v>
      </c>
      <c r="I68" s="1301"/>
      <c r="J68" s="1301"/>
    </row>
    <row r="69" spans="2:13" s="638" customFormat="1" ht="12" customHeight="1" x14ac:dyDescent="0.2">
      <c r="B69" s="638" t="s">
        <v>1208</v>
      </c>
      <c r="I69" s="1301"/>
      <c r="J69" s="1301"/>
    </row>
    <row r="70" spans="2:13" s="638" customFormat="1" ht="12" customHeight="1" x14ac:dyDescent="0.2">
      <c r="B70" s="638" t="s">
        <v>1209</v>
      </c>
      <c r="I70" s="1301"/>
      <c r="J70" s="1301"/>
    </row>
    <row r="71" spans="2:13" s="638" customFormat="1" ht="12" customHeight="1" x14ac:dyDescent="0.2">
      <c r="B71" s="637" t="s">
        <v>1210</v>
      </c>
      <c r="I71" s="2258"/>
      <c r="J71" s="2258"/>
    </row>
    <row r="72" spans="2:13" s="638" customFormat="1" ht="12" customHeight="1" x14ac:dyDescent="0.2">
      <c r="I72" s="1301"/>
      <c r="J72" s="1301"/>
    </row>
    <row r="73" spans="2:13" s="638" customFormat="1" ht="12" customHeight="1" x14ac:dyDescent="0.2">
      <c r="B73" s="1318" t="s">
        <v>1211</v>
      </c>
      <c r="I73" s="1301"/>
      <c r="J73" s="1301"/>
    </row>
    <row r="74" spans="2:13" s="638" customFormat="1" ht="12" customHeight="1" x14ac:dyDescent="0.2">
      <c r="B74" s="638" t="s">
        <v>1212</v>
      </c>
      <c r="I74" s="1301"/>
      <c r="J74" s="1301"/>
    </row>
    <row r="75" spans="2:13" s="638" customFormat="1" ht="12" customHeight="1" x14ac:dyDescent="0.2">
      <c r="B75" s="638" t="s">
        <v>1213</v>
      </c>
      <c r="I75" s="1301"/>
      <c r="J75" s="1301"/>
    </row>
    <row r="76" spans="2:13" s="638" customFormat="1" ht="12" customHeight="1" x14ac:dyDescent="0.2">
      <c r="B76" s="637" t="s">
        <v>1214</v>
      </c>
      <c r="I76" s="2577"/>
      <c r="J76" s="2577"/>
    </row>
    <row r="77" spans="2:13" s="638" customFormat="1" ht="12" customHeight="1" x14ac:dyDescent="0.2">
      <c r="B77" s="637" t="s">
        <v>1202</v>
      </c>
      <c r="I77" s="2578"/>
      <c r="J77" s="2578"/>
    </row>
    <row r="78" spans="2:13" s="638" customFormat="1" ht="12" customHeight="1" x14ac:dyDescent="0.2"/>
    <row r="79" spans="2:13" ht="12" customHeight="1" x14ac:dyDescent="0.2">
      <c r="B79" s="827" t="s">
        <v>741</v>
      </c>
      <c r="C79" s="637"/>
      <c r="D79" s="638"/>
      <c r="E79" s="638"/>
      <c r="F79" s="638"/>
      <c r="G79" s="638"/>
      <c r="H79" s="638"/>
      <c r="I79" s="638"/>
      <c r="J79" s="638"/>
      <c r="K79" s="638"/>
    </row>
    <row r="80" spans="2:13" ht="12" customHeight="1" x14ac:dyDescent="0.2">
      <c r="B80" s="723" t="s">
        <v>1215</v>
      </c>
      <c r="C80" s="160"/>
      <c r="D80" s="160"/>
      <c r="E80" s="160"/>
      <c r="F80" s="160"/>
      <c r="G80" s="160"/>
      <c r="H80" s="160"/>
      <c r="I80" s="160"/>
      <c r="J80" s="160"/>
      <c r="K80" s="638"/>
      <c r="L80" s="160"/>
      <c r="M80" s="28"/>
    </row>
    <row r="81" spans="2:13" ht="12" customHeight="1" x14ac:dyDescent="0.2">
      <c r="B81" s="723" t="s">
        <v>1216</v>
      </c>
      <c r="C81" s="160"/>
      <c r="D81" s="160"/>
      <c r="E81" s="160"/>
      <c r="F81" s="160"/>
      <c r="G81" s="160"/>
      <c r="H81" s="160"/>
      <c r="I81" s="160"/>
      <c r="J81" s="160"/>
      <c r="K81" s="638"/>
      <c r="L81" s="160"/>
      <c r="M81" s="160"/>
    </row>
    <row r="82" spans="2:13" ht="15.75" customHeight="1" x14ac:dyDescent="0.2">
      <c r="B82" s="637"/>
      <c r="C82" s="637"/>
      <c r="D82" s="638"/>
      <c r="E82" s="638"/>
      <c r="F82" s="638"/>
      <c r="G82" s="638"/>
      <c r="H82" s="638"/>
      <c r="I82" s="638"/>
      <c r="J82" s="638"/>
      <c r="K82" s="638"/>
    </row>
    <row r="83" spans="2:13" ht="12" customHeight="1" x14ac:dyDescent="0.2">
      <c r="B83" s="637"/>
      <c r="C83" s="637"/>
      <c r="D83" s="638"/>
      <c r="E83" s="638"/>
      <c r="F83" s="638"/>
      <c r="G83" s="638"/>
      <c r="H83" s="638"/>
      <c r="I83" s="638"/>
      <c r="J83" s="638"/>
      <c r="K83" s="638"/>
    </row>
    <row r="84" spans="2:13" ht="12" customHeight="1" x14ac:dyDescent="0.2">
      <c r="B84" s="637"/>
      <c r="C84" s="637"/>
      <c r="D84" s="638"/>
      <c r="E84" s="638"/>
      <c r="F84" s="638"/>
      <c r="G84" s="638"/>
      <c r="H84" s="638"/>
      <c r="I84" s="638"/>
      <c r="J84" s="638"/>
      <c r="K84" s="638"/>
    </row>
    <row r="85" spans="2:13" ht="12" customHeight="1" x14ac:dyDescent="0.2">
      <c r="B85" s="637"/>
      <c r="C85" s="637"/>
      <c r="D85" s="638"/>
      <c r="E85" s="638"/>
      <c r="F85" s="638"/>
      <c r="G85" s="638"/>
      <c r="H85" s="638"/>
      <c r="I85" s="638"/>
      <c r="J85" s="638"/>
      <c r="K85" s="638"/>
    </row>
    <row r="86" spans="2:13" ht="12" customHeight="1" x14ac:dyDescent="0.2">
      <c r="B86" s="637"/>
      <c r="C86" s="637"/>
      <c r="D86" s="638"/>
      <c r="E86" s="638"/>
      <c r="F86" s="638"/>
      <c r="G86" s="638"/>
      <c r="H86" s="638"/>
      <c r="I86" s="638"/>
      <c r="J86" s="638"/>
      <c r="K86" s="638"/>
    </row>
    <row r="87" spans="2:13" ht="5.0999999999999996" customHeight="1" x14ac:dyDescent="0.2">
      <c r="B87" s="637"/>
      <c r="C87" s="637"/>
      <c r="D87" s="638"/>
      <c r="E87" s="638"/>
      <c r="F87" s="638"/>
      <c r="G87" s="638"/>
      <c r="H87" s="638"/>
      <c r="I87" s="638"/>
      <c r="J87" s="638"/>
      <c r="K87" s="638"/>
    </row>
    <row r="88" spans="2:13" ht="12" customHeight="1" x14ac:dyDescent="0.2">
      <c r="B88" s="637"/>
      <c r="C88" s="637"/>
      <c r="D88" s="638"/>
      <c r="E88" s="638"/>
      <c r="F88" s="638"/>
      <c r="G88" s="638"/>
      <c r="H88" s="638"/>
      <c r="I88" s="638"/>
      <c r="J88" s="638"/>
      <c r="K88" s="638"/>
    </row>
    <row r="89" spans="2:13" ht="12" customHeight="1" x14ac:dyDescent="0.2">
      <c r="B89" s="637"/>
      <c r="C89" s="637"/>
      <c r="D89" s="638"/>
      <c r="E89" s="638"/>
      <c r="F89" s="638"/>
      <c r="G89" s="638"/>
      <c r="H89" s="638"/>
      <c r="I89" s="638"/>
      <c r="J89" s="638"/>
      <c r="K89" s="638"/>
    </row>
    <row r="90" spans="2:13" ht="12" customHeight="1" x14ac:dyDescent="0.2">
      <c r="B90" s="637"/>
      <c r="C90" s="637"/>
      <c r="D90" s="638"/>
      <c r="E90" s="638"/>
      <c r="F90" s="638"/>
      <c r="G90" s="638"/>
      <c r="H90" s="638"/>
      <c r="I90" s="638"/>
      <c r="J90" s="638"/>
      <c r="K90" s="638"/>
    </row>
    <row r="91" spans="2:13" ht="12" customHeight="1" x14ac:dyDescent="0.2">
      <c r="B91" s="637"/>
      <c r="C91" s="637"/>
      <c r="D91" s="638"/>
      <c r="E91" s="638"/>
      <c r="F91" s="638"/>
      <c r="G91" s="638"/>
      <c r="H91" s="638"/>
      <c r="I91" s="638"/>
      <c r="J91" s="638"/>
      <c r="K91" s="638"/>
    </row>
    <row r="92" spans="2:13" ht="12" customHeight="1" x14ac:dyDescent="0.2">
      <c r="B92" s="716"/>
      <c r="C92" s="716"/>
      <c r="D92" s="537"/>
      <c r="E92" s="537"/>
      <c r="F92" s="537"/>
      <c r="G92" s="537"/>
      <c r="H92" s="537"/>
      <c r="I92" s="537"/>
      <c r="J92" s="537"/>
      <c r="K92" s="537"/>
    </row>
    <row r="93" spans="2:13" ht="12" customHeight="1" x14ac:dyDescent="0.2">
      <c r="B93" s="716"/>
      <c r="C93" s="716"/>
      <c r="D93" s="537"/>
      <c r="E93" s="537"/>
      <c r="F93" s="537"/>
      <c r="G93" s="537"/>
      <c r="H93" s="537"/>
      <c r="I93" s="537"/>
      <c r="J93" s="537"/>
      <c r="K93" s="537"/>
    </row>
    <row r="94" spans="2:13" ht="5.0999999999999996" customHeight="1" x14ac:dyDescent="0.2">
      <c r="B94" s="716"/>
      <c r="C94" s="716"/>
      <c r="D94" s="537"/>
      <c r="E94" s="537"/>
      <c r="F94" s="537"/>
      <c r="G94" s="537"/>
      <c r="H94" s="537"/>
      <c r="I94" s="537"/>
      <c r="J94" s="537"/>
      <c r="K94" s="537"/>
    </row>
    <row r="98" spans="1:13" ht="14.1" customHeight="1" x14ac:dyDescent="0.2">
      <c r="B98" s="716"/>
      <c r="C98" s="160"/>
      <c r="D98" s="160"/>
      <c r="E98" s="160"/>
      <c r="F98" s="160"/>
      <c r="G98" s="160"/>
      <c r="H98" s="160"/>
      <c r="I98" s="160"/>
      <c r="J98" s="160"/>
      <c r="K98" s="160"/>
      <c r="L98" s="160"/>
      <c r="M98" s="160"/>
    </row>
    <row r="99" spans="1:13" ht="5.0999999999999996" customHeight="1" x14ac:dyDescent="0.2">
      <c r="B99" s="716"/>
      <c r="C99" s="716"/>
      <c r="D99" s="537"/>
      <c r="E99" s="537"/>
      <c r="F99" s="537"/>
      <c r="G99" s="537"/>
      <c r="H99" s="537"/>
      <c r="I99" s="537"/>
      <c r="J99" s="537"/>
      <c r="K99" s="537"/>
    </row>
    <row r="100" spans="1:13" ht="12" customHeight="1" x14ac:dyDescent="0.2">
      <c r="B100" s="716"/>
      <c r="C100" s="716"/>
      <c r="D100" s="537"/>
      <c r="E100" s="537"/>
      <c r="F100" s="537"/>
      <c r="G100" s="537"/>
      <c r="H100" s="537"/>
      <c r="I100" s="537"/>
      <c r="J100" s="537"/>
      <c r="K100" s="537"/>
    </row>
    <row r="101" spans="1:13" x14ac:dyDescent="0.2">
      <c r="B101" s="716"/>
      <c r="C101" s="716"/>
      <c r="D101" s="537"/>
      <c r="E101" s="537"/>
      <c r="F101" s="537"/>
      <c r="G101" s="537"/>
      <c r="H101" s="537"/>
      <c r="I101" s="537"/>
      <c r="J101" s="537"/>
      <c r="K101" s="537"/>
    </row>
    <row r="102" spans="1:13" x14ac:dyDescent="0.2">
      <c r="B102" s="716"/>
      <c r="C102" s="716"/>
      <c r="D102" s="537"/>
      <c r="E102" s="537"/>
      <c r="F102" s="537"/>
      <c r="G102" s="537"/>
      <c r="H102" s="537"/>
      <c r="I102" s="537"/>
      <c r="J102" s="537"/>
      <c r="K102" s="537"/>
    </row>
    <row r="103" spans="1:13" ht="16.5" customHeight="1" x14ac:dyDescent="0.2">
      <c r="B103" s="716"/>
      <c r="C103" s="716"/>
      <c r="D103" s="537"/>
      <c r="E103" s="537"/>
      <c r="F103" s="537"/>
      <c r="G103" s="537"/>
      <c r="H103" s="537"/>
      <c r="I103" s="537"/>
      <c r="J103" s="537"/>
      <c r="K103" s="537"/>
    </row>
    <row r="104" spans="1:13" ht="5.0999999999999996" customHeight="1" x14ac:dyDescent="0.2">
      <c r="B104" s="716"/>
      <c r="C104" s="716"/>
      <c r="D104" s="537"/>
      <c r="E104" s="537"/>
      <c r="F104" s="537"/>
      <c r="G104" s="537"/>
      <c r="H104" s="537"/>
      <c r="I104" s="537"/>
      <c r="J104" s="537"/>
      <c r="K104" s="537"/>
    </row>
    <row r="105" spans="1:13" x14ac:dyDescent="0.2">
      <c r="B105" s="716"/>
      <c r="C105" s="716"/>
      <c r="D105" s="537"/>
      <c r="E105" s="537"/>
      <c r="F105" s="537"/>
      <c r="G105" s="537"/>
      <c r="H105" s="537"/>
      <c r="I105" s="537"/>
      <c r="J105" s="537"/>
      <c r="K105" s="537"/>
    </row>
    <row r="106" spans="1:13" x14ac:dyDescent="0.2">
      <c r="B106" s="716"/>
      <c r="C106" s="716"/>
      <c r="D106" s="537"/>
      <c r="E106" s="537"/>
      <c r="F106" s="537"/>
      <c r="G106" s="537"/>
      <c r="H106" s="537"/>
      <c r="I106" s="537"/>
      <c r="J106" s="537"/>
      <c r="K106" s="537"/>
    </row>
    <row r="107" spans="1:13" x14ac:dyDescent="0.2">
      <c r="B107" s="716"/>
      <c r="C107" s="716"/>
      <c r="D107" s="537"/>
      <c r="E107" s="537"/>
      <c r="F107" s="537"/>
      <c r="G107" s="537"/>
      <c r="H107" s="537"/>
      <c r="I107" s="537"/>
      <c r="J107" s="537"/>
      <c r="K107" s="537"/>
    </row>
    <row r="108" spans="1:13" ht="16.5" customHeight="1" x14ac:dyDescent="0.2">
      <c r="B108" s="716"/>
      <c r="C108" s="716"/>
      <c r="D108" s="537"/>
      <c r="E108" s="537"/>
      <c r="F108" s="537"/>
      <c r="G108" s="537"/>
      <c r="H108" s="537"/>
      <c r="I108" s="537"/>
      <c r="J108" s="537"/>
      <c r="K108" s="537"/>
    </row>
    <row r="109" spans="1:13" ht="11.1" customHeight="1" x14ac:dyDescent="0.2">
      <c r="B109" s="716"/>
      <c r="C109" s="716"/>
      <c r="D109" s="537"/>
      <c r="E109" s="537"/>
      <c r="F109" s="537"/>
      <c r="G109" s="537"/>
      <c r="H109" s="537"/>
      <c r="I109" s="537"/>
      <c r="J109" s="537"/>
      <c r="K109" s="537"/>
    </row>
    <row r="110" spans="1:13" x14ac:dyDescent="0.2">
      <c r="A110" s="48" t="str">
        <f>AgyIdx</f>
        <v>01</v>
      </c>
      <c r="B110" s="716"/>
      <c r="C110" s="716"/>
      <c r="D110" s="537"/>
      <c r="E110" s="537"/>
      <c r="F110" s="537"/>
      <c r="G110" s="537"/>
      <c r="H110" s="537"/>
      <c r="I110" s="537"/>
      <c r="J110" s="537"/>
      <c r="K110" s="537"/>
    </row>
    <row r="111" spans="1:13" ht="15" x14ac:dyDescent="0.2">
      <c r="A111" s="445" t="str">
        <f ca="1">MID(CELL("filename",A1),FIND("]",CELL("filename",A1))+1,256)</f>
        <v>323</v>
      </c>
      <c r="B111" s="716" t="str">
        <f t="shared" ref="B111:B120" ca="1" si="1">IF(ISNA(INDEX(ErrorTable,MATCH($A$111&amp;$A112&amp;FALSE,ErrorKey,0),6)),"",INDEX(ErrorTable,MATCH($A$111&amp;$A112&amp;FALSE,ErrorKey,0),6))</f>
        <v/>
      </c>
      <c r="C111" s="716"/>
      <c r="D111" s="537"/>
      <c r="E111" s="537"/>
      <c r="F111" s="537"/>
      <c r="G111" s="537"/>
      <c r="H111" s="537"/>
      <c r="I111" s="537"/>
      <c r="J111" s="537"/>
      <c r="K111" s="537"/>
    </row>
    <row r="112" spans="1:13" ht="15" x14ac:dyDescent="0.2">
      <c r="A112" s="445" t="s">
        <v>380</v>
      </c>
      <c r="B112" s="716" t="str">
        <f t="shared" ca="1" si="1"/>
        <v/>
      </c>
      <c r="C112" s="716"/>
      <c r="D112" s="537"/>
      <c r="E112" s="537"/>
      <c r="F112" s="537"/>
      <c r="G112" s="537"/>
      <c r="H112" s="537"/>
      <c r="I112" s="537"/>
      <c r="J112" s="537"/>
      <c r="K112" s="537"/>
    </row>
    <row r="113" spans="1:11" ht="15" x14ac:dyDescent="0.2">
      <c r="A113" s="445" t="s">
        <v>381</v>
      </c>
      <c r="B113" s="716" t="str">
        <f t="shared" ca="1" si="1"/>
        <v/>
      </c>
      <c r="C113" s="716"/>
      <c r="D113" s="537"/>
      <c r="E113" s="537"/>
      <c r="F113" s="537"/>
      <c r="G113" s="537"/>
      <c r="H113" s="537"/>
      <c r="I113" s="537"/>
      <c r="J113" s="537"/>
      <c r="K113" s="537"/>
    </row>
    <row r="114" spans="1:11" ht="15" x14ac:dyDescent="0.2">
      <c r="A114" s="445" t="s">
        <v>382</v>
      </c>
      <c r="B114" s="445" t="str">
        <f t="shared" ca="1" si="1"/>
        <v/>
      </c>
      <c r="C114" s="716"/>
      <c r="D114" s="537"/>
      <c r="E114" s="537"/>
      <c r="F114" s="537"/>
      <c r="G114" s="537"/>
      <c r="H114" s="537"/>
      <c r="I114" s="537"/>
      <c r="J114" s="537"/>
      <c r="K114" s="537"/>
    </row>
    <row r="115" spans="1:11" ht="15" x14ac:dyDescent="0.2">
      <c r="A115" s="445" t="s">
        <v>383</v>
      </c>
      <c r="B115" s="445" t="str">
        <f t="shared" ca="1" si="1"/>
        <v/>
      </c>
      <c r="C115" s="445"/>
    </row>
    <row r="116" spans="1:11" ht="15" x14ac:dyDescent="0.2">
      <c r="A116" s="445" t="s">
        <v>384</v>
      </c>
      <c r="B116" s="445" t="str">
        <f t="shared" ca="1" si="1"/>
        <v/>
      </c>
      <c r="C116" s="445"/>
    </row>
    <row r="117" spans="1:11" ht="15" x14ac:dyDescent="0.2">
      <c r="A117" s="445" t="s">
        <v>385</v>
      </c>
      <c r="B117" s="445" t="str">
        <f t="shared" ca="1" si="1"/>
        <v/>
      </c>
      <c r="C117" s="445"/>
    </row>
    <row r="118" spans="1:11" ht="15" x14ac:dyDescent="0.2">
      <c r="A118" s="445" t="s">
        <v>386</v>
      </c>
      <c r="B118" s="445" t="str">
        <f t="shared" ca="1" si="1"/>
        <v/>
      </c>
      <c r="C118" s="445"/>
    </row>
    <row r="119" spans="1:11" ht="15" x14ac:dyDescent="0.2">
      <c r="A119" s="445" t="s">
        <v>387</v>
      </c>
      <c r="B119" s="445" t="str">
        <f t="shared" ca="1" si="1"/>
        <v/>
      </c>
      <c r="C119" s="445"/>
    </row>
    <row r="120" spans="1:11" ht="15" x14ac:dyDescent="0.2">
      <c r="A120" s="445" t="s">
        <v>388</v>
      </c>
      <c r="B120" s="445" t="str">
        <f t="shared" ca="1" si="1"/>
        <v/>
      </c>
      <c r="C120" s="445"/>
    </row>
    <row r="121" spans="1:11" ht="15" x14ac:dyDescent="0.2">
      <c r="A121" s="445" t="s">
        <v>389</v>
      </c>
      <c r="C121" s="445"/>
    </row>
  </sheetData>
  <sheetProtection algorithmName="SHA-512" hashValue="0bSVivEBz75W+I8qzfb36lUmtke9Fzqp3RmmFoXVNtGIpem3O04jX4GuFlSakkhioymtVbBv6rRsgll2LEMLEQ==" saltValue="eVS9l5f8ub0QWB9hBf+u7A==" spinCount="100000" sheet="1" objects="1" scenarios="1" autoFilter="0"/>
  <mergeCells count="16">
    <mergeCell ref="B13:G13"/>
    <mergeCell ref="B1:K1"/>
    <mergeCell ref="I5:K5"/>
    <mergeCell ref="L1:L3"/>
    <mergeCell ref="B2:K2"/>
    <mergeCell ref="B3:K3"/>
    <mergeCell ref="B7:D7"/>
    <mergeCell ref="I76:J76"/>
    <mergeCell ref="I77:J77"/>
    <mergeCell ref="I6:K6"/>
    <mergeCell ref="I7:K7"/>
    <mergeCell ref="I8:K8"/>
    <mergeCell ref="I50:J50"/>
    <mergeCell ref="I56:J56"/>
    <mergeCell ref="I59:J59"/>
    <mergeCell ref="I60:J60"/>
  </mergeCells>
  <conditionalFormatting sqref="L1:L3">
    <cfRule type="cellIs" dxfId="126" priority="1" stopIfTrue="1" operator="equal">
      <formula>"na"</formula>
    </cfRule>
  </conditionalFormatting>
  <hyperlinks>
    <hyperlink ref="B1:K1" location="Index!A1" display="Index!A1" xr:uid="{11A3A842-DD3A-4C6F-9789-C2655813C48C}"/>
    <hyperlink ref="B13" r:id="rId1" display="Financial Reporting Update for GASB 83" xr:uid="{E1507681-22C2-4727-AF40-105569943C09}"/>
  </hyperlinks>
  <pageMargins left="0.6" right="0.6" top="0.5" bottom="0.5" header="0.3" footer="0.3"/>
  <pageSetup scale="76" fitToWidth="0" orientation="portrait" r:id="rId2"/>
  <rowBreaks count="1" manualBreakCount="1">
    <brk id="61" max="16383" man="1"/>
  </rowBreaks>
  <colBreaks count="1" manualBreakCount="1">
    <brk id="1" max="6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AA84"/>
  <sheetViews>
    <sheetView showGridLines="0" topLeftCell="C1" zoomScaleNormal="100" zoomScaleSheetLayoutView="130" workbookViewId="0">
      <selection activeCell="M21" sqref="M21"/>
    </sheetView>
  </sheetViews>
  <sheetFormatPr defaultColWidth="9.42578125" defaultRowHeight="12.75" x14ac:dyDescent="0.2"/>
  <cols>
    <col min="1" max="1" width="9.5703125" style="297" hidden="1" customWidth="1"/>
    <col min="2" max="2" width="4" style="297" hidden="1" customWidth="1"/>
    <col min="3" max="3" width="7.5703125" style="297" customWidth="1"/>
    <col min="4" max="4" width="1.42578125" style="297" customWidth="1"/>
    <col min="5" max="5" width="29.28515625" style="297" customWidth="1"/>
    <col min="6" max="6" width="1.42578125" style="297" customWidth="1"/>
    <col min="7" max="7" width="18.7109375" style="297" customWidth="1"/>
    <col min="8" max="8" width="1.42578125" style="297" customWidth="1"/>
    <col min="9" max="9" width="18.7109375" style="297" customWidth="1"/>
    <col min="10" max="10" width="1.42578125" style="297" customWidth="1"/>
    <col min="11" max="11" width="18.7109375" style="297" customWidth="1"/>
    <col min="12" max="12" width="1.42578125" style="297" customWidth="1"/>
    <col min="13" max="13" width="18.7109375" style="297" customWidth="1"/>
    <col min="14" max="14" width="1.42578125" style="297" customWidth="1"/>
    <col min="15" max="15" width="18.7109375" style="297" customWidth="1"/>
    <col min="16" max="16" width="4.42578125" style="297" customWidth="1"/>
    <col min="17" max="19" width="9.42578125" style="297"/>
    <col min="20" max="20" width="9.42578125" style="1487"/>
    <col min="21" max="16384" width="9.42578125" style="297"/>
  </cols>
  <sheetData>
    <row r="1" spans="1:27" s="290" customFormat="1" ht="15" customHeight="1" x14ac:dyDescent="0.3">
      <c r="A1" s="290" t="str">
        <f t="shared" ref="A1:A36" si="0">_AGY325</f>
        <v>01</v>
      </c>
      <c r="C1" s="2455" t="str">
        <f>+Index!$A$1</f>
        <v xml:space="preserve">                                                               Office of the State Controller                                                                </v>
      </c>
      <c r="D1" s="2455"/>
      <c r="E1" s="2455"/>
      <c r="F1" s="2455"/>
      <c r="G1" s="2455"/>
      <c r="H1" s="2455"/>
      <c r="I1" s="2455"/>
      <c r="J1" s="2455"/>
      <c r="K1" s="2455"/>
      <c r="L1" s="2455"/>
      <c r="M1" s="2455"/>
      <c r="N1" s="2455"/>
      <c r="O1" s="2455"/>
      <c r="P1" s="2445" t="str">
        <f>IF(Index!$B$38="na","NA","")</f>
        <v/>
      </c>
      <c r="Q1"/>
      <c r="T1" s="1485"/>
      <c r="AA1" s="291"/>
    </row>
    <row r="2" spans="1:27" s="290" customFormat="1" ht="15" customHeight="1" x14ac:dyDescent="0.3">
      <c r="A2" s="290" t="str">
        <f t="shared" si="0"/>
        <v>01</v>
      </c>
      <c r="C2" s="2439" t="str">
        <f>+Index!$A$2</f>
        <v>2023 ACFR Worksheets</v>
      </c>
      <c r="D2" s="2439"/>
      <c r="E2" s="2439"/>
      <c r="F2" s="2439"/>
      <c r="G2" s="2439"/>
      <c r="H2" s="2439"/>
      <c r="I2" s="2439"/>
      <c r="J2" s="2439"/>
      <c r="K2" s="2439"/>
      <c r="L2" s="2439"/>
      <c r="M2" s="2439"/>
      <c r="N2" s="2439"/>
      <c r="O2" s="2439"/>
      <c r="P2" s="2445"/>
      <c r="Q2"/>
      <c r="T2" s="1485"/>
    </row>
    <row r="3" spans="1:27" s="290" customFormat="1" ht="15" customHeight="1" x14ac:dyDescent="0.3">
      <c r="A3" s="290" t="str">
        <f t="shared" si="0"/>
        <v>01</v>
      </c>
      <c r="C3" s="2439" t="s">
        <v>1217</v>
      </c>
      <c r="D3" s="2439"/>
      <c r="E3" s="2439"/>
      <c r="F3" s="2439"/>
      <c r="G3" s="2439"/>
      <c r="H3" s="2439"/>
      <c r="I3" s="2439"/>
      <c r="J3" s="2439"/>
      <c r="K3" s="2439"/>
      <c r="L3" s="2439"/>
      <c r="M3" s="2439"/>
      <c r="N3" s="2439"/>
      <c r="O3" s="2439"/>
      <c r="P3" s="2445"/>
      <c r="Q3"/>
      <c r="T3" s="1485"/>
    </row>
    <row r="4" spans="1:27" s="292" customFormat="1" ht="6" customHeight="1" x14ac:dyDescent="0.3">
      <c r="A4" s="290" t="str">
        <f t="shared" si="0"/>
        <v>01</v>
      </c>
      <c r="B4" s="831"/>
      <c r="C4" s="293"/>
      <c r="D4" s="831"/>
      <c r="E4" s="831"/>
      <c r="F4" s="831"/>
      <c r="G4" s="831"/>
      <c r="H4" s="831"/>
      <c r="I4" s="831"/>
      <c r="J4" s="831"/>
      <c r="K4" s="257"/>
      <c r="L4" s="831"/>
      <c r="M4" s="831"/>
      <c r="N4" s="831"/>
      <c r="O4" s="831"/>
      <c r="P4" s="831"/>
      <c r="Q4" s="831"/>
      <c r="R4" s="831"/>
      <c r="S4" s="831"/>
      <c r="T4" s="1486"/>
      <c r="U4" s="831"/>
      <c r="V4" s="831"/>
      <c r="W4" s="831"/>
      <c r="X4" s="831"/>
      <c r="Y4" s="831"/>
      <c r="Z4" s="831"/>
      <c r="AA4" s="831"/>
    </row>
    <row r="5" spans="1:27" s="292" customFormat="1" ht="15" customHeight="1" x14ac:dyDescent="0.3">
      <c r="A5" s="290" t="str">
        <f t="shared" si="0"/>
        <v>01</v>
      </c>
      <c r="B5" s="831"/>
      <c r="C5" s="831"/>
      <c r="D5" s="831"/>
      <c r="E5" s="831"/>
      <c r="F5" s="831"/>
      <c r="G5" s="831"/>
      <c r="H5" s="293"/>
      <c r="I5" s="831"/>
      <c r="J5" s="1786" t="s">
        <v>317</v>
      </c>
      <c r="K5" s="2567" t="str">
        <f>+Index!$E$10</f>
        <v>01</v>
      </c>
      <c r="L5" s="2567"/>
      <c r="M5" s="2567"/>
      <c r="N5" s="2567"/>
      <c r="O5" s="2567"/>
      <c r="P5" s="831"/>
      <c r="Q5" s="831"/>
      <c r="R5" s="831"/>
      <c r="S5" s="831"/>
      <c r="T5" s="1486"/>
      <c r="U5" s="831"/>
      <c r="V5" s="831"/>
      <c r="W5" s="831"/>
      <c r="X5" s="831"/>
      <c r="Y5" s="831"/>
      <c r="Z5" s="831"/>
      <c r="AA5" s="831"/>
    </row>
    <row r="6" spans="1:27" s="292" customFormat="1" ht="15" customHeight="1" x14ac:dyDescent="0.3">
      <c r="A6" s="290" t="str">
        <f t="shared" si="0"/>
        <v>01</v>
      </c>
      <c r="B6" s="831"/>
      <c r="C6" s="831"/>
      <c r="D6" s="831"/>
      <c r="E6" s="831"/>
      <c r="F6" s="831"/>
      <c r="G6" s="831"/>
      <c r="H6" s="831"/>
      <c r="I6" s="831"/>
      <c r="J6" s="1786" t="s">
        <v>318</v>
      </c>
      <c r="K6" s="2567" t="str">
        <f>+Index!$E$11</f>
        <v>North Carolina General Assembly</v>
      </c>
      <c r="L6" s="2567"/>
      <c r="M6" s="2567"/>
      <c r="N6" s="2567"/>
      <c r="O6" s="2567"/>
      <c r="P6" s="831"/>
      <c r="Q6" s="831"/>
      <c r="R6" s="831"/>
      <c r="S6" s="831"/>
      <c r="T6" s="1486"/>
      <c r="U6" s="831"/>
      <c r="V6" s="831"/>
      <c r="W6" s="831"/>
      <c r="X6" s="831"/>
      <c r="Y6" s="831"/>
      <c r="Z6" s="831"/>
      <c r="AA6" s="831"/>
    </row>
    <row r="7" spans="1:27" s="292" customFormat="1" ht="15" customHeight="1" x14ac:dyDescent="0.3">
      <c r="A7" s="290" t="str">
        <f t="shared" si="0"/>
        <v>01</v>
      </c>
      <c r="B7" s="831"/>
      <c r="C7" s="831" t="s">
        <v>568</v>
      </c>
      <c r="D7" s="831"/>
      <c r="E7" s="831"/>
      <c r="F7" s="1787"/>
      <c r="G7" s="1541"/>
      <c r="H7" s="831"/>
      <c r="I7" s="831"/>
      <c r="J7" s="1786" t="s">
        <v>319</v>
      </c>
      <c r="K7" s="2494" t="str">
        <f>CONCATENATE(Index!$E$12," ",Index!$E$14)</f>
        <v xml:space="preserve"> </v>
      </c>
      <c r="L7" s="2494"/>
      <c r="M7" s="2494"/>
      <c r="N7" s="2494"/>
      <c r="O7" s="2494"/>
      <c r="P7" s="831"/>
      <c r="Q7" s="831"/>
      <c r="R7" s="831"/>
      <c r="S7" s="831"/>
      <c r="T7" s="1486"/>
      <c r="U7" s="831"/>
      <c r="V7" s="831"/>
      <c r="W7" s="831"/>
      <c r="X7" s="831"/>
      <c r="Y7" s="831"/>
      <c r="Z7" s="831"/>
      <c r="AA7" s="831"/>
    </row>
    <row r="8" spans="1:27" s="292" customFormat="1" ht="15" customHeight="1" x14ac:dyDescent="0.3">
      <c r="A8" s="290" t="str">
        <f t="shared" si="0"/>
        <v>01</v>
      </c>
      <c r="B8" s="831"/>
      <c r="C8" s="2259" t="s">
        <v>1218</v>
      </c>
      <c r="D8" s="2259"/>
      <c r="E8" s="2259"/>
      <c r="F8" s="932"/>
      <c r="G8" s="1788"/>
      <c r="H8" s="831"/>
      <c r="I8" s="831"/>
      <c r="J8" s="1786" t="s">
        <v>71</v>
      </c>
      <c r="K8" s="2581">
        <f>+Index!$E$13</f>
        <v>0</v>
      </c>
      <c r="L8" s="2581"/>
      <c r="M8" s="2581"/>
      <c r="N8" s="2581"/>
      <c r="O8" s="2581"/>
      <c r="P8" s="831"/>
      <c r="Q8" s="831"/>
      <c r="R8" s="831"/>
      <c r="S8" s="831"/>
      <c r="T8" s="1486"/>
      <c r="U8" s="831"/>
      <c r="V8" s="831"/>
      <c r="W8" s="831"/>
      <c r="X8" s="831"/>
      <c r="Y8" s="831"/>
      <c r="Z8" s="831"/>
      <c r="AA8" s="831"/>
    </row>
    <row r="9" spans="1:27" s="292" customFormat="1" ht="9.75" customHeight="1" thickBot="1" x14ac:dyDescent="0.35">
      <c r="A9" s="290" t="str">
        <f t="shared" si="0"/>
        <v>01</v>
      </c>
      <c r="B9" s="831"/>
      <c r="C9" s="1789"/>
      <c r="D9" s="1789"/>
      <c r="E9" s="1789"/>
      <c r="F9" s="1789"/>
      <c r="G9" s="1789"/>
      <c r="H9" s="1789"/>
      <c r="I9" s="1789"/>
      <c r="J9" s="1789"/>
      <c r="K9" s="1789"/>
      <c r="L9" s="1789"/>
      <c r="M9" s="1789"/>
      <c r="N9" s="1789"/>
      <c r="O9" s="1789"/>
      <c r="P9" s="831"/>
      <c r="Q9" s="831"/>
      <c r="R9" s="831"/>
      <c r="S9" s="831"/>
      <c r="T9" s="1486"/>
      <c r="U9" s="831"/>
      <c r="V9" s="831"/>
      <c r="W9" s="831"/>
      <c r="X9" s="831"/>
      <c r="Y9" s="831"/>
      <c r="Z9" s="831"/>
      <c r="AA9" s="831"/>
    </row>
    <row r="10" spans="1:27" s="292" customFormat="1" ht="8.25" customHeight="1" thickBot="1" x14ac:dyDescent="0.35">
      <c r="A10" s="290"/>
      <c r="B10" s="831"/>
      <c r="C10" s="831"/>
      <c r="D10" s="831"/>
      <c r="E10" s="831"/>
      <c r="F10" s="831"/>
      <c r="G10" s="831"/>
      <c r="H10" s="831"/>
      <c r="I10" s="831"/>
      <c r="J10" s="831"/>
      <c r="K10" s="831"/>
      <c r="L10" s="831"/>
      <c r="M10" s="831"/>
      <c r="N10" s="831"/>
      <c r="O10" s="831"/>
      <c r="P10" s="831"/>
      <c r="Q10" s="831"/>
      <c r="R10" s="831"/>
      <c r="S10" s="831"/>
      <c r="T10" s="1486"/>
      <c r="U10" s="831"/>
      <c r="V10" s="831"/>
      <c r="W10" s="831"/>
      <c r="X10" s="831"/>
      <c r="Y10" s="831"/>
      <c r="Z10" s="831"/>
      <c r="AA10" s="831"/>
    </row>
    <row r="11" spans="1:27" s="292" customFormat="1" ht="3" hidden="1" customHeight="1" thickBot="1" x14ac:dyDescent="0.35">
      <c r="A11" s="290" t="str">
        <f t="shared" si="0"/>
        <v>01</v>
      </c>
      <c r="B11" s="831"/>
      <c r="C11" s="831"/>
      <c r="D11" s="831"/>
      <c r="E11" s="831"/>
      <c r="F11" s="831"/>
      <c r="G11" s="831" t="s">
        <v>90</v>
      </c>
      <c r="H11" s="831"/>
      <c r="I11" s="831" t="s">
        <v>598</v>
      </c>
      <c r="J11" s="831"/>
      <c r="K11" s="831" t="s">
        <v>594</v>
      </c>
      <c r="L11" s="831"/>
      <c r="M11" s="831" t="s">
        <v>595</v>
      </c>
      <c r="N11" s="831"/>
      <c r="O11" s="831" t="s">
        <v>686</v>
      </c>
      <c r="P11" s="831"/>
      <c r="Q11" s="831"/>
      <c r="R11" s="831"/>
      <c r="S11" s="831"/>
      <c r="T11" s="1486"/>
      <c r="U11" s="831"/>
      <c r="V11" s="831"/>
      <c r="W11" s="831"/>
      <c r="X11" s="831"/>
      <c r="Y11" s="831"/>
      <c r="Z11" s="831"/>
      <c r="AA11" s="831"/>
    </row>
    <row r="12" spans="1:27" s="292" customFormat="1" ht="14.25" customHeight="1" thickBot="1" x14ac:dyDescent="0.35">
      <c r="A12" s="290" t="str">
        <f t="shared" si="0"/>
        <v>01</v>
      </c>
      <c r="B12" s="831"/>
      <c r="C12" s="831"/>
      <c r="D12" s="831"/>
      <c r="E12" s="461" t="s">
        <v>1219</v>
      </c>
      <c r="F12" s="831"/>
      <c r="G12" s="892" t="s">
        <v>1220</v>
      </c>
      <c r="H12" s="830"/>
      <c r="I12" s="773"/>
      <c r="J12" s="830"/>
      <c r="K12" s="773"/>
      <c r="L12" s="830"/>
      <c r="M12" s="773"/>
      <c r="N12" s="830"/>
      <c r="O12" s="773"/>
      <c r="P12" s="830"/>
      <c r="Q12" s="831"/>
      <c r="R12" s="831"/>
      <c r="S12" s="831"/>
      <c r="T12" s="1486"/>
      <c r="U12" s="831"/>
      <c r="V12" s="831"/>
      <c r="W12" s="831"/>
      <c r="X12" s="831"/>
      <c r="Y12" s="831"/>
      <c r="Z12" s="831"/>
      <c r="AA12" s="831"/>
    </row>
    <row r="13" spans="1:27" s="292" customFormat="1" ht="8.25" customHeight="1" thickBot="1" x14ac:dyDescent="0.35">
      <c r="A13" s="290" t="str">
        <f t="shared" si="0"/>
        <v>01</v>
      </c>
      <c r="B13" s="831"/>
      <c r="C13" s="1789"/>
      <c r="D13" s="1789"/>
      <c r="E13" s="1789"/>
      <c r="F13" s="1789"/>
      <c r="G13" s="1789"/>
      <c r="H13" s="1789"/>
      <c r="I13" s="1789"/>
      <c r="J13" s="1789"/>
      <c r="K13" s="1789"/>
      <c r="L13" s="1789"/>
      <c r="M13" s="1789"/>
      <c r="N13" s="1789"/>
      <c r="O13" s="1789"/>
      <c r="P13" s="831"/>
      <c r="Q13" s="831"/>
      <c r="R13" s="831"/>
      <c r="S13" s="831"/>
      <c r="T13" s="1486"/>
      <c r="U13" s="831"/>
      <c r="V13" s="831"/>
      <c r="W13" s="831"/>
      <c r="X13" s="831"/>
      <c r="Y13" s="831"/>
      <c r="Z13" s="831"/>
      <c r="AA13" s="831"/>
    </row>
    <row r="14" spans="1:27" s="292" customFormat="1" ht="9.75" customHeight="1" x14ac:dyDescent="0.3">
      <c r="A14" s="290" t="str">
        <f t="shared" si="0"/>
        <v>01</v>
      </c>
      <c r="B14" s="831"/>
      <c r="C14" s="831"/>
      <c r="D14" s="831"/>
      <c r="E14" s="831"/>
      <c r="F14" s="831"/>
      <c r="G14" s="831"/>
      <c r="H14" s="831"/>
      <c r="I14" s="831"/>
      <c r="J14" s="831"/>
      <c r="K14" s="831"/>
      <c r="L14" s="831"/>
      <c r="M14" s="831"/>
      <c r="N14" s="831"/>
      <c r="O14" s="831"/>
      <c r="P14" s="831"/>
      <c r="Q14" s="831"/>
      <c r="R14" s="831"/>
      <c r="S14" s="831"/>
      <c r="T14" s="1486"/>
      <c r="U14" s="831"/>
      <c r="V14" s="831"/>
      <c r="W14" s="831"/>
      <c r="X14" s="831"/>
      <c r="Y14" s="831"/>
      <c r="Z14" s="831"/>
      <c r="AA14" s="831"/>
    </row>
    <row r="15" spans="1:27" s="292" customFormat="1" ht="18.75" x14ac:dyDescent="0.3">
      <c r="A15" s="290"/>
      <c r="B15" s="831"/>
      <c r="C15" s="831"/>
      <c r="D15" s="831"/>
      <c r="E15" s="831"/>
      <c r="F15" s="831"/>
      <c r="G15" s="1465" t="s">
        <v>894</v>
      </c>
      <c r="H15" s="1465"/>
      <c r="I15" s="1465" t="s">
        <v>896</v>
      </c>
      <c r="J15" s="1465"/>
      <c r="K15" s="1465" t="s">
        <v>897</v>
      </c>
      <c r="L15" s="1465"/>
      <c r="M15" s="1465" t="s">
        <v>898</v>
      </c>
      <c r="N15" s="1465"/>
      <c r="O15" s="1465" t="s">
        <v>899</v>
      </c>
      <c r="P15" s="831"/>
      <c r="Q15" s="831"/>
      <c r="R15" s="831"/>
      <c r="S15" s="831"/>
      <c r="T15" s="1486"/>
      <c r="U15" s="831"/>
      <c r="V15" s="831"/>
      <c r="W15" s="831"/>
      <c r="X15" s="831"/>
      <c r="Y15" s="831"/>
      <c r="Z15" s="831"/>
      <c r="AA15" s="831"/>
    </row>
    <row r="16" spans="1:27" s="292" customFormat="1" ht="15" customHeight="1" x14ac:dyDescent="0.3">
      <c r="A16" s="290" t="str">
        <f t="shared" si="0"/>
        <v>01</v>
      </c>
      <c r="B16" s="831"/>
      <c r="C16" s="294" t="s">
        <v>592</v>
      </c>
      <c r="D16" s="831"/>
      <c r="E16" s="294"/>
      <c r="F16" s="294"/>
      <c r="G16" s="295">
        <f>YEAR(Data!A2)</f>
        <v>2023</v>
      </c>
      <c r="H16" s="294"/>
      <c r="I16" s="295">
        <f>+G16-1</f>
        <v>2022</v>
      </c>
      <c r="J16" s="294"/>
      <c r="K16" s="295">
        <f>+I16-1</f>
        <v>2021</v>
      </c>
      <c r="L16" s="294"/>
      <c r="M16" s="295">
        <f>+K16-1</f>
        <v>2020</v>
      </c>
      <c r="N16" s="294"/>
      <c r="O16" s="295">
        <f>+M16-1</f>
        <v>2019</v>
      </c>
      <c r="P16" s="831"/>
      <c r="Q16" s="831"/>
      <c r="R16" s="831"/>
      <c r="S16" s="831"/>
      <c r="T16" s="1486"/>
      <c r="U16" s="831"/>
      <c r="V16" s="831"/>
      <c r="W16" s="831"/>
      <c r="X16" s="831"/>
      <c r="Y16" s="831"/>
      <c r="Z16" s="831"/>
      <c r="AA16" s="831"/>
    </row>
    <row r="17" spans="1:20" s="292" customFormat="1" ht="7.5" customHeight="1" x14ac:dyDescent="0.3">
      <c r="A17" s="290" t="str">
        <f t="shared" si="0"/>
        <v>01</v>
      </c>
      <c r="B17" s="831"/>
      <c r="C17" s="294"/>
      <c r="D17" s="831"/>
      <c r="E17" s="294"/>
      <c r="F17" s="294"/>
      <c r="G17" s="294"/>
      <c r="H17" s="294"/>
      <c r="I17" s="294"/>
      <c r="J17" s="294"/>
      <c r="K17" s="294"/>
      <c r="L17" s="294"/>
      <c r="M17" s="294"/>
      <c r="N17" s="294"/>
      <c r="O17" s="294"/>
      <c r="P17" s="831"/>
      <c r="Q17" s="831"/>
      <c r="R17" s="831"/>
      <c r="S17" s="831"/>
      <c r="T17" s="1486"/>
    </row>
    <row r="18" spans="1:20" s="292" customFormat="1" ht="15" customHeight="1" x14ac:dyDescent="0.3">
      <c r="A18" s="290" t="str">
        <f t="shared" si="0"/>
        <v>01</v>
      </c>
      <c r="B18" s="831"/>
      <c r="C18" s="294" t="s">
        <v>593</v>
      </c>
      <c r="D18" s="831"/>
      <c r="E18" s="293" t="s">
        <v>1221</v>
      </c>
      <c r="F18" s="1790"/>
      <c r="G18" s="1790"/>
      <c r="H18" s="1790"/>
      <c r="I18" s="1790"/>
      <c r="J18" s="1790"/>
      <c r="K18" s="1790"/>
      <c r="L18" s="1790"/>
      <c r="M18" s="2087"/>
      <c r="N18" s="1790"/>
      <c r="O18" s="1790"/>
      <c r="P18" s="1790"/>
      <c r="Q18" s="831"/>
      <c r="R18" s="831"/>
      <c r="S18" s="831"/>
      <c r="T18" s="1486"/>
    </row>
    <row r="19" spans="1:20" s="292" customFormat="1" ht="15" customHeight="1" x14ac:dyDescent="0.3">
      <c r="A19" s="290" t="str">
        <f t="shared" si="0"/>
        <v>01</v>
      </c>
      <c r="B19" s="831">
        <v>100</v>
      </c>
      <c r="C19" s="294"/>
      <c r="D19" s="831"/>
      <c r="E19" s="2252" t="s">
        <v>1222</v>
      </c>
      <c r="F19" s="1790"/>
      <c r="G19" s="1399"/>
      <c r="H19" s="2088"/>
      <c r="I19" s="1399"/>
      <c r="J19" s="2088"/>
      <c r="K19" s="1399"/>
      <c r="L19" s="2088"/>
      <c r="M19" s="1399"/>
      <c r="N19" s="2088"/>
      <c r="O19" s="1399"/>
      <c r="P19" s="1790"/>
      <c r="Q19" s="831"/>
      <c r="R19" s="831"/>
      <c r="S19" s="831"/>
      <c r="T19" s="1486" t="s">
        <v>1222</v>
      </c>
    </row>
    <row r="20" spans="1:20" s="292" customFormat="1" ht="15" customHeight="1" x14ac:dyDescent="0.3">
      <c r="A20" s="290" t="str">
        <f t="shared" si="0"/>
        <v>01</v>
      </c>
      <c r="B20" s="831">
        <v>105</v>
      </c>
      <c r="C20" s="294"/>
      <c r="D20" s="831"/>
      <c r="E20" s="1787" t="s">
        <v>1223</v>
      </c>
      <c r="F20" s="1790"/>
      <c r="G20" s="1399"/>
      <c r="H20" s="2088"/>
      <c r="I20" s="1399"/>
      <c r="J20" s="2088"/>
      <c r="K20" s="1399"/>
      <c r="L20" s="2088"/>
      <c r="M20" s="1399"/>
      <c r="N20" s="2088"/>
      <c r="O20" s="1399"/>
      <c r="P20" s="1790"/>
      <c r="Q20" s="831"/>
      <c r="R20" s="831"/>
      <c r="S20" s="831"/>
      <c r="T20" s="1486" t="s">
        <v>1223</v>
      </c>
    </row>
    <row r="21" spans="1:20" s="292" customFormat="1" ht="15" customHeight="1" x14ac:dyDescent="0.3">
      <c r="A21" s="290" t="str">
        <f t="shared" si="0"/>
        <v>01</v>
      </c>
      <c r="B21" s="831">
        <v>110</v>
      </c>
      <c r="C21" s="294"/>
      <c r="D21" s="831"/>
      <c r="E21" s="1787" t="s">
        <v>1224</v>
      </c>
      <c r="F21" s="1790"/>
      <c r="G21" s="1399"/>
      <c r="H21" s="2088"/>
      <c r="I21" s="1399"/>
      <c r="J21" s="2088"/>
      <c r="K21" s="1399"/>
      <c r="L21" s="2088"/>
      <c r="M21" s="1399"/>
      <c r="N21" s="2088"/>
      <c r="O21" s="1399"/>
      <c r="P21" s="1790"/>
      <c r="Q21" s="831"/>
      <c r="R21" s="831"/>
      <c r="S21" s="831"/>
      <c r="T21" s="1486" t="s">
        <v>1224</v>
      </c>
    </row>
    <row r="22" spans="1:20" s="292" customFormat="1" ht="15" customHeight="1" x14ac:dyDescent="0.3">
      <c r="A22" s="290" t="str">
        <f t="shared" si="0"/>
        <v>01</v>
      </c>
      <c r="B22" s="831">
        <v>115</v>
      </c>
      <c r="C22" s="294"/>
      <c r="D22" s="831"/>
      <c r="E22" s="833" t="s">
        <v>1225</v>
      </c>
      <c r="F22" s="1790"/>
      <c r="G22" s="1399"/>
      <c r="H22" s="2088"/>
      <c r="I22" s="1399"/>
      <c r="J22" s="2088"/>
      <c r="K22" s="1399"/>
      <c r="L22" s="2088"/>
      <c r="M22" s="1399"/>
      <c r="N22" s="2088"/>
      <c r="O22" s="1399"/>
      <c r="P22" s="1790"/>
      <c r="Q22" s="831"/>
      <c r="R22" s="831"/>
      <c r="S22" s="831"/>
      <c r="T22" s="1486" t="s">
        <v>1225</v>
      </c>
    </row>
    <row r="23" spans="1:20" s="292" customFormat="1" ht="15" customHeight="1" x14ac:dyDescent="0.3">
      <c r="A23" s="290" t="str">
        <f t="shared" si="0"/>
        <v>01</v>
      </c>
      <c r="B23" s="831">
        <v>120</v>
      </c>
      <c r="C23" s="294"/>
      <c r="D23" s="831"/>
      <c r="E23" s="833" t="s">
        <v>1226</v>
      </c>
      <c r="F23" s="1790"/>
      <c r="G23" s="1399"/>
      <c r="H23" s="2088"/>
      <c r="I23" s="1399"/>
      <c r="J23" s="2088"/>
      <c r="K23" s="1399"/>
      <c r="L23" s="2088"/>
      <c r="M23" s="1399"/>
      <c r="N23" s="2088"/>
      <c r="O23" s="1399"/>
      <c r="P23" s="1790"/>
      <c r="Q23" s="831"/>
      <c r="R23" s="831"/>
      <c r="S23" s="831"/>
      <c r="T23" s="1486" t="s">
        <v>1226</v>
      </c>
    </row>
    <row r="24" spans="1:20" s="292" customFormat="1" ht="15" customHeight="1" x14ac:dyDescent="0.3">
      <c r="A24" s="290" t="str">
        <f t="shared" si="0"/>
        <v>01</v>
      </c>
      <c r="B24" s="831">
        <v>125</v>
      </c>
      <c r="C24" s="294"/>
      <c r="D24" s="831"/>
      <c r="E24" s="833" t="s">
        <v>1227</v>
      </c>
      <c r="F24" s="1790"/>
      <c r="G24" s="1399"/>
      <c r="H24" s="2088"/>
      <c r="I24" s="1399"/>
      <c r="J24" s="2088"/>
      <c r="K24" s="1399"/>
      <c r="L24" s="2088"/>
      <c r="M24" s="1399"/>
      <c r="N24" s="2088"/>
      <c r="O24" s="1399"/>
      <c r="P24" s="1790"/>
      <c r="Q24" s="831"/>
      <c r="R24" s="831"/>
      <c r="S24" s="831"/>
      <c r="T24" s="1486" t="s">
        <v>1227</v>
      </c>
    </row>
    <row r="25" spans="1:20" s="292" customFormat="1" ht="15" customHeight="1" x14ac:dyDescent="0.3">
      <c r="A25" s="290" t="str">
        <f t="shared" si="0"/>
        <v>01</v>
      </c>
      <c r="B25" s="831">
        <v>130</v>
      </c>
      <c r="C25" s="294"/>
      <c r="D25" s="831"/>
      <c r="E25" s="833" t="s">
        <v>1228</v>
      </c>
      <c r="F25" s="1790"/>
      <c r="G25" s="1399"/>
      <c r="H25" s="2088"/>
      <c r="I25" s="1399"/>
      <c r="J25" s="2088"/>
      <c r="K25" s="1399"/>
      <c r="L25" s="2088"/>
      <c r="M25" s="1399"/>
      <c r="N25" s="2088"/>
      <c r="O25" s="1399"/>
      <c r="P25" s="1790"/>
      <c r="Q25" s="831"/>
      <c r="R25" s="831"/>
      <c r="S25" s="831"/>
      <c r="T25" s="1486" t="s">
        <v>1228</v>
      </c>
    </row>
    <row r="26" spans="1:20" s="292" customFormat="1" ht="15" customHeight="1" x14ac:dyDescent="0.3">
      <c r="A26" s="290" t="str">
        <f t="shared" si="0"/>
        <v>01</v>
      </c>
      <c r="B26" s="831">
        <v>135</v>
      </c>
      <c r="C26" s="294"/>
      <c r="D26" s="831"/>
      <c r="E26" s="833" t="s">
        <v>1229</v>
      </c>
      <c r="F26" s="1790"/>
      <c r="G26" s="1399"/>
      <c r="H26" s="2088"/>
      <c r="I26" s="1399"/>
      <c r="J26" s="2088"/>
      <c r="K26" s="1399"/>
      <c r="L26" s="2088"/>
      <c r="M26" s="1399"/>
      <c r="N26" s="2088"/>
      <c r="O26" s="1399"/>
      <c r="P26" s="1790"/>
      <c r="Q26" s="831"/>
      <c r="R26" s="831"/>
      <c r="S26" s="831"/>
      <c r="T26" s="1486" t="s">
        <v>1229</v>
      </c>
    </row>
    <row r="27" spans="1:20" s="292" customFormat="1" ht="15" customHeight="1" x14ac:dyDescent="0.3">
      <c r="A27" s="290" t="str">
        <f t="shared" si="0"/>
        <v>01</v>
      </c>
      <c r="B27" s="831">
        <v>140</v>
      </c>
      <c r="C27" s="294"/>
      <c r="D27" s="831"/>
      <c r="E27" s="833" t="s">
        <v>1230</v>
      </c>
      <c r="F27" s="1790"/>
      <c r="G27" s="1399"/>
      <c r="H27" s="2088"/>
      <c r="I27" s="1399"/>
      <c r="J27" s="2088"/>
      <c r="K27" s="1399"/>
      <c r="L27" s="2088"/>
      <c r="M27" s="1399"/>
      <c r="N27" s="2088"/>
      <c r="O27" s="1399"/>
      <c r="P27" s="1790"/>
      <c r="Q27" s="831"/>
      <c r="R27" s="831"/>
      <c r="S27" s="831"/>
      <c r="T27" s="1486" t="s">
        <v>1230</v>
      </c>
    </row>
    <row r="28" spans="1:20" s="292" customFormat="1" ht="15" customHeight="1" x14ac:dyDescent="0.3">
      <c r="A28" s="290" t="str">
        <f t="shared" si="0"/>
        <v>01</v>
      </c>
      <c r="B28" s="831">
        <v>145</v>
      </c>
      <c r="C28" s="294"/>
      <c r="D28" s="831"/>
      <c r="E28" s="833" t="s">
        <v>1231</v>
      </c>
      <c r="F28" s="1790"/>
      <c r="G28" s="1399"/>
      <c r="H28" s="2088"/>
      <c r="I28" s="1399"/>
      <c r="J28" s="2088"/>
      <c r="K28" s="1399"/>
      <c r="L28" s="2088"/>
      <c r="M28" s="1399"/>
      <c r="N28" s="2088"/>
      <c r="O28" s="1399"/>
      <c r="P28" s="1790"/>
      <c r="Q28" s="831"/>
      <c r="R28" s="831"/>
      <c r="S28" s="831"/>
      <c r="T28" s="1486" t="s">
        <v>1231</v>
      </c>
    </row>
    <row r="29" spans="1:20" s="292" customFormat="1" ht="15" customHeight="1" x14ac:dyDescent="0.3">
      <c r="A29" s="290" t="str">
        <f t="shared" si="0"/>
        <v>01</v>
      </c>
      <c r="B29" s="831">
        <v>150</v>
      </c>
      <c r="C29" s="294"/>
      <c r="D29" s="831"/>
      <c r="E29" s="833" t="s">
        <v>1232</v>
      </c>
      <c r="F29" s="1790"/>
      <c r="G29" s="1399"/>
      <c r="H29" s="2088"/>
      <c r="I29" s="1399"/>
      <c r="J29" s="2088"/>
      <c r="K29" s="1399"/>
      <c r="L29" s="2088"/>
      <c r="M29" s="1399"/>
      <c r="N29" s="2088"/>
      <c r="O29" s="1399"/>
      <c r="P29" s="1790"/>
      <c r="Q29" s="831"/>
      <c r="R29" s="831"/>
      <c r="S29" s="831"/>
      <c r="T29" s="1486" t="s">
        <v>1232</v>
      </c>
    </row>
    <row r="30" spans="1:20" s="292" customFormat="1" ht="15" customHeight="1" x14ac:dyDescent="0.3">
      <c r="A30" s="290" t="str">
        <f t="shared" si="0"/>
        <v>01</v>
      </c>
      <c r="B30" s="831">
        <v>160</v>
      </c>
      <c r="C30" s="294"/>
      <c r="D30" s="831"/>
      <c r="E30" s="833" t="s">
        <v>1233</v>
      </c>
      <c r="F30" s="1790"/>
      <c r="G30" s="1399"/>
      <c r="H30" s="2088"/>
      <c r="I30" s="1399"/>
      <c r="J30" s="2088"/>
      <c r="K30" s="1399"/>
      <c r="L30" s="2088"/>
      <c r="M30" s="1399"/>
      <c r="N30" s="2088"/>
      <c r="O30" s="1399"/>
      <c r="P30" s="1790"/>
      <c r="Q30" s="831"/>
      <c r="R30" s="831"/>
      <c r="S30" s="831"/>
      <c r="T30" s="1486" t="s">
        <v>1233</v>
      </c>
    </row>
    <row r="31" spans="1:20" s="292" customFormat="1" ht="15" customHeight="1" x14ac:dyDescent="0.3">
      <c r="A31" s="290" t="str">
        <f t="shared" si="0"/>
        <v>01</v>
      </c>
      <c r="B31" s="831">
        <v>165</v>
      </c>
      <c r="C31" s="294"/>
      <c r="D31" s="831"/>
      <c r="E31" s="833" t="s">
        <v>1234</v>
      </c>
      <c r="F31" s="1790"/>
      <c r="G31" s="1399"/>
      <c r="H31" s="2088"/>
      <c r="I31" s="1399"/>
      <c r="J31" s="2088"/>
      <c r="K31" s="1399"/>
      <c r="L31" s="2088"/>
      <c r="M31" s="1399"/>
      <c r="N31" s="2088"/>
      <c r="O31" s="1399"/>
      <c r="P31" s="1790"/>
      <c r="Q31" s="831"/>
      <c r="R31" s="831"/>
      <c r="S31" s="831"/>
      <c r="T31" s="1486" t="s">
        <v>1234</v>
      </c>
    </row>
    <row r="32" spans="1:20" s="292" customFormat="1" ht="15" customHeight="1" x14ac:dyDescent="0.3">
      <c r="A32" s="290" t="str">
        <f t="shared" si="0"/>
        <v>01</v>
      </c>
      <c r="B32" s="831">
        <v>170</v>
      </c>
      <c r="C32" s="294"/>
      <c r="D32" s="831"/>
      <c r="E32" s="833" t="s">
        <v>1235</v>
      </c>
      <c r="F32" s="1790"/>
      <c r="G32" s="1399"/>
      <c r="H32" s="2088"/>
      <c r="I32" s="1399"/>
      <c r="J32" s="2088"/>
      <c r="K32" s="1399"/>
      <c r="L32" s="2088"/>
      <c r="M32" s="1399"/>
      <c r="N32" s="2088"/>
      <c r="O32" s="1399"/>
      <c r="P32" s="1790"/>
      <c r="Q32" s="831"/>
      <c r="R32" s="831"/>
      <c r="S32" s="831"/>
      <c r="T32" s="1486" t="s">
        <v>1235</v>
      </c>
    </row>
    <row r="33" spans="1:20" s="292" customFormat="1" ht="15" customHeight="1" x14ac:dyDescent="0.3">
      <c r="A33" s="290" t="str">
        <f t="shared" si="0"/>
        <v>01</v>
      </c>
      <c r="B33" s="831">
        <v>171</v>
      </c>
      <c r="C33" s="294"/>
      <c r="D33" s="831"/>
      <c r="E33" s="831" t="s">
        <v>1236</v>
      </c>
      <c r="F33" s="1790"/>
      <c r="G33" s="1399"/>
      <c r="H33" s="2088"/>
      <c r="I33" s="1399"/>
      <c r="J33" s="2088"/>
      <c r="K33" s="1399"/>
      <c r="L33" s="2088"/>
      <c r="M33" s="1399"/>
      <c r="N33" s="2088"/>
      <c r="O33" s="1399"/>
      <c r="P33" s="1790"/>
      <c r="Q33" s="831"/>
      <c r="R33" s="831"/>
      <c r="S33" s="831"/>
      <c r="T33" s="1486" t="s">
        <v>1236</v>
      </c>
    </row>
    <row r="34" spans="1:20" s="292" customFormat="1" ht="15" customHeight="1" x14ac:dyDescent="0.3">
      <c r="A34" s="290" t="str">
        <f t="shared" si="0"/>
        <v>01</v>
      </c>
      <c r="B34" s="831">
        <v>172</v>
      </c>
      <c r="C34" s="294"/>
      <c r="D34" s="831"/>
      <c r="E34" s="833" t="s">
        <v>1237</v>
      </c>
      <c r="F34" s="1790"/>
      <c r="G34" s="1399"/>
      <c r="H34" s="2088"/>
      <c r="I34" s="1399"/>
      <c r="J34" s="2088"/>
      <c r="K34" s="1399"/>
      <c r="L34" s="2088"/>
      <c r="M34" s="1399"/>
      <c r="N34" s="2088"/>
      <c r="O34" s="1399"/>
      <c r="P34" s="1790"/>
      <c r="Q34" s="831"/>
      <c r="R34" s="831"/>
      <c r="S34" s="831"/>
      <c r="T34" s="1486" t="s">
        <v>1237</v>
      </c>
    </row>
    <row r="35" spans="1:20" s="292" customFormat="1" ht="15" customHeight="1" x14ac:dyDescent="0.3">
      <c r="A35" s="290" t="str">
        <f t="shared" si="0"/>
        <v>01</v>
      </c>
      <c r="B35" s="831">
        <v>173</v>
      </c>
      <c r="C35" s="294"/>
      <c r="D35" s="831"/>
      <c r="E35" s="1791"/>
      <c r="F35" s="1790"/>
      <c r="G35" s="1399"/>
      <c r="H35" s="2088"/>
      <c r="I35" s="1399"/>
      <c r="J35" s="2088"/>
      <c r="K35" s="1399"/>
      <c r="L35" s="2088"/>
      <c r="M35" s="1399"/>
      <c r="N35" s="2088"/>
      <c r="O35" s="1399"/>
      <c r="P35" s="1790"/>
      <c r="Q35" s="831"/>
      <c r="R35" s="831"/>
      <c r="S35" s="831"/>
      <c r="T35" s="1486"/>
    </row>
    <row r="36" spans="1:20" s="292" customFormat="1" ht="15" customHeight="1" x14ac:dyDescent="0.3">
      <c r="A36" s="290" t="str">
        <f t="shared" si="0"/>
        <v>01</v>
      </c>
      <c r="B36" s="831">
        <v>175</v>
      </c>
      <c r="C36" s="294" t="s">
        <v>594</v>
      </c>
      <c r="D36" s="831"/>
      <c r="E36" s="293" t="s">
        <v>1238</v>
      </c>
      <c r="F36" s="1790"/>
      <c r="G36" s="1399"/>
      <c r="H36" s="2088"/>
      <c r="I36" s="1399"/>
      <c r="J36" s="2088"/>
      <c r="K36" s="1399"/>
      <c r="L36" s="2088"/>
      <c r="M36" s="1399"/>
      <c r="N36" s="2088"/>
      <c r="O36" s="1399"/>
      <c r="P36" s="1790"/>
      <c r="Q36" s="831"/>
      <c r="R36" s="831"/>
      <c r="S36" s="831"/>
      <c r="T36" s="1486" t="s">
        <v>1238</v>
      </c>
    </row>
    <row r="37" spans="1:20" s="292" customFormat="1" ht="15" customHeight="1" x14ac:dyDescent="0.3">
      <c r="A37" s="290" t="str">
        <f t="shared" ref="A37:A68" si="1">_AGY325</f>
        <v>01</v>
      </c>
      <c r="B37" s="831">
        <v>180</v>
      </c>
      <c r="C37" s="294" t="s">
        <v>595</v>
      </c>
      <c r="D37" s="831"/>
      <c r="E37" s="293" t="s">
        <v>1239</v>
      </c>
      <c r="F37" s="1790"/>
      <c r="G37" s="2084">
        <f>SUM(G19:G36)</f>
        <v>0</v>
      </c>
      <c r="H37" s="2085"/>
      <c r="I37" s="2084">
        <f>SUM(I19:I36)</f>
        <v>0</v>
      </c>
      <c r="J37" s="2085"/>
      <c r="K37" s="2084">
        <f>SUM(K19:K36)</f>
        <v>0</v>
      </c>
      <c r="L37" s="2085"/>
      <c r="M37" s="2084">
        <f>SUM(M19:M36)</f>
        <v>0</v>
      </c>
      <c r="N37" s="2085"/>
      <c r="O37" s="2084">
        <f>SUM(O19:O36)</f>
        <v>0</v>
      </c>
      <c r="P37" s="1790"/>
      <c r="Q37" s="831"/>
      <c r="R37" s="831"/>
      <c r="S37" s="831"/>
      <c r="T37" s="1486"/>
    </row>
    <row r="38" spans="1:20" s="292" customFormat="1" ht="15" customHeight="1" x14ac:dyDescent="0.3">
      <c r="A38" s="290" t="str">
        <f t="shared" si="1"/>
        <v>01</v>
      </c>
      <c r="B38" s="831">
        <v>185</v>
      </c>
      <c r="C38" s="294" t="s">
        <v>596</v>
      </c>
      <c r="D38" s="831"/>
      <c r="E38" s="293" t="s">
        <v>1074</v>
      </c>
      <c r="F38" s="1790"/>
      <c r="G38" s="1399"/>
      <c r="H38" s="2088"/>
      <c r="I38" s="1399"/>
      <c r="J38" s="2088"/>
      <c r="K38" s="2086"/>
      <c r="L38" s="2088"/>
      <c r="M38" s="1399"/>
      <c r="N38" s="2088"/>
      <c r="O38" s="1399"/>
      <c r="P38" s="1790"/>
      <c r="Q38" s="831"/>
      <c r="R38" s="831"/>
      <c r="S38" s="831"/>
      <c r="T38" s="1486" t="s">
        <v>1240</v>
      </c>
    </row>
    <row r="39" spans="1:20" s="292" customFormat="1" ht="15" customHeight="1" x14ac:dyDescent="0.3">
      <c r="A39" s="290" t="str">
        <f t="shared" si="1"/>
        <v>01</v>
      </c>
      <c r="B39" s="831">
        <v>190</v>
      </c>
      <c r="C39" s="294" t="s">
        <v>597</v>
      </c>
      <c r="D39" s="831"/>
      <c r="E39" s="293" t="s">
        <v>1241</v>
      </c>
      <c r="F39" s="1790"/>
      <c r="G39" s="1399"/>
      <c r="H39" s="2088"/>
      <c r="I39" s="1399"/>
      <c r="J39" s="2088"/>
      <c r="K39" s="1399"/>
      <c r="L39" s="2088"/>
      <c r="M39" s="1399"/>
      <c r="N39" s="2088"/>
      <c r="O39" s="1399"/>
      <c r="P39" s="1790"/>
      <c r="Q39" s="831"/>
      <c r="R39" s="831"/>
      <c r="S39" s="831"/>
      <c r="T39" s="1486" t="s">
        <v>1242</v>
      </c>
    </row>
    <row r="40" spans="1:20" s="292" customFormat="1" ht="15" customHeight="1" x14ac:dyDescent="0.3">
      <c r="A40" s="290" t="str">
        <f t="shared" si="1"/>
        <v>01</v>
      </c>
      <c r="B40" s="831">
        <v>195</v>
      </c>
      <c r="C40" s="294" t="s">
        <v>598</v>
      </c>
      <c r="D40" s="831"/>
      <c r="E40" s="293" t="s">
        <v>1243</v>
      </c>
      <c r="F40" s="1790"/>
      <c r="G40" s="2084">
        <f>SUM(G38:G39)</f>
        <v>0</v>
      </c>
      <c r="H40" s="2085"/>
      <c r="I40" s="2084">
        <f>SUM(I38:I39)</f>
        <v>0</v>
      </c>
      <c r="J40" s="2085"/>
      <c r="K40" s="2084">
        <f>SUM(K38:K39)</f>
        <v>0</v>
      </c>
      <c r="L40" s="2085"/>
      <c r="M40" s="2084">
        <f>SUM(M38:M39)</f>
        <v>0</v>
      </c>
      <c r="N40" s="2085"/>
      <c r="O40" s="2084">
        <f>SUM(O38:O39)</f>
        <v>0</v>
      </c>
      <c r="P40" s="1790"/>
      <c r="Q40" s="831"/>
      <c r="R40" s="831"/>
      <c r="S40" s="831"/>
      <c r="T40" s="1486"/>
    </row>
    <row r="41" spans="1:20" s="292" customFormat="1" ht="15" customHeight="1" x14ac:dyDescent="0.3">
      <c r="A41" s="290" t="str">
        <f t="shared" si="1"/>
        <v>01</v>
      </c>
      <c r="B41" s="831">
        <v>200</v>
      </c>
      <c r="C41" s="294" t="s">
        <v>599</v>
      </c>
      <c r="D41" s="831"/>
      <c r="E41" s="293" t="s">
        <v>1244</v>
      </c>
      <c r="F41" s="1790"/>
      <c r="G41" s="2084">
        <f>IF(AND(G37=0,G40=0),0,+G37/G40)</f>
        <v>0</v>
      </c>
      <c r="H41" s="2085"/>
      <c r="I41" s="2084">
        <f>IF(AND(I37=0,I40=0),0,+I37/I40)</f>
        <v>0</v>
      </c>
      <c r="J41" s="2085"/>
      <c r="K41" s="2084">
        <f>IF(AND(K37=0,K40=0),0,+K37/K40)</f>
        <v>0</v>
      </c>
      <c r="L41" s="2085"/>
      <c r="M41" s="2084">
        <f>IF(AND(M37=0,M40=0),0,+M37/M40)</f>
        <v>0</v>
      </c>
      <c r="N41" s="2085"/>
      <c r="O41" s="2084">
        <f>IF(AND(O37=0,O40=0),0,+O37/O40)</f>
        <v>0</v>
      </c>
      <c r="P41" s="1790"/>
      <c r="Q41" s="831"/>
      <c r="R41" s="831"/>
      <c r="S41" s="831"/>
      <c r="T41" s="1486" t="s">
        <v>1244</v>
      </c>
    </row>
    <row r="42" spans="1:20" s="292" customFormat="1" ht="6" customHeight="1" x14ac:dyDescent="0.3">
      <c r="A42" s="290" t="str">
        <f t="shared" si="1"/>
        <v>01</v>
      </c>
      <c r="B42" s="831"/>
      <c r="C42" s="773"/>
      <c r="D42" s="831"/>
      <c r="E42" s="1790"/>
      <c r="F42" s="1790"/>
      <c r="G42" s="1790"/>
      <c r="H42" s="1790"/>
      <c r="I42" s="1790"/>
      <c r="J42" s="1790"/>
      <c r="K42" s="1790"/>
      <c r="L42" s="1790"/>
      <c r="M42" s="1790"/>
      <c r="N42" s="1790"/>
      <c r="O42" s="1790">
        <f>SUM(K42:N42)</f>
        <v>0</v>
      </c>
      <c r="P42" s="1790"/>
      <c r="Q42" s="831"/>
      <c r="R42" s="831"/>
      <c r="S42" s="831"/>
      <c r="T42" s="1486"/>
    </row>
    <row r="43" spans="1:20" s="292" customFormat="1" ht="9" customHeight="1" x14ac:dyDescent="0.3">
      <c r="A43" s="290" t="str">
        <f t="shared" si="1"/>
        <v>01</v>
      </c>
      <c r="B43" s="831"/>
      <c r="C43" s="296"/>
      <c r="D43" s="831"/>
      <c r="E43" s="1790"/>
      <c r="F43" s="1790"/>
      <c r="G43" s="1790"/>
      <c r="H43" s="1790"/>
      <c r="I43" s="1790"/>
      <c r="J43" s="1790"/>
      <c r="K43" s="1790"/>
      <c r="L43" s="1790"/>
      <c r="M43" s="1790"/>
      <c r="N43" s="1790"/>
      <c r="O43" s="1790"/>
      <c r="P43" s="1790"/>
      <c r="Q43" s="831"/>
      <c r="R43" s="831"/>
      <c r="S43" s="831"/>
      <c r="T43" s="1486"/>
    </row>
    <row r="44" spans="1:20" s="292" customFormat="1" ht="15" customHeight="1" x14ac:dyDescent="0.3">
      <c r="A44" s="290" t="str">
        <f t="shared" si="1"/>
        <v>01</v>
      </c>
      <c r="B44" s="831"/>
      <c r="C44" s="933" t="s">
        <v>1245</v>
      </c>
      <c r="D44" s="1792"/>
      <c r="E44" s="1793"/>
      <c r="F44" s="1793"/>
      <c r="G44" s="1793"/>
      <c r="H44" s="1793"/>
      <c r="I44" s="1793"/>
      <c r="J44" s="1793"/>
      <c r="K44" s="1793"/>
      <c r="L44" s="1793"/>
      <c r="M44" s="1793"/>
      <c r="N44" s="1793"/>
      <c r="O44" s="1793"/>
      <c r="P44" s="1790"/>
      <c r="Q44" s="831"/>
      <c r="R44" s="831"/>
      <c r="S44" s="831"/>
      <c r="T44" s="1486"/>
    </row>
    <row r="45" spans="1:20" s="292" customFormat="1" ht="13.5" customHeight="1" x14ac:dyDescent="0.3">
      <c r="A45" s="290" t="str">
        <f t="shared" si="1"/>
        <v>01</v>
      </c>
      <c r="B45" s="831"/>
      <c r="C45" s="933" t="s">
        <v>1246</v>
      </c>
      <c r="D45" s="2259" t="str">
        <f>CONCATENATE("If you have previously submitted this information for fiscal years ",+YEAR(Data!$A$4)," and earlier, and that")</f>
        <v>If you have previously submitted this information for fiscal years 2022 and earlier, and that</v>
      </c>
      <c r="E45" s="2259"/>
      <c r="F45" s="2259"/>
      <c r="G45" s="2259"/>
      <c r="H45" s="2259"/>
      <c r="I45" s="2259"/>
      <c r="J45" s="2259"/>
      <c r="K45" s="2259"/>
      <c r="L45" s="2259"/>
      <c r="M45" s="2259"/>
      <c r="N45" s="2259"/>
      <c r="O45" s="2259"/>
      <c r="P45" s="1790"/>
      <c r="Q45" s="831"/>
      <c r="R45" s="831"/>
      <c r="S45" s="831"/>
      <c r="T45" s="1486"/>
    </row>
    <row r="46" spans="1:20" s="292" customFormat="1" ht="15" customHeight="1" x14ac:dyDescent="0.3">
      <c r="A46" s="290" t="str">
        <f t="shared" si="1"/>
        <v>01</v>
      </c>
      <c r="B46" s="831"/>
      <c r="C46" s="1794"/>
      <c r="D46" s="2580" t="str">
        <f>CONCATENATE("data remains unchanged, you may complete just the ",YEAR(Data!$A$2)," line and ignore lines ",O16," - ",I16,".")</f>
        <v>data remains unchanged, you may complete just the 2023 line and ignore lines 2019 - 2022.</v>
      </c>
      <c r="E46" s="2580"/>
      <c r="F46" s="2580"/>
      <c r="G46" s="2580"/>
      <c r="H46" s="2580"/>
      <c r="I46" s="2580"/>
      <c r="J46" s="2580"/>
      <c r="K46" s="2580"/>
      <c r="L46" s="2580"/>
      <c r="M46" s="2580"/>
      <c r="N46" s="2580"/>
      <c r="O46" s="2580"/>
      <c r="P46" s="831"/>
      <c r="Q46" s="831"/>
      <c r="R46" s="831"/>
      <c r="S46" s="831"/>
      <c r="T46" s="1486"/>
    </row>
    <row r="47" spans="1:20" s="292" customFormat="1" ht="15" customHeight="1" x14ac:dyDescent="0.3">
      <c r="A47" s="290" t="str">
        <f t="shared" si="1"/>
        <v>01</v>
      </c>
      <c r="B47" s="831"/>
      <c r="C47" s="934" t="s">
        <v>1247</v>
      </c>
      <c r="D47" s="1795"/>
      <c r="E47" s="1795"/>
      <c r="F47" s="1795"/>
      <c r="G47" s="1795"/>
      <c r="H47" s="1795"/>
      <c r="I47" s="1795"/>
      <c r="J47" s="1795"/>
      <c r="K47" s="1795"/>
      <c r="L47" s="1795"/>
      <c r="M47" s="1795"/>
      <c r="N47" s="1792"/>
      <c r="O47" s="1792"/>
      <c r="P47" s="831"/>
      <c r="Q47" s="831"/>
      <c r="R47" s="831"/>
      <c r="S47" s="831"/>
      <c r="T47" s="1486"/>
    </row>
    <row r="48" spans="1:20" s="292" customFormat="1" ht="18.75" x14ac:dyDescent="0.3">
      <c r="A48" s="290" t="str">
        <f t="shared" si="1"/>
        <v>01</v>
      </c>
      <c r="B48" s="831"/>
      <c r="C48" s="935" t="s">
        <v>1248</v>
      </c>
      <c r="D48" s="935"/>
      <c r="E48" s="935"/>
      <c r="F48" s="1796"/>
      <c r="G48" s="1796"/>
      <c r="H48" s="1796"/>
      <c r="I48" s="1796"/>
      <c r="J48" s="1796"/>
      <c r="K48" s="1796"/>
      <c r="L48" s="1796"/>
      <c r="M48" s="1796"/>
      <c r="N48" s="1796"/>
      <c r="O48" s="1796"/>
      <c r="P48" s="831"/>
      <c r="Q48" s="831"/>
      <c r="R48" s="831"/>
      <c r="S48" s="831"/>
      <c r="T48" s="1486"/>
    </row>
    <row r="49" spans="1:20" s="292" customFormat="1" ht="15" customHeight="1" x14ac:dyDescent="0.3">
      <c r="A49" s="290" t="str">
        <f t="shared" si="1"/>
        <v>01</v>
      </c>
      <c r="B49" s="831"/>
      <c r="C49" s="461" t="s">
        <v>391</v>
      </c>
      <c r="D49" s="936"/>
      <c r="E49" s="936"/>
      <c r="F49" s="936"/>
      <c r="G49" s="831"/>
      <c r="H49" s="831"/>
      <c r="I49" s="831"/>
      <c r="J49" s="831"/>
      <c r="K49" s="831"/>
      <c r="L49" s="831"/>
      <c r="M49" s="831"/>
      <c r="N49" s="831"/>
      <c r="O49" s="831"/>
      <c r="P49" s="831"/>
      <c r="Q49" s="831"/>
      <c r="R49" s="831"/>
      <c r="S49" s="831"/>
      <c r="T49" s="1486"/>
    </row>
    <row r="50" spans="1:20" s="292" customFormat="1" ht="15" customHeight="1" x14ac:dyDescent="0.3">
      <c r="A50" s="290" t="str">
        <f t="shared" si="1"/>
        <v>01</v>
      </c>
      <c r="B50" s="831"/>
      <c r="C50" s="831" t="s">
        <v>1249</v>
      </c>
      <c r="D50" s="773" t="s">
        <v>323</v>
      </c>
      <c r="E50" s="831" t="str">
        <f>CONCATENATE("Provide information for the fiscal years ",O16," through ",G16)</f>
        <v>Provide information for the fiscal years 2019 through 2023</v>
      </c>
      <c r="F50" s="831"/>
      <c r="G50" s="831"/>
      <c r="H50" s="831"/>
      <c r="I50" s="831"/>
      <c r="J50" s="831"/>
      <c r="K50" s="831"/>
      <c r="L50" s="831"/>
      <c r="M50" s="831"/>
      <c r="N50" s="831"/>
      <c r="O50" s="831"/>
      <c r="P50" s="831"/>
      <c r="Q50" s="831"/>
      <c r="R50" s="831"/>
      <c r="S50" s="831"/>
      <c r="T50" s="1486"/>
    </row>
    <row r="51" spans="1:20" s="292" customFormat="1" ht="15" customHeight="1" x14ac:dyDescent="0.3">
      <c r="A51" s="290" t="str">
        <f t="shared" si="1"/>
        <v>01</v>
      </c>
      <c r="B51" s="831"/>
      <c r="C51" s="831" t="s">
        <v>1250</v>
      </c>
      <c r="D51" s="773" t="s">
        <v>323</v>
      </c>
      <c r="E51" s="831" t="s">
        <v>1251</v>
      </c>
      <c r="F51" s="831"/>
      <c r="G51" s="831"/>
      <c r="H51" s="831"/>
      <c r="I51" s="831"/>
      <c r="J51" s="831"/>
      <c r="K51" s="831"/>
      <c r="L51" s="831"/>
      <c r="M51" s="831"/>
      <c r="N51" s="831"/>
      <c r="O51" s="831"/>
      <c r="P51" s="831"/>
      <c r="Q51" s="831"/>
      <c r="R51" s="831"/>
      <c r="S51" s="831"/>
      <c r="T51" s="1486"/>
    </row>
    <row r="52" spans="1:20" s="292" customFormat="1" ht="15" customHeight="1" x14ac:dyDescent="0.3">
      <c r="A52" s="290" t="str">
        <f t="shared" si="1"/>
        <v>01</v>
      </c>
      <c r="B52" s="831"/>
      <c r="C52" s="831" t="s">
        <v>1252</v>
      </c>
      <c r="D52" s="773" t="s">
        <v>323</v>
      </c>
      <c r="E52" s="831" t="s">
        <v>1253</v>
      </c>
      <c r="F52" s="831"/>
      <c r="G52" s="831"/>
      <c r="H52" s="831"/>
      <c r="I52" s="831"/>
      <c r="J52" s="831"/>
      <c r="K52" s="831"/>
      <c r="L52" s="831"/>
      <c r="M52" s="831"/>
      <c r="N52" s="831"/>
      <c r="O52" s="831"/>
      <c r="P52" s="831"/>
      <c r="Q52" s="831"/>
      <c r="R52" s="831"/>
      <c r="S52" s="831"/>
      <c r="T52" s="1486"/>
    </row>
    <row r="53" spans="1:20" s="292" customFormat="1" ht="15" customHeight="1" x14ac:dyDescent="0.3">
      <c r="A53" s="290" t="str">
        <f t="shared" si="1"/>
        <v>01</v>
      </c>
      <c r="B53" s="831"/>
      <c r="C53" s="831"/>
      <c r="D53" s="773"/>
      <c r="E53" s="831" t="s">
        <v>1254</v>
      </c>
      <c r="F53" s="831"/>
      <c r="G53" s="831"/>
      <c r="H53" s="831"/>
      <c r="I53" s="831"/>
      <c r="J53" s="831"/>
      <c r="K53" s="831"/>
      <c r="L53" s="831"/>
      <c r="M53" s="831"/>
      <c r="N53" s="831"/>
      <c r="O53" s="831"/>
      <c r="P53" s="831"/>
      <c r="Q53" s="831"/>
      <c r="R53" s="831"/>
      <c r="S53" s="831"/>
      <c r="T53" s="1486"/>
    </row>
    <row r="54" spans="1:20" s="292" customFormat="1" ht="15" customHeight="1" x14ac:dyDescent="0.3">
      <c r="A54" s="290" t="str">
        <f t="shared" si="1"/>
        <v>01</v>
      </c>
      <c r="B54" s="831"/>
      <c r="C54" s="831" t="s">
        <v>1255</v>
      </c>
      <c r="D54" s="773" t="s">
        <v>323</v>
      </c>
      <c r="E54" s="831" t="s">
        <v>1256</v>
      </c>
      <c r="F54" s="831"/>
      <c r="G54" s="831"/>
      <c r="H54" s="831"/>
      <c r="I54" s="831"/>
      <c r="J54" s="831"/>
      <c r="K54" s="831"/>
      <c r="L54" s="831"/>
      <c r="M54" s="831"/>
      <c r="N54" s="831"/>
      <c r="O54" s="831"/>
      <c r="P54" s="831"/>
      <c r="Q54" s="831"/>
      <c r="R54" s="831"/>
      <c r="S54" s="831"/>
      <c r="T54" s="1486"/>
    </row>
    <row r="55" spans="1:20" s="292" customFormat="1" ht="15" customHeight="1" x14ac:dyDescent="0.3">
      <c r="A55" s="290" t="str">
        <f t="shared" si="1"/>
        <v>01</v>
      </c>
      <c r="B55" s="831"/>
      <c r="C55" s="831" t="s">
        <v>1257</v>
      </c>
      <c r="D55" s="773" t="s">
        <v>323</v>
      </c>
      <c r="E55" s="831" t="s">
        <v>1258</v>
      </c>
      <c r="F55" s="831"/>
      <c r="G55" s="831"/>
      <c r="H55" s="831"/>
      <c r="I55" s="831"/>
      <c r="J55" s="831"/>
      <c r="K55" s="831"/>
      <c r="L55" s="831"/>
      <c r="M55" s="831"/>
      <c r="N55" s="831"/>
      <c r="O55" s="831"/>
      <c r="P55" s="831"/>
      <c r="Q55" s="831"/>
      <c r="R55" s="831"/>
      <c r="S55" s="831"/>
      <c r="T55" s="1486"/>
    </row>
    <row r="56" spans="1:20" s="292" customFormat="1" ht="15" customHeight="1" x14ac:dyDescent="0.3">
      <c r="A56" s="290" t="str">
        <f t="shared" si="1"/>
        <v>01</v>
      </c>
      <c r="B56" s="831"/>
      <c r="C56" s="831"/>
      <c r="D56" s="773"/>
      <c r="E56" s="831"/>
      <c r="F56" s="293" t="s">
        <v>1259</v>
      </c>
      <c r="G56" s="831"/>
      <c r="H56" s="831"/>
      <c r="I56" s="831"/>
      <c r="J56" s="831"/>
      <c r="K56" s="831"/>
      <c r="L56" s="831"/>
      <c r="M56" s="831"/>
      <c r="N56" s="831"/>
      <c r="O56" s="831"/>
      <c r="P56" s="831"/>
      <c r="Q56" s="831"/>
      <c r="R56" s="831"/>
      <c r="S56" s="831"/>
      <c r="T56" s="1486"/>
    </row>
    <row r="57" spans="1:20" s="292" customFormat="1" ht="15" customHeight="1" x14ac:dyDescent="0.3">
      <c r="A57" s="290" t="str">
        <f t="shared" si="1"/>
        <v>01</v>
      </c>
      <c r="B57" s="831"/>
      <c r="C57" s="831" t="s">
        <v>1260</v>
      </c>
      <c r="D57" s="773" t="s">
        <v>323</v>
      </c>
      <c r="E57" s="831" t="s">
        <v>1261</v>
      </c>
      <c r="F57" s="831"/>
      <c r="G57" s="831"/>
      <c r="H57" s="831"/>
      <c r="I57" s="831"/>
      <c r="J57" s="831"/>
      <c r="K57" s="831"/>
      <c r="L57" s="831"/>
      <c r="M57" s="831"/>
      <c r="N57" s="831"/>
      <c r="O57" s="831"/>
      <c r="P57" s="831"/>
      <c r="Q57" s="831"/>
      <c r="R57" s="831"/>
      <c r="S57" s="831"/>
      <c r="T57" s="1486"/>
    </row>
    <row r="58" spans="1:20" s="292" customFormat="1" ht="15" customHeight="1" x14ac:dyDescent="0.3">
      <c r="A58" s="290" t="str">
        <f t="shared" si="1"/>
        <v>01</v>
      </c>
      <c r="B58" s="831"/>
      <c r="C58" s="831"/>
      <c r="D58" s="773"/>
      <c r="E58" s="831"/>
      <c r="F58" s="293" t="s">
        <v>1259</v>
      </c>
      <c r="G58" s="831"/>
      <c r="H58" s="831"/>
      <c r="I58" s="831"/>
      <c r="J58" s="831"/>
      <c r="K58" s="831"/>
      <c r="L58" s="831"/>
      <c r="M58" s="831"/>
      <c r="N58" s="831"/>
      <c r="O58" s="831"/>
      <c r="P58" s="831"/>
      <c r="Q58" s="831"/>
      <c r="R58" s="831"/>
      <c r="S58" s="831"/>
      <c r="T58" s="1486"/>
    </row>
    <row r="59" spans="1:20" s="292" customFormat="1" ht="15" customHeight="1" x14ac:dyDescent="0.3">
      <c r="A59" s="290" t="str">
        <f t="shared" si="1"/>
        <v>01</v>
      </c>
      <c r="B59" s="831"/>
      <c r="C59" s="831" t="s">
        <v>1262</v>
      </c>
      <c r="D59" s="773" t="s">
        <v>323</v>
      </c>
      <c r="E59" s="831" t="s">
        <v>1263</v>
      </c>
      <c r="F59" s="831"/>
      <c r="G59" s="831"/>
      <c r="H59" s="831"/>
      <c r="I59" s="831"/>
      <c r="J59" s="831"/>
      <c r="K59" s="831"/>
      <c r="L59" s="831"/>
      <c r="M59" s="831"/>
      <c r="N59" s="831"/>
      <c r="O59" s="831"/>
      <c r="P59" s="831"/>
      <c r="Q59" s="831"/>
      <c r="R59" s="831"/>
      <c r="S59" s="831"/>
      <c r="T59" s="1486"/>
    </row>
    <row r="60" spans="1:20" s="292" customFormat="1" ht="15" customHeight="1" x14ac:dyDescent="0.3">
      <c r="A60" s="290" t="str">
        <f t="shared" si="1"/>
        <v>01</v>
      </c>
      <c r="B60" s="831"/>
      <c r="C60" s="831" t="s">
        <v>1264</v>
      </c>
      <c r="D60" s="773" t="s">
        <v>323</v>
      </c>
      <c r="E60" s="831" t="s">
        <v>1265</v>
      </c>
      <c r="F60" s="831"/>
      <c r="G60" s="831"/>
      <c r="H60" s="831"/>
      <c r="I60" s="831"/>
      <c r="J60" s="831"/>
      <c r="K60" s="831"/>
      <c r="L60" s="831"/>
      <c r="M60" s="831"/>
      <c r="N60" s="831"/>
      <c r="O60" s="831"/>
      <c r="P60" s="831"/>
      <c r="Q60" s="831"/>
      <c r="R60" s="831"/>
      <c r="S60" s="831"/>
      <c r="T60" s="1486"/>
    </row>
    <row r="61" spans="1:20" s="292" customFormat="1" ht="15" customHeight="1" x14ac:dyDescent="0.3">
      <c r="A61" s="290" t="str">
        <f t="shared" si="1"/>
        <v>01</v>
      </c>
      <c r="B61" s="831"/>
      <c r="C61" s="2083" t="s">
        <v>1266</v>
      </c>
      <c r="D61" s="773"/>
      <c r="E61" s="831"/>
      <c r="F61" s="831"/>
      <c r="G61" s="831"/>
      <c r="H61" s="831"/>
      <c r="I61" s="831"/>
      <c r="J61" s="831"/>
      <c r="K61" s="831"/>
      <c r="L61" s="831"/>
      <c r="M61" s="831"/>
      <c r="N61" s="831"/>
      <c r="O61" s="831"/>
      <c r="P61" s="831"/>
      <c r="Q61" s="831"/>
      <c r="R61" s="831"/>
      <c r="S61" s="831"/>
      <c r="T61" s="1486"/>
    </row>
    <row r="62" spans="1:20" ht="18.75" x14ac:dyDescent="0.3">
      <c r="A62" s="290" t="str">
        <f t="shared" si="1"/>
        <v>01</v>
      </c>
      <c r="C62" s="470" t="s">
        <v>1267</v>
      </c>
    </row>
    <row r="63" spans="1:20" ht="15" customHeight="1" x14ac:dyDescent="0.3">
      <c r="A63" s="290" t="str">
        <f t="shared" si="1"/>
        <v>01</v>
      </c>
      <c r="B63" s="1483"/>
      <c r="C63" s="469" t="s">
        <v>1268</v>
      </c>
      <c r="D63" s="1483"/>
    </row>
    <row r="64" spans="1:20" ht="15" customHeight="1" x14ac:dyDescent="0.3">
      <c r="A64" s="290" t="str">
        <f t="shared" si="1"/>
        <v>01</v>
      </c>
      <c r="B64" s="1483"/>
      <c r="C64" s="293" t="s">
        <v>1269</v>
      </c>
      <c r="D64" s="831"/>
      <c r="E64" s="831"/>
      <c r="F64" s="831"/>
      <c r="G64" s="831"/>
      <c r="H64" s="831"/>
      <c r="I64" s="831"/>
      <c r="J64" s="831"/>
      <c r="K64" s="831"/>
      <c r="L64" s="831"/>
      <c r="M64" s="831"/>
    </row>
    <row r="65" spans="1:20" s="292" customFormat="1" ht="15" customHeight="1" x14ac:dyDescent="0.3">
      <c r="A65" s="290" t="str">
        <f t="shared" si="1"/>
        <v>01</v>
      </c>
      <c r="B65" s="831"/>
      <c r="C65" s="293" t="s">
        <v>1270</v>
      </c>
      <c r="D65" s="773"/>
      <c r="E65" s="293"/>
      <c r="F65" s="293"/>
      <c r="G65" s="831"/>
      <c r="H65" s="831"/>
      <c r="I65" s="831"/>
      <c r="J65" s="831"/>
      <c r="K65" s="831"/>
      <c r="L65" s="831"/>
      <c r="M65" s="831"/>
      <c r="N65" s="831"/>
      <c r="O65" s="831"/>
      <c r="P65" s="831"/>
      <c r="Q65" s="831"/>
      <c r="R65" s="831"/>
      <c r="S65" s="831"/>
      <c r="T65" s="1486"/>
    </row>
    <row r="66" spans="1:20" ht="15" customHeight="1" x14ac:dyDescent="0.3">
      <c r="A66" s="290" t="str">
        <f t="shared" si="1"/>
        <v>01</v>
      </c>
      <c r="B66" s="1483"/>
      <c r="C66" s="445" t="str">
        <f ca="1">IF(ISNA(INDEX(ErrorTable,MATCH($B$72&amp;$B66&amp;FALSE,ErrorKey,0),6)),"",INDEX(ErrorTable,MATCH($B$72&amp;$B66&amp;FALSE,ErrorKey,0),6))</f>
        <v/>
      </c>
      <c r="D66" s="1483"/>
    </row>
    <row r="67" spans="1:20" ht="18.75" x14ac:dyDescent="0.3">
      <c r="A67" s="290" t="str">
        <f t="shared" si="1"/>
        <v>01</v>
      </c>
      <c r="B67" s="1483"/>
      <c r="C67" s="469" t="s">
        <v>1271</v>
      </c>
      <c r="D67" s="1483"/>
    </row>
    <row r="68" spans="1:20" ht="18.75" x14ac:dyDescent="0.3">
      <c r="A68" s="290" t="str">
        <f t="shared" si="1"/>
        <v>01</v>
      </c>
      <c r="B68" s="1483"/>
      <c r="C68" s="293" t="s">
        <v>1272</v>
      </c>
      <c r="D68" s="773"/>
      <c r="E68" s="831"/>
      <c r="F68" s="831"/>
      <c r="G68" s="831"/>
      <c r="H68" s="831"/>
      <c r="I68" s="831"/>
      <c r="J68" s="831"/>
      <c r="K68" s="831"/>
      <c r="L68" s="831"/>
      <c r="M68" s="831"/>
    </row>
    <row r="69" spans="1:20" ht="18.75" x14ac:dyDescent="0.3">
      <c r="A69" s="290" t="str">
        <f t="shared" ref="A69:A75" si="2">_AGY325</f>
        <v>01</v>
      </c>
      <c r="B69" s="1483"/>
      <c r="C69" s="1" t="s">
        <v>1273</v>
      </c>
    </row>
    <row r="70" spans="1:20" ht="18.75" x14ac:dyDescent="0.3">
      <c r="A70" s="290" t="str">
        <f t="shared" si="2"/>
        <v>01</v>
      </c>
      <c r="B70" s="1483"/>
      <c r="C70" s="1" t="s">
        <v>1274</v>
      </c>
    </row>
    <row r="71" spans="1:20" ht="18.75" x14ac:dyDescent="0.3">
      <c r="A71" s="290" t="str">
        <f t="shared" si="2"/>
        <v>01</v>
      </c>
    </row>
    <row r="72" spans="1:20" ht="15" customHeight="1" x14ac:dyDescent="0.3">
      <c r="A72" s="290" t="str">
        <f t="shared" si="2"/>
        <v>01</v>
      </c>
      <c r="B72" s="1483" t="str">
        <f ca="1">MID(CELL("filename",B1),FIND("]",CELL("filename",B1))+1,256)</f>
        <v>325</v>
      </c>
      <c r="C72" s="445" t="s">
        <v>636</v>
      </c>
      <c r="D72" s="1483"/>
    </row>
    <row r="73" spans="1:20" ht="15" customHeight="1" x14ac:dyDescent="0.3">
      <c r="A73" s="290" t="str">
        <f t="shared" si="2"/>
        <v>01</v>
      </c>
      <c r="B73" s="1483" t="s">
        <v>380</v>
      </c>
      <c r="C73" s="445" t="str">
        <f t="shared" ref="C73:C81" ca="1" si="3">IF(ISNA(INDEX(ErrorTable,MATCH($B$72&amp;$B73&amp;FALSE,ErrorKey,0),6)),"",INDEX(ErrorTable,MATCH($B$72&amp;$B73&amp;FALSE,ErrorKey,0),6))</f>
        <v>GASB number is blank.</v>
      </c>
      <c r="D73" s="1483"/>
    </row>
    <row r="74" spans="1:20" ht="18.75" x14ac:dyDescent="0.3">
      <c r="A74" s="290" t="str">
        <f t="shared" si="2"/>
        <v>01</v>
      </c>
      <c r="B74" s="297" t="s">
        <v>381</v>
      </c>
      <c r="C74" s="445" t="str">
        <f t="shared" ca="1" si="3"/>
        <v/>
      </c>
    </row>
    <row r="75" spans="1:20" ht="18.75" x14ac:dyDescent="0.3">
      <c r="A75" s="290" t="str">
        <f t="shared" si="2"/>
        <v>01</v>
      </c>
      <c r="B75" s="297" t="s">
        <v>382</v>
      </c>
      <c r="C75" s="445" t="str">
        <f t="shared" ca="1" si="3"/>
        <v/>
      </c>
    </row>
    <row r="76" spans="1:20" ht="15" x14ac:dyDescent="0.2">
      <c r="B76" s="297" t="s">
        <v>383</v>
      </c>
      <c r="C76" s="445" t="str">
        <f t="shared" ca="1" si="3"/>
        <v/>
      </c>
    </row>
    <row r="77" spans="1:20" ht="15" x14ac:dyDescent="0.2">
      <c r="B77" s="297" t="s">
        <v>384</v>
      </c>
      <c r="C77" s="445" t="str">
        <f t="shared" ca="1" si="3"/>
        <v/>
      </c>
    </row>
    <row r="78" spans="1:20" ht="15" x14ac:dyDescent="0.2">
      <c r="B78" s="297" t="s">
        <v>385</v>
      </c>
      <c r="C78" s="445" t="str">
        <f t="shared" ca="1" si="3"/>
        <v/>
      </c>
    </row>
    <row r="79" spans="1:20" ht="15" x14ac:dyDescent="0.2">
      <c r="B79" s="297" t="s">
        <v>386</v>
      </c>
      <c r="C79" s="445" t="str">
        <f t="shared" ca="1" si="3"/>
        <v/>
      </c>
    </row>
    <row r="80" spans="1:20" ht="15" x14ac:dyDescent="0.2">
      <c r="B80" s="297" t="s">
        <v>387</v>
      </c>
      <c r="C80" s="445" t="str">
        <f t="shared" ca="1" si="3"/>
        <v/>
      </c>
    </row>
    <row r="81" spans="2:3" ht="15" x14ac:dyDescent="0.2">
      <c r="B81" s="297" t="s">
        <v>388</v>
      </c>
      <c r="C81" s="445" t="str">
        <f t="shared" ca="1" si="3"/>
        <v/>
      </c>
    </row>
    <row r="82" spans="2:3" ht="15" x14ac:dyDescent="0.2">
      <c r="C82" s="445"/>
    </row>
    <row r="83" spans="2:3" ht="15" x14ac:dyDescent="0.2">
      <c r="C83" s="445"/>
    </row>
    <row r="84" spans="2:3" ht="15" x14ac:dyDescent="0.2">
      <c r="C84" s="445"/>
    </row>
  </sheetData>
  <sheetProtection algorithmName="SHA-512" hashValue="9m4rWGh02FYP6VlXhBGIqaTVJMKIKw8jkS1E9ZTdXC43Ugeh0wO8SgnNTvuJa8pzJrKzoxQ/IMoOMMngglSb+Q==" saltValue="Dilx44pHfrG+DmJA6zJoPA==" spinCount="100000" sheet="1" objects="1" scenarios="1" autoFilter="0"/>
  <autoFilter ref="G11:G12" xr:uid="{00000000-0009-0000-0000-000011000000}"/>
  <customSheetViews>
    <customSheetView guid="{9FCFC836-1CA5-48BF-958D-24D2EA94B219}" showGridLines="0" fitToPage="1" hiddenColumns="1" topLeftCell="B25">
      <selection activeCell="B12" sqref="B12"/>
      <pageMargins left="0" right="0" top="0" bottom="0" header="0" footer="0"/>
      <printOptions horizontalCentered="1"/>
      <pageSetup scale="91" orientation="landscape" r:id="rId1"/>
      <headerFooter alignWithMargins="0">
        <oddFooter>&amp;R&amp;A</oddFooter>
      </headerFooter>
    </customSheetView>
    <customSheetView guid="{BEA4BE86-04D1-4C96-9358-7A260B9D2B2D}" showGridLines="0" fitToPage="1" showRuler="0">
      <selection sqref="A1:O1"/>
      <pageMargins left="0" right="0" top="0" bottom="0" header="0" footer="0"/>
      <printOptions horizontalCentered="1"/>
      <pageSetup scale="91" orientation="landscape" r:id="rId2"/>
      <headerFooter alignWithMargins="0">
        <oddFooter>&amp;R&amp;A</oddFooter>
      </headerFooter>
    </customSheetView>
    <customSheetView guid="{1250FD07-FF56-4A9D-AF9E-C27124A7EBE9}" showGridLines="0" fitToPage="1" showRuler="0">
      <selection sqref="A1:O1"/>
      <pageMargins left="0" right="0" top="0" bottom="0" header="0" footer="0"/>
      <printOptions horizontalCentered="1"/>
      <pageSetup scale="91" orientation="landscape" r:id="rId3"/>
      <headerFooter alignWithMargins="0">
        <oddFooter>&amp;R&amp;A</oddFooter>
      </headerFooter>
    </customSheetView>
    <customSheetView guid="{B08879A4-635B-4C39-9937-AC7883D562FC}" showGridLines="0" fitToPage="1" hiddenColumns="1" topLeftCell="B25">
      <selection activeCell="B12" sqref="B12"/>
      <pageMargins left="0" right="0" top="0" bottom="0" header="0" footer="0"/>
      <printOptions horizontalCentered="1"/>
      <pageSetup scale="91" orientation="landscape" r:id="rId4"/>
      <headerFooter alignWithMargins="0">
        <oddFooter>&amp;R&amp;A</oddFooter>
      </headerFooter>
    </customSheetView>
  </customSheetViews>
  <mergeCells count="9">
    <mergeCell ref="P1:P3"/>
    <mergeCell ref="D46:O46"/>
    <mergeCell ref="C1:O1"/>
    <mergeCell ref="C2:O2"/>
    <mergeCell ref="C3:O3"/>
    <mergeCell ref="K5:O5"/>
    <mergeCell ref="K6:O6"/>
    <mergeCell ref="K7:O7"/>
    <mergeCell ref="K8:O8"/>
  </mergeCells>
  <phoneticPr fontId="16" type="noConversion"/>
  <conditionalFormatting sqref="P1:P3">
    <cfRule type="cellIs" dxfId="125" priority="1" stopIfTrue="1" operator="equal">
      <formula>"na"</formula>
    </cfRule>
  </conditionalFormatting>
  <dataValidations count="5">
    <dataValidation type="decimal" operator="lessThanOrEqual" allowBlank="1" showInputMessage="1" showErrorMessage="1" errorTitle="Invalid data!" error="Amount must be negative." sqref="O36 G36 I36 K36 M36" xr:uid="{00000000-0002-0000-1100-000000000000}">
      <formula1>0</formula1>
    </dataValidation>
    <dataValidation type="textLength" operator="equal" allowBlank="1" showInputMessage="1" showErrorMessage="1" errorTitle="Invalid data!" error="GASB number must be 4 digits." sqref="F7:F8 G8" xr:uid="{00000000-0002-0000-1100-000001000000}">
      <formula1>4</formula1>
    </dataValidation>
    <dataValidation type="list" allowBlank="1" showInputMessage="1" showErrorMessage="1" sqref="G12" xr:uid="{00000000-0002-0000-1100-000002000000}">
      <formula1>Pledged_Revenue</formula1>
    </dataValidation>
    <dataValidation type="textLength" operator="equal" allowBlank="1" showInputMessage="1" showErrorMessage="1" errorTitle="Invalid data!" error="GASB number must be 4 digits." prompt="Enter GASB Fund Number" sqref="G7" xr:uid="{403BB261-2CCD-455D-85B3-DCB41F19CF51}">
      <formula1>4</formula1>
    </dataValidation>
    <dataValidation allowBlank="1" showInputMessage="1" showErrorMessage="1" prompt="See instruction from row 49" sqref="E18" xr:uid="{539B7389-8A9B-466F-A9E2-96B78C49BD8E}"/>
  </dataValidations>
  <hyperlinks>
    <hyperlink ref="C1:O1" location="Index!A1" display="Index!A1" xr:uid="{00000000-0004-0000-1100-000000000000}"/>
    <hyperlink ref="C61" location="'325'!A19" display="Back to the top" xr:uid="{9F05693C-3280-498B-8C2C-A62FB9B0849A}"/>
  </hyperlinks>
  <pageMargins left="0.6" right="0.6" top="0.5" bottom="0.5" header="0.3" footer="0.3"/>
  <pageSetup scale="85" orientation="landscape" r:id="rId5"/>
  <rowBreaks count="1" manualBreakCount="1">
    <brk id="48" min="2" max="1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AA86"/>
  <sheetViews>
    <sheetView showGridLines="0" topLeftCell="B1" zoomScaleNormal="100" zoomScaleSheetLayoutView="100" workbookViewId="0">
      <selection activeCell="A2" sqref="A2:M2"/>
    </sheetView>
  </sheetViews>
  <sheetFormatPr defaultColWidth="9.42578125" defaultRowHeight="11.25" x14ac:dyDescent="0.2"/>
  <cols>
    <col min="1" max="1" width="9.42578125" style="28" hidden="1" customWidth="1"/>
    <col min="2" max="2" width="6.5703125" style="28" customWidth="1"/>
    <col min="3" max="3" width="8.5703125" style="28" customWidth="1"/>
    <col min="4" max="4" width="6.5703125" style="28" customWidth="1"/>
    <col min="5" max="5" width="9.5703125" style="28" customWidth="1"/>
    <col min="6" max="6" width="4.5703125" style="28" customWidth="1"/>
    <col min="7" max="8" width="1.5703125" style="28" customWidth="1"/>
    <col min="9" max="9" width="15.5703125" style="28" customWidth="1"/>
    <col min="10" max="10" width="1.5703125" style="28" customWidth="1"/>
    <col min="11" max="11" width="19.140625" style="28" customWidth="1"/>
    <col min="12" max="12" width="1.5703125" style="28" customWidth="1"/>
    <col min="13" max="13" width="15.85546875" style="28" customWidth="1"/>
    <col min="14" max="14" width="1.5703125" style="28" customWidth="1"/>
    <col min="15" max="15" width="17.5703125" style="28" customWidth="1"/>
    <col min="16" max="16" width="1.5703125" style="28" customWidth="1"/>
    <col min="17" max="16384" width="9.42578125" style="28"/>
  </cols>
  <sheetData>
    <row r="1" spans="2:27" s="29" customFormat="1" ht="15" customHeight="1" x14ac:dyDescent="0.25">
      <c r="B1" s="2455" t="str">
        <f>+Index!$A$1</f>
        <v xml:space="preserve">                                                               Office of the State Controller                                                                </v>
      </c>
      <c r="C1" s="2455"/>
      <c r="D1" s="2455"/>
      <c r="E1" s="2455"/>
      <c r="F1" s="2455"/>
      <c r="G1" s="2455"/>
      <c r="H1" s="2455"/>
      <c r="I1" s="2455"/>
      <c r="J1" s="2455"/>
      <c r="K1" s="2455"/>
      <c r="L1" s="2455"/>
      <c r="M1" s="2455"/>
      <c r="N1" s="2520"/>
      <c r="O1" s="2520" t="str">
        <f>IF(Index!$B$40="na","NA","")</f>
        <v/>
      </c>
      <c r="AA1" s="30"/>
    </row>
    <row r="2" spans="2:27" s="29" customFormat="1" ht="15" customHeight="1" x14ac:dyDescent="0.3">
      <c r="B2" s="2582" t="str">
        <f>+Index!$A$2</f>
        <v>2023 ACFR Worksheets</v>
      </c>
      <c r="C2" s="2582"/>
      <c r="D2" s="2582"/>
      <c r="E2" s="2582"/>
      <c r="F2" s="2582"/>
      <c r="G2" s="2582"/>
      <c r="H2" s="2582"/>
      <c r="I2" s="2582"/>
      <c r="J2" s="2582"/>
      <c r="K2" s="2582"/>
      <c r="L2" s="2582"/>
      <c r="M2" s="2582"/>
      <c r="N2" s="2520"/>
      <c r="O2" s="2520"/>
    </row>
    <row r="3" spans="2:27" s="29" customFormat="1" ht="15" customHeight="1" x14ac:dyDescent="0.3">
      <c r="B3" s="2582" t="s">
        <v>1275</v>
      </c>
      <c r="C3" s="2582"/>
      <c r="D3" s="2582"/>
      <c r="E3" s="2582"/>
      <c r="F3" s="2582"/>
      <c r="G3" s="2582"/>
      <c r="H3" s="2582"/>
      <c r="I3" s="2582"/>
      <c r="J3" s="2582"/>
      <c r="K3" s="2582"/>
      <c r="L3" s="2582"/>
      <c r="M3" s="2582"/>
      <c r="N3" s="2520"/>
      <c r="O3" s="2520"/>
    </row>
    <row r="4" spans="2:27" s="89" customFormat="1" ht="13.35" customHeight="1" x14ac:dyDescent="0.2">
      <c r="B4" s="160"/>
      <c r="C4" s="160"/>
      <c r="D4" s="160"/>
      <c r="E4" s="160"/>
      <c r="F4" s="160"/>
      <c r="G4" s="160"/>
      <c r="H4" s="160"/>
      <c r="I4" s="90"/>
      <c r="J4" s="90"/>
      <c r="K4" s="257"/>
      <c r="L4" s="160"/>
      <c r="M4" s="160"/>
      <c r="N4" s="160"/>
      <c r="O4" s="160"/>
      <c r="P4" s="160"/>
      <c r="Q4" s="160"/>
      <c r="R4" s="160"/>
      <c r="S4" s="160"/>
      <c r="T4" s="160"/>
      <c r="U4" s="160"/>
      <c r="V4" s="160"/>
      <c r="W4" s="160"/>
      <c r="X4" s="160"/>
      <c r="Y4" s="160"/>
      <c r="Z4" s="160"/>
      <c r="AA4" s="160"/>
    </row>
    <row r="5" spans="2:27" s="89" customFormat="1" ht="15" customHeight="1" x14ac:dyDescent="0.2">
      <c r="B5" s="160"/>
      <c r="C5" s="160"/>
      <c r="D5" s="2583"/>
      <c r="E5" s="2583"/>
      <c r="F5" s="160"/>
      <c r="G5" s="160"/>
      <c r="H5" s="160"/>
      <c r="I5" s="1733" t="s">
        <v>317</v>
      </c>
      <c r="J5" s="1733"/>
      <c r="K5" s="2492" t="str">
        <f>+Index!$E$10</f>
        <v>01</v>
      </c>
      <c r="L5" s="2492"/>
      <c r="M5" s="2492"/>
      <c r="N5" s="160"/>
      <c r="O5" s="160"/>
      <c r="P5" s="160"/>
      <c r="Q5" s="160"/>
      <c r="R5" s="160"/>
      <c r="S5" s="160"/>
      <c r="T5" s="160"/>
      <c r="U5" s="160"/>
      <c r="V5" s="160"/>
      <c r="W5" s="160"/>
      <c r="X5" s="160"/>
      <c r="Y5" s="160"/>
      <c r="Z5" s="160"/>
      <c r="AA5" s="160"/>
    </row>
    <row r="6" spans="2:27" s="89" customFormat="1" ht="15" customHeight="1" x14ac:dyDescent="0.2">
      <c r="B6" s="160"/>
      <c r="C6" s="160"/>
      <c r="D6" s="160"/>
      <c r="E6" s="160"/>
      <c r="F6" s="160"/>
      <c r="G6" s="160"/>
      <c r="H6" s="160"/>
      <c r="I6" s="1733" t="s">
        <v>318</v>
      </c>
      <c r="J6" s="1733"/>
      <c r="K6" s="2545" t="str">
        <f>+Index!$E$11</f>
        <v>North Carolina General Assembly</v>
      </c>
      <c r="L6" s="2545"/>
      <c r="M6" s="2545"/>
      <c r="N6" s="160"/>
      <c r="O6" s="160"/>
      <c r="P6" s="160"/>
      <c r="Q6" s="160"/>
      <c r="R6" s="160"/>
      <c r="S6" s="160"/>
      <c r="T6" s="160"/>
      <c r="U6" s="160"/>
      <c r="V6" s="160"/>
      <c r="W6" s="160"/>
      <c r="X6" s="160"/>
      <c r="Y6" s="160"/>
      <c r="Z6" s="160"/>
      <c r="AA6" s="160"/>
    </row>
    <row r="7" spans="2:27" s="89" customFormat="1" ht="15" customHeight="1" x14ac:dyDescent="0.2">
      <c r="B7" s="160" t="s">
        <v>568</v>
      </c>
      <c r="C7" s="160"/>
      <c r="D7" s="2572" t="s">
        <v>698</v>
      </c>
      <c r="E7" s="2572"/>
      <c r="F7" s="160"/>
      <c r="G7" s="160"/>
      <c r="H7" s="160"/>
      <c r="I7" s="1733" t="s">
        <v>319</v>
      </c>
      <c r="J7" s="1733"/>
      <c r="K7" s="2546" t="str">
        <f>CONCATENATE(Index!$E$12," ",Index!$E$14)</f>
        <v xml:space="preserve"> </v>
      </c>
      <c r="L7" s="2546"/>
      <c r="M7" s="2546"/>
      <c r="N7" s="160"/>
      <c r="O7" s="160"/>
      <c r="P7" s="160"/>
      <c r="Q7" s="160"/>
      <c r="R7" s="160"/>
      <c r="S7" s="160"/>
      <c r="T7" s="160"/>
      <c r="U7" s="160"/>
      <c r="V7" s="160"/>
      <c r="W7" s="160"/>
      <c r="X7" s="160"/>
      <c r="Y7" s="160"/>
      <c r="Z7" s="160"/>
      <c r="AA7" s="160"/>
    </row>
    <row r="8" spans="2:27" s="89" customFormat="1" ht="15" customHeight="1" x14ac:dyDescent="0.2">
      <c r="B8" s="160"/>
      <c r="C8" s="160"/>
      <c r="D8" s="2260"/>
      <c r="E8" s="2260"/>
      <c r="F8" s="160"/>
      <c r="G8" s="160"/>
      <c r="H8" s="160"/>
      <c r="I8" s="1733" t="s">
        <v>71</v>
      </c>
      <c r="J8" s="1733"/>
      <c r="K8" s="2546">
        <f>+Index!$E$13</f>
        <v>0</v>
      </c>
      <c r="L8" s="2546"/>
      <c r="M8" s="2546"/>
      <c r="N8" s="160"/>
      <c r="O8" s="160"/>
      <c r="P8" s="160"/>
      <c r="Q8" s="160"/>
      <c r="R8" s="160"/>
      <c r="S8" s="160"/>
      <c r="T8" s="160"/>
      <c r="U8" s="160"/>
      <c r="V8" s="160"/>
      <c r="W8" s="160"/>
      <c r="X8" s="160"/>
      <c r="Y8" s="160"/>
      <c r="Z8" s="160"/>
      <c r="AA8" s="160"/>
    </row>
    <row r="9" spans="2:27" s="89" customFormat="1" ht="5.25" customHeight="1" thickBot="1" x14ac:dyDescent="0.25">
      <c r="B9" s="1735"/>
      <c r="C9" s="1735"/>
      <c r="D9" s="1735"/>
      <c r="E9" s="1735"/>
      <c r="F9" s="1735"/>
      <c r="G9" s="1735"/>
      <c r="H9" s="1735"/>
      <c r="I9" s="1735"/>
      <c r="J9" s="1735"/>
      <c r="K9" s="1735"/>
      <c r="L9" s="1735"/>
      <c r="M9" s="1735"/>
      <c r="N9" s="160"/>
      <c r="O9" s="160"/>
      <c r="P9" s="160"/>
      <c r="Q9" s="160"/>
      <c r="R9" s="160"/>
      <c r="S9" s="160"/>
      <c r="T9" s="160"/>
      <c r="U9" s="160"/>
      <c r="V9" s="160"/>
      <c r="W9" s="160"/>
      <c r="X9" s="160"/>
      <c r="Y9" s="160"/>
      <c r="Z9" s="160"/>
      <c r="AA9" s="160"/>
    </row>
    <row r="10" spans="2:27" s="89" customFormat="1" ht="11.1" customHeight="1" x14ac:dyDescent="0.2">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row>
    <row r="11" spans="2:27" s="89" customFormat="1" ht="15" customHeight="1" x14ac:dyDescent="0.2">
      <c r="B11" s="2587" t="s">
        <v>1276</v>
      </c>
      <c r="C11" s="2587"/>
      <c r="D11" s="2587"/>
      <c r="E11" s="2587"/>
      <c r="F11" s="2587"/>
      <c r="G11" s="2587"/>
      <c r="H11" s="2587"/>
      <c r="I11" s="2587"/>
      <c r="J11" s="2587"/>
      <c r="K11" s="2587"/>
      <c r="L11" s="2587"/>
      <c r="M11" s="2587"/>
      <c r="N11" s="160"/>
      <c r="O11" s="160"/>
      <c r="P11" s="160"/>
      <c r="Q11" s="160"/>
      <c r="R11" s="160"/>
      <c r="S11" s="160"/>
      <c r="T11" s="160"/>
      <c r="U11" s="160"/>
      <c r="V11" s="160"/>
      <c r="W11" s="160"/>
      <c r="X11" s="160"/>
      <c r="Y11" s="160"/>
      <c r="Z11" s="160"/>
      <c r="AA11" s="160"/>
    </row>
    <row r="12" spans="2:27" s="89" customFormat="1" ht="14.1" customHeight="1" x14ac:dyDescent="0.2">
      <c r="B12" s="2587"/>
      <c r="C12" s="2587"/>
      <c r="D12" s="2587"/>
      <c r="E12" s="2587"/>
      <c r="F12" s="2587"/>
      <c r="G12" s="2587"/>
      <c r="H12" s="2587"/>
      <c r="I12" s="2587"/>
      <c r="J12" s="2587"/>
      <c r="K12" s="2587"/>
      <c r="L12" s="2587"/>
      <c r="M12" s="2587"/>
      <c r="N12" s="160"/>
      <c r="O12" s="160"/>
      <c r="P12" s="160"/>
      <c r="Q12" s="160"/>
      <c r="R12" s="160"/>
      <c r="S12" s="160"/>
      <c r="T12" s="160"/>
      <c r="U12" s="160"/>
      <c r="V12" s="160"/>
      <c r="W12" s="160"/>
      <c r="X12" s="160"/>
      <c r="Y12" s="160"/>
      <c r="Z12" s="160"/>
      <c r="AA12" s="160"/>
    </row>
    <row r="13" spans="2:27" s="89" customFormat="1" ht="9" customHeight="1" x14ac:dyDescent="0.2">
      <c r="B13" s="2263"/>
      <c r="C13" s="2263"/>
      <c r="D13" s="2263"/>
      <c r="E13" s="2263"/>
      <c r="F13" s="2263"/>
      <c r="G13" s="2263"/>
      <c r="H13" s="2263"/>
      <c r="I13" s="2263"/>
      <c r="J13" s="2263"/>
      <c r="K13" s="2263"/>
      <c r="L13" s="2263"/>
      <c r="M13" s="2263"/>
      <c r="N13" s="160"/>
      <c r="O13" s="160"/>
      <c r="P13" s="160"/>
      <c r="Q13" s="160"/>
      <c r="R13" s="160"/>
      <c r="S13" s="160"/>
      <c r="T13" s="160"/>
      <c r="U13" s="160"/>
      <c r="V13" s="160"/>
      <c r="W13" s="160"/>
      <c r="X13" s="160"/>
      <c r="Y13" s="160"/>
      <c r="Z13" s="160"/>
      <c r="AA13" s="160"/>
    </row>
    <row r="14" spans="2:27" s="89" customFormat="1" ht="15" customHeight="1" x14ac:dyDescent="0.2">
      <c r="B14" s="2" t="s">
        <v>1277</v>
      </c>
      <c r="C14" s="159"/>
      <c r="D14" s="159"/>
      <c r="E14" s="159"/>
      <c r="F14" s="159"/>
      <c r="G14" s="159"/>
      <c r="H14" s="159"/>
      <c r="I14" s="159"/>
      <c r="J14" s="159"/>
      <c r="K14" s="159"/>
      <c r="L14" s="159"/>
      <c r="M14" s="159"/>
      <c r="N14" s="160"/>
      <c r="O14" s="90" t="s">
        <v>524</v>
      </c>
      <c r="P14" s="160"/>
      <c r="Q14" s="160"/>
      <c r="R14" s="160"/>
      <c r="S14" s="160"/>
      <c r="T14" s="160"/>
      <c r="U14" s="160"/>
      <c r="V14" s="160"/>
      <c r="W14" s="160"/>
      <c r="X14" s="160"/>
      <c r="Y14" s="160"/>
      <c r="Z14" s="160"/>
      <c r="AA14" s="160"/>
    </row>
    <row r="15" spans="2:27" s="89" customFormat="1" ht="14.1" customHeight="1" x14ac:dyDescent="0.2">
      <c r="B15" s="159" t="s">
        <v>1278</v>
      </c>
      <c r="C15" s="159"/>
      <c r="D15" s="159"/>
      <c r="E15" s="159"/>
      <c r="F15" s="159"/>
      <c r="G15" s="159"/>
      <c r="H15" s="159"/>
      <c r="I15" s="159"/>
      <c r="J15" s="159"/>
      <c r="K15" s="159"/>
      <c r="L15" s="159"/>
      <c r="M15" s="159"/>
      <c r="N15" s="160"/>
      <c r="O15" s="90" t="s">
        <v>1279</v>
      </c>
      <c r="P15" s="160"/>
      <c r="Q15" s="160"/>
      <c r="R15" s="160"/>
      <c r="S15" s="160"/>
      <c r="T15" s="160"/>
      <c r="U15" s="160"/>
      <c r="V15" s="160"/>
      <c r="W15" s="160"/>
      <c r="X15" s="160"/>
      <c r="Y15" s="160"/>
      <c r="Z15" s="160"/>
      <c r="AA15" s="160"/>
    </row>
    <row r="16" spans="2:27" s="89" customFormat="1" ht="14.1" customHeight="1" x14ac:dyDescent="0.2">
      <c r="B16" s="1" t="str">
        <f>CONCATENATE("For debt defeased, in substance, PRIOR to ",+TEXT(Data!$A$3,"mmmm d, yyyy"),":")</f>
        <v>For debt defeased, in substance, PRIOR to July 1, 2022:</v>
      </c>
      <c r="C16" s="159"/>
      <c r="D16" s="159"/>
      <c r="E16" s="159"/>
      <c r="F16" s="159"/>
      <c r="G16" s="159"/>
      <c r="H16" s="159"/>
      <c r="I16" s="159"/>
      <c r="J16" s="159"/>
      <c r="K16" s="159"/>
      <c r="L16" s="159"/>
      <c r="M16" s="159"/>
      <c r="N16" s="160"/>
      <c r="O16" s="646" t="s">
        <v>1280</v>
      </c>
      <c r="P16" s="160"/>
      <c r="Q16" s="160"/>
      <c r="R16" s="160"/>
      <c r="S16" s="160"/>
      <c r="T16" s="160"/>
      <c r="U16" s="160"/>
      <c r="V16" s="160"/>
      <c r="W16" s="160"/>
      <c r="X16" s="160"/>
      <c r="Y16" s="160"/>
      <c r="Z16" s="160"/>
      <c r="AA16" s="160"/>
    </row>
    <row r="17" spans="2:15" s="89" customFormat="1" ht="14.1" customHeight="1" x14ac:dyDescent="0.2">
      <c r="B17" s="1"/>
      <c r="C17" s="159"/>
      <c r="D17" s="159"/>
      <c r="E17" s="159"/>
      <c r="F17" s="159"/>
      <c r="G17" s="159"/>
      <c r="H17" s="159"/>
      <c r="I17" s="159"/>
      <c r="J17" s="159"/>
      <c r="K17" s="159"/>
      <c r="L17" s="159"/>
      <c r="M17" s="159"/>
      <c r="N17" s="160"/>
      <c r="O17" s="646" t="s">
        <v>1281</v>
      </c>
    </row>
    <row r="18" spans="2:15" s="89" customFormat="1" ht="12.75" customHeight="1" x14ac:dyDescent="0.2">
      <c r="B18" s="159"/>
      <c r="C18" s="159"/>
      <c r="D18" s="159"/>
      <c r="E18" s="159"/>
      <c r="F18" s="159"/>
      <c r="G18" s="159"/>
      <c r="H18" s="159"/>
      <c r="I18" s="159"/>
      <c r="J18" s="159"/>
      <c r="K18" s="2231" t="s">
        <v>508</v>
      </c>
      <c r="L18" s="160"/>
      <c r="M18" s="646" t="s">
        <v>1282</v>
      </c>
      <c r="N18" s="160"/>
      <c r="O18" s="2231" t="s">
        <v>1283</v>
      </c>
    </row>
    <row r="19" spans="2:15" s="89" customFormat="1" ht="12.75" customHeight="1" x14ac:dyDescent="0.2">
      <c r="B19" s="2503" t="s">
        <v>1284</v>
      </c>
      <c r="C19" s="2503"/>
      <c r="D19" s="2503"/>
      <c r="E19" s="2503"/>
      <c r="F19" s="2503"/>
      <c r="G19" s="2503"/>
      <c r="H19" s="2503"/>
      <c r="I19" s="2503"/>
      <c r="J19" s="159"/>
      <c r="K19" s="2231" t="s">
        <v>1285</v>
      </c>
      <c r="L19" s="160"/>
      <c r="M19" s="2231" t="s">
        <v>1286</v>
      </c>
      <c r="N19" s="160"/>
      <c r="O19" s="90" t="s">
        <v>1287</v>
      </c>
    </row>
    <row r="20" spans="2:15" s="89" customFormat="1" ht="12.75" customHeight="1" x14ac:dyDescent="0.2">
      <c r="B20" s="2585" t="s">
        <v>1288</v>
      </c>
      <c r="C20" s="2585"/>
      <c r="D20" s="2585"/>
      <c r="E20" s="2585"/>
      <c r="F20" s="2585"/>
      <c r="G20" s="2585"/>
      <c r="H20" s="2585"/>
      <c r="I20" s="2585"/>
      <c r="J20" s="2231"/>
      <c r="K20" s="76">
        <f>+Data!$A$2</f>
        <v>45107</v>
      </c>
      <c r="L20" s="160"/>
      <c r="M20" s="76" t="s">
        <v>1289</v>
      </c>
      <c r="N20" s="160"/>
      <c r="O20" s="76" t="s">
        <v>1290</v>
      </c>
    </row>
    <row r="21" spans="2:15" s="89" customFormat="1" ht="14.1" customHeight="1" x14ac:dyDescent="0.2">
      <c r="B21" s="2548"/>
      <c r="C21" s="2586"/>
      <c r="D21" s="2586"/>
      <c r="E21" s="2586"/>
      <c r="F21" s="2586"/>
      <c r="G21" s="2586"/>
      <c r="H21" s="2586"/>
      <c r="I21" s="2586"/>
      <c r="J21" s="2332"/>
      <c r="K21" s="1797"/>
      <c r="L21" s="160"/>
      <c r="M21" s="1092"/>
      <c r="N21" s="160"/>
      <c r="O21" s="1797"/>
    </row>
    <row r="22" spans="2:15" s="89" customFormat="1" ht="14.1" customHeight="1" x14ac:dyDescent="0.2">
      <c r="B22" s="2548"/>
      <c r="C22" s="2586"/>
      <c r="D22" s="2586"/>
      <c r="E22" s="2586"/>
      <c r="F22" s="2586"/>
      <c r="G22" s="2586"/>
      <c r="H22" s="2586"/>
      <c r="I22" s="2586"/>
      <c r="J22" s="2332"/>
      <c r="K22" s="1797"/>
      <c r="L22" s="160"/>
      <c r="M22" s="1092"/>
      <c r="N22" s="160"/>
      <c r="O22" s="1797"/>
    </row>
    <row r="23" spans="2:15" s="89" customFormat="1" ht="14.1" customHeight="1" x14ac:dyDescent="0.2">
      <c r="B23" s="2548"/>
      <c r="C23" s="2586"/>
      <c r="D23" s="2586"/>
      <c r="E23" s="2586"/>
      <c r="F23" s="2586"/>
      <c r="G23" s="2586"/>
      <c r="H23" s="2586"/>
      <c r="I23" s="2586"/>
      <c r="J23" s="2332"/>
      <c r="K23" s="1797"/>
      <c r="L23" s="160"/>
      <c r="M23" s="1092"/>
      <c r="N23" s="160"/>
      <c r="O23" s="1797"/>
    </row>
    <row r="24" spans="2:15" s="89" customFormat="1" ht="14.1" customHeight="1" x14ac:dyDescent="0.2">
      <c r="B24" s="2548"/>
      <c r="C24" s="2586"/>
      <c r="D24" s="2586"/>
      <c r="E24" s="2586"/>
      <c r="F24" s="2586"/>
      <c r="G24" s="2586"/>
      <c r="H24" s="2586"/>
      <c r="I24" s="2586"/>
      <c r="J24" s="2332"/>
      <c r="K24" s="1797"/>
      <c r="L24" s="160"/>
      <c r="M24" s="1092"/>
      <c r="N24" s="160"/>
      <c r="O24" s="1797"/>
    </row>
    <row r="25" spans="2:15" s="89" customFormat="1" ht="14.1" customHeight="1" x14ac:dyDescent="0.2">
      <c r="B25" s="2548"/>
      <c r="C25" s="2586"/>
      <c r="D25" s="2586"/>
      <c r="E25" s="2586"/>
      <c r="F25" s="2586"/>
      <c r="G25" s="2586"/>
      <c r="H25" s="2586"/>
      <c r="I25" s="2586"/>
      <c r="J25" s="2332"/>
      <c r="K25" s="1797"/>
      <c r="L25" s="160"/>
      <c r="M25" s="1092"/>
      <c r="N25" s="160"/>
      <c r="O25" s="1797"/>
    </row>
    <row r="26" spans="2:15" s="89" customFormat="1" ht="14.1" customHeight="1" x14ac:dyDescent="0.2">
      <c r="B26" s="2548"/>
      <c r="C26" s="2586"/>
      <c r="D26" s="2586"/>
      <c r="E26" s="2586"/>
      <c r="F26" s="2586"/>
      <c r="G26" s="2586"/>
      <c r="H26" s="2586"/>
      <c r="I26" s="2586"/>
      <c r="J26" s="2332"/>
      <c r="K26" s="1797"/>
      <c r="L26" s="160"/>
      <c r="M26" s="1092"/>
      <c r="N26" s="160"/>
      <c r="O26" s="1797"/>
    </row>
    <row r="27" spans="2:15" s="89" customFormat="1" ht="14.1" customHeight="1" x14ac:dyDescent="0.2">
      <c r="B27" s="2548"/>
      <c r="C27" s="2586"/>
      <c r="D27" s="2586"/>
      <c r="E27" s="2586"/>
      <c r="F27" s="2586"/>
      <c r="G27" s="2586"/>
      <c r="H27" s="2586"/>
      <c r="I27" s="2586"/>
      <c r="J27" s="2332"/>
      <c r="K27" s="1797"/>
      <c r="L27" s="160"/>
      <c r="M27" s="1092"/>
      <c r="N27" s="160"/>
      <c r="O27" s="1797"/>
    </row>
    <row r="28" spans="2:15" s="89" customFormat="1" ht="14.1" customHeight="1" x14ac:dyDescent="0.2">
      <c r="B28" s="2548"/>
      <c r="C28" s="2586"/>
      <c r="D28" s="2586"/>
      <c r="E28" s="2586"/>
      <c r="F28" s="2586"/>
      <c r="G28" s="2586"/>
      <c r="H28" s="2586"/>
      <c r="I28" s="2586"/>
      <c r="J28" s="2332"/>
      <c r="K28" s="1797"/>
      <c r="L28" s="160"/>
      <c r="M28" s="1092"/>
      <c r="N28" s="160"/>
      <c r="O28" s="1797"/>
    </row>
    <row r="29" spans="2:15" s="89" customFormat="1" ht="14.1" customHeight="1" x14ac:dyDescent="0.2">
      <c r="B29" s="2548"/>
      <c r="C29" s="2586"/>
      <c r="D29" s="2586"/>
      <c r="E29" s="2586"/>
      <c r="F29" s="2586"/>
      <c r="G29" s="2586"/>
      <c r="H29" s="2586"/>
      <c r="I29" s="2586"/>
      <c r="J29" s="2332"/>
      <c r="K29" s="1797"/>
      <c r="L29" s="160"/>
      <c r="M29" s="1092"/>
      <c r="N29" s="160"/>
      <c r="O29" s="1797"/>
    </row>
    <row r="30" spans="2:15" s="89" customFormat="1" ht="4.3499999999999996" customHeight="1" x14ac:dyDescent="0.2">
      <c r="B30" s="159"/>
      <c r="C30" s="159"/>
      <c r="D30" s="159"/>
      <c r="E30" s="159"/>
      <c r="F30" s="159"/>
      <c r="G30" s="159"/>
      <c r="H30" s="159"/>
      <c r="I30" s="159"/>
      <c r="J30" s="159"/>
      <c r="K30" s="159"/>
      <c r="L30" s="159"/>
      <c r="M30" s="159"/>
      <c r="N30" s="160"/>
      <c r="O30" s="160"/>
    </row>
    <row r="31" spans="2:15" s="89" customFormat="1" ht="16.5" x14ac:dyDescent="0.2">
      <c r="B31" s="647" t="s">
        <v>1291</v>
      </c>
      <c r="C31" s="159"/>
      <c r="D31" s="159"/>
      <c r="E31" s="159"/>
      <c r="F31" s="159"/>
      <c r="G31" s="159"/>
      <c r="H31" s="159"/>
      <c r="I31" s="159"/>
      <c r="J31" s="159"/>
      <c r="K31" s="159"/>
      <c r="L31" s="159"/>
      <c r="M31" s="159"/>
      <c r="N31" s="160"/>
      <c r="O31" s="160"/>
    </row>
    <row r="32" spans="2:15" s="89" customFormat="1" ht="12.75" x14ac:dyDescent="0.2">
      <c r="B32" s="1235" t="s">
        <v>1292</v>
      </c>
      <c r="C32" s="159"/>
      <c r="D32" s="159"/>
      <c r="E32" s="159"/>
      <c r="F32" s="159"/>
      <c r="G32" s="159"/>
      <c r="H32" s="159"/>
      <c r="I32" s="159"/>
      <c r="J32" s="159"/>
      <c r="K32" s="159"/>
      <c r="L32" s="159"/>
      <c r="M32" s="159"/>
      <c r="N32" s="160"/>
      <c r="O32" s="160"/>
    </row>
    <row r="33" spans="2:13" s="89" customFormat="1" ht="15" customHeight="1" x14ac:dyDescent="0.2">
      <c r="B33" s="647" t="s">
        <v>1293</v>
      </c>
      <c r="C33" s="159"/>
      <c r="D33" s="159"/>
      <c r="E33" s="159"/>
      <c r="F33" s="159"/>
      <c r="G33" s="159"/>
      <c r="H33" s="159"/>
      <c r="I33" s="159"/>
      <c r="J33" s="159"/>
      <c r="K33" s="159"/>
      <c r="L33" s="159"/>
      <c r="M33" s="159"/>
    </row>
    <row r="34" spans="2:13" s="89" customFormat="1" ht="15" customHeight="1" x14ac:dyDescent="0.2">
      <c r="B34" s="647" t="s">
        <v>1294</v>
      </c>
      <c r="C34" s="159"/>
      <c r="D34" s="159"/>
      <c r="E34" s="159"/>
      <c r="F34" s="159"/>
      <c r="G34" s="159"/>
      <c r="H34" s="159"/>
      <c r="I34" s="159"/>
      <c r="J34" s="159"/>
      <c r="K34" s="159"/>
      <c r="L34" s="159"/>
      <c r="M34" s="159"/>
    </row>
    <row r="35" spans="2:13" s="89" customFormat="1" ht="15" customHeight="1" x14ac:dyDescent="0.2">
      <c r="B35" s="1235" t="s">
        <v>1295</v>
      </c>
      <c r="C35" s="159"/>
      <c r="D35" s="159"/>
      <c r="E35" s="159"/>
      <c r="F35" s="159"/>
      <c r="G35" s="159"/>
      <c r="H35" s="159"/>
      <c r="I35" s="159"/>
      <c r="J35" s="159"/>
      <c r="K35" s="159"/>
      <c r="L35" s="159"/>
      <c r="M35" s="159"/>
    </row>
    <row r="36" spans="2:13" s="89" customFormat="1" ht="7.35" customHeight="1" x14ac:dyDescent="0.2">
      <c r="B36" s="159"/>
      <c r="C36" s="159"/>
      <c r="D36" s="159"/>
      <c r="E36" s="159"/>
      <c r="F36" s="159"/>
      <c r="G36" s="159"/>
      <c r="H36" s="159"/>
      <c r="I36" s="159"/>
      <c r="J36" s="159"/>
      <c r="K36" s="159"/>
      <c r="L36" s="159"/>
      <c r="M36" s="159"/>
    </row>
    <row r="37" spans="2:13" s="89" customFormat="1" ht="15" customHeight="1" x14ac:dyDescent="0.2">
      <c r="B37" s="2" t="s">
        <v>1296</v>
      </c>
      <c r="C37" s="159"/>
      <c r="D37" s="159"/>
      <c r="E37" s="159"/>
      <c r="F37" s="159"/>
      <c r="G37" s="159"/>
      <c r="H37" s="159"/>
      <c r="I37" s="159"/>
      <c r="J37" s="159"/>
      <c r="K37" s="159"/>
      <c r="L37" s="159"/>
      <c r="M37" s="159"/>
    </row>
    <row r="38" spans="2:13" s="89" customFormat="1" ht="15" customHeight="1" x14ac:dyDescent="0.2">
      <c r="B38" s="159" t="s">
        <v>1297</v>
      </c>
      <c r="C38" s="159"/>
      <c r="D38" s="159"/>
      <c r="E38" s="159"/>
      <c r="F38" s="159"/>
      <c r="G38" s="159"/>
      <c r="H38" s="159"/>
      <c r="I38" s="159"/>
      <c r="J38" s="159"/>
      <c r="K38" s="159"/>
      <c r="L38" s="159"/>
      <c r="M38" s="159"/>
    </row>
    <row r="39" spans="2:13" s="89" customFormat="1" ht="15" customHeight="1" x14ac:dyDescent="0.2">
      <c r="B39" s="1" t="str">
        <f>CONCATENATE("For debt defeased in the CURRENT fiscal year ",+YEAR(Data!$A$3),"-",+YEAR(Data!$A$2),":")</f>
        <v>For debt defeased in the CURRENT fiscal year 2022-2023:</v>
      </c>
      <c r="C39" s="159"/>
      <c r="D39" s="159"/>
      <c r="E39" s="159"/>
      <c r="F39" s="159"/>
      <c r="G39" s="159"/>
      <c r="H39" s="159"/>
      <c r="I39" s="159"/>
      <c r="J39" s="159"/>
      <c r="K39" s="159"/>
      <c r="L39" s="159"/>
      <c r="M39" s="159"/>
    </row>
    <row r="40" spans="2:13" s="89" customFormat="1" ht="14.1" customHeight="1" x14ac:dyDescent="0.2">
      <c r="B40" s="2584" t="s">
        <v>1298</v>
      </c>
      <c r="C40" s="2584"/>
      <c r="D40" s="2584"/>
      <c r="E40" s="2584"/>
      <c r="F40" s="2584"/>
      <c r="G40" s="2584"/>
      <c r="H40" s="2584"/>
      <c r="I40" s="2584"/>
      <c r="J40" s="2584"/>
      <c r="K40" s="2584"/>
      <c r="L40" s="2584"/>
      <c r="M40" s="2584"/>
    </row>
    <row r="41" spans="2:13" s="89" customFormat="1" ht="14.1" customHeight="1" x14ac:dyDescent="0.2">
      <c r="B41" s="2584"/>
      <c r="C41" s="2584"/>
      <c r="D41" s="2584"/>
      <c r="E41" s="2584"/>
      <c r="F41" s="2584"/>
      <c r="G41" s="2584"/>
      <c r="H41" s="2584"/>
      <c r="I41" s="2584"/>
      <c r="J41" s="2584"/>
      <c r="K41" s="2584"/>
      <c r="L41" s="2584"/>
      <c r="M41" s="2584"/>
    </row>
    <row r="42" spans="2:13" s="89" customFormat="1" ht="14.1" customHeight="1" x14ac:dyDescent="0.2">
      <c r="B42" s="420" t="s">
        <v>1299</v>
      </c>
      <c r="C42" s="226"/>
      <c r="D42" s="226"/>
      <c r="E42" s="226"/>
      <c r="F42" s="226"/>
      <c r="G42" s="226"/>
      <c r="H42" s="226"/>
      <c r="I42" s="226"/>
      <c r="J42" s="226"/>
      <c r="K42" s="226"/>
      <c r="L42" s="226"/>
      <c r="M42" s="226"/>
    </row>
    <row r="43" spans="2:13" s="89" customFormat="1" ht="8.1" customHeight="1" thickBot="1" x14ac:dyDescent="0.25">
      <c r="B43" s="227"/>
      <c r="C43" s="227"/>
      <c r="D43" s="227"/>
      <c r="E43" s="227"/>
      <c r="F43" s="227"/>
      <c r="G43" s="227"/>
      <c r="H43" s="227"/>
      <c r="I43" s="227"/>
      <c r="J43" s="227"/>
      <c r="K43" s="227"/>
      <c r="L43" s="227"/>
      <c r="M43" s="227"/>
    </row>
    <row r="44" spans="2:13" s="89" customFormat="1" ht="6" customHeight="1" x14ac:dyDescent="0.2">
      <c r="B44" s="2244"/>
      <c r="C44" s="2244"/>
      <c r="D44" s="2244"/>
      <c r="E44" s="2244"/>
      <c r="F44" s="2244"/>
      <c r="G44" s="2244"/>
      <c r="H44" s="2244"/>
      <c r="I44" s="2244"/>
      <c r="J44" s="2244"/>
      <c r="K44" s="2244"/>
      <c r="L44" s="2244"/>
      <c r="M44" s="2244"/>
    </row>
    <row r="45" spans="2:13" s="89" customFormat="1" ht="15" customHeight="1" x14ac:dyDescent="0.2">
      <c r="B45" s="155" t="s">
        <v>1300</v>
      </c>
      <c r="C45" s="154"/>
      <c r="D45" s="154"/>
      <c r="E45" s="154"/>
      <c r="F45" s="154"/>
      <c r="G45" s="154"/>
      <c r="H45" s="154"/>
      <c r="I45" s="154"/>
      <c r="J45" s="154"/>
      <c r="K45" s="154"/>
      <c r="L45" s="154"/>
      <c r="M45" s="154"/>
    </row>
    <row r="46" spans="2:13" s="89" customFormat="1" ht="14.1" customHeight="1" x14ac:dyDescent="0.2">
      <c r="B46" s="157" t="s">
        <v>1301</v>
      </c>
      <c r="C46" s="156"/>
      <c r="D46" s="156"/>
      <c r="E46" s="156"/>
      <c r="F46" s="156"/>
      <c r="G46" s="156"/>
      <c r="H46" s="156"/>
      <c r="I46" s="156"/>
      <c r="J46" s="156"/>
      <c r="K46" s="154"/>
      <c r="L46" s="154"/>
      <c r="M46" s="154"/>
    </row>
    <row r="47" spans="2:13" s="160" customFormat="1" ht="14.1" customHeight="1" x14ac:dyDescent="0.2">
      <c r="B47" s="158" t="s">
        <v>1302</v>
      </c>
      <c r="C47" s="159"/>
      <c r="D47" s="159"/>
      <c r="E47" s="159"/>
      <c r="F47" s="159"/>
      <c r="G47" s="159"/>
      <c r="H47" s="159"/>
      <c r="I47" s="159"/>
      <c r="J47" s="159"/>
      <c r="K47" s="159"/>
      <c r="L47" s="159"/>
      <c r="M47" s="298"/>
    </row>
    <row r="48" spans="2:13" s="160" customFormat="1" ht="14.1" customHeight="1" x14ac:dyDescent="0.2">
      <c r="B48" s="158" t="s">
        <v>1303</v>
      </c>
      <c r="C48" s="159"/>
      <c r="D48" s="159"/>
      <c r="E48" s="159"/>
      <c r="F48" s="159"/>
      <c r="G48" s="159"/>
      <c r="H48" s="159"/>
      <c r="I48" s="159"/>
      <c r="J48" s="159"/>
      <c r="K48" s="159"/>
      <c r="L48" s="159"/>
      <c r="M48" s="299"/>
    </row>
    <row r="49" spans="2:13" s="160" customFormat="1" ht="14.1" customHeight="1" x14ac:dyDescent="0.2">
      <c r="B49" s="160" t="s">
        <v>1304</v>
      </c>
      <c r="M49" s="229"/>
    </row>
    <row r="50" spans="2:13" s="160" customFormat="1" ht="14.1" customHeight="1" x14ac:dyDescent="0.2">
      <c r="B50" s="158" t="s">
        <v>1305</v>
      </c>
      <c r="C50" s="158"/>
      <c r="K50" s="298"/>
      <c r="M50" s="230"/>
    </row>
    <row r="51" spans="2:13" s="160" customFormat="1" ht="14.1" customHeight="1" x14ac:dyDescent="0.2">
      <c r="B51" s="158" t="s">
        <v>1306</v>
      </c>
      <c r="C51" s="158"/>
      <c r="K51" s="298"/>
      <c r="M51" s="230"/>
    </row>
    <row r="52" spans="2:13" s="160" customFormat="1" ht="14.1" customHeight="1" x14ac:dyDescent="0.2">
      <c r="B52" s="158" t="s">
        <v>1307</v>
      </c>
      <c r="C52" s="158"/>
      <c r="K52" s="298"/>
      <c r="M52" s="230">
        <v>0</v>
      </c>
    </row>
    <row r="53" spans="2:13" s="160" customFormat="1" ht="14.1" customHeight="1" x14ac:dyDescent="0.2">
      <c r="B53" s="158" t="s">
        <v>1308</v>
      </c>
      <c r="C53" s="158"/>
      <c r="K53" s="299"/>
      <c r="M53" s="230"/>
    </row>
    <row r="54" spans="2:13" s="160" customFormat="1" ht="14.1" customHeight="1" x14ac:dyDescent="0.2">
      <c r="B54" s="158" t="s">
        <v>1309</v>
      </c>
      <c r="C54" s="158"/>
      <c r="K54" s="298"/>
      <c r="M54" s="230"/>
    </row>
    <row r="55" spans="2:13" s="160" customFormat="1" ht="14.1" customHeight="1" x14ac:dyDescent="0.2">
      <c r="B55" s="158" t="s">
        <v>1310</v>
      </c>
      <c r="K55" s="299"/>
      <c r="M55" s="230"/>
    </row>
    <row r="56" spans="2:13" s="160" customFormat="1" ht="14.1" customHeight="1" thickBot="1" x14ac:dyDescent="0.25">
      <c r="B56" s="161" t="s">
        <v>1304</v>
      </c>
      <c r="M56" s="645">
        <f>-SUM(K50:K55)</f>
        <v>0</v>
      </c>
    </row>
    <row r="57" spans="2:13" s="160" customFormat="1" ht="14.1" customHeight="1" x14ac:dyDescent="0.2">
      <c r="B57" s="160" t="s">
        <v>1311</v>
      </c>
      <c r="M57" s="979"/>
    </row>
    <row r="58" spans="2:13" s="162" customFormat="1" ht="14.1" customHeight="1" thickBot="1" x14ac:dyDescent="0.25">
      <c r="B58" s="306" t="s">
        <v>1312</v>
      </c>
      <c r="C58" s="160"/>
      <c r="D58" s="160"/>
      <c r="E58" s="160"/>
      <c r="F58" s="160"/>
      <c r="G58" s="160"/>
      <c r="H58" s="160"/>
      <c r="I58" s="160"/>
      <c r="J58" s="160"/>
      <c r="K58" s="160"/>
      <c r="L58" s="160"/>
      <c r="M58" s="922">
        <f>M47+M48+M56+M57</f>
        <v>0</v>
      </c>
    </row>
    <row r="59" spans="2:13" ht="14.1" customHeight="1" thickTop="1" x14ac:dyDescent="0.2">
      <c r="B59" s="160" t="s">
        <v>1313</v>
      </c>
    </row>
    <row r="60" spans="2:13" ht="4.3499999999999996" customHeight="1" x14ac:dyDescent="0.2"/>
    <row r="61" spans="2:13" ht="15" customHeight="1" x14ac:dyDescent="0.2">
      <c r="B61" s="306" t="s">
        <v>1314</v>
      </c>
      <c r="C61" s="160"/>
    </row>
    <row r="62" spans="2:13" ht="15" customHeight="1" x14ac:dyDescent="0.2">
      <c r="B62" s="158" t="s">
        <v>1315</v>
      </c>
      <c r="C62" s="160"/>
      <c r="M62" s="897"/>
    </row>
    <row r="63" spans="2:13" s="89" customFormat="1" ht="15" customHeight="1" x14ac:dyDescent="0.2">
      <c r="B63" s="158" t="s">
        <v>1316</v>
      </c>
      <c r="C63" s="159"/>
      <c r="D63" s="159"/>
      <c r="E63" s="159"/>
      <c r="F63" s="159"/>
      <c r="G63" s="159"/>
      <c r="H63" s="159"/>
      <c r="I63" s="159"/>
      <c r="J63" s="159"/>
      <c r="K63" s="160"/>
      <c r="L63" s="159"/>
      <c r="M63" s="920"/>
    </row>
    <row r="64" spans="2:13" s="89" customFormat="1" ht="15" customHeight="1" x14ac:dyDescent="0.2">
      <c r="B64" s="158" t="s">
        <v>1317</v>
      </c>
      <c r="C64" s="159"/>
      <c r="D64" s="159"/>
      <c r="E64" s="159"/>
      <c r="F64" s="159"/>
      <c r="G64" s="159"/>
      <c r="H64" s="159"/>
      <c r="I64" s="159"/>
      <c r="J64" s="159"/>
      <c r="K64" s="160"/>
      <c r="L64" s="159"/>
      <c r="M64" s="920"/>
    </row>
    <row r="65" spans="2:13" ht="14.25" customHeight="1" thickBot="1" x14ac:dyDescent="0.25">
      <c r="B65" s="158" t="s">
        <v>1318</v>
      </c>
      <c r="C65" s="160"/>
      <c r="M65" s="922">
        <f>M62+M63+M64</f>
        <v>0</v>
      </c>
    </row>
    <row r="66" spans="2:13" ht="18.75" customHeight="1" thickTop="1" x14ac:dyDescent="0.2">
      <c r="B66" s="306" t="s">
        <v>1319</v>
      </c>
      <c r="C66" s="2007"/>
    </row>
    <row r="67" spans="2:13" ht="15" customHeight="1" x14ac:dyDescent="0.2">
      <c r="B67" s="2008" t="s">
        <v>1315</v>
      </c>
      <c r="C67" s="2007"/>
      <c r="M67" s="897"/>
    </row>
    <row r="68" spans="2:13" ht="15" customHeight="1" x14ac:dyDescent="0.2">
      <c r="B68" s="2008" t="s">
        <v>1320</v>
      </c>
      <c r="C68"/>
      <c r="D68"/>
      <c r="E68"/>
      <c r="F68"/>
      <c r="G68"/>
      <c r="H68"/>
      <c r="I68"/>
      <c r="J68"/>
      <c r="K68" s="2007"/>
      <c r="L68"/>
      <c r="M68" s="920"/>
    </row>
    <row r="69" spans="2:13" ht="15" customHeight="1" x14ac:dyDescent="0.2">
      <c r="B69" s="2008" t="s">
        <v>1321</v>
      </c>
      <c r="C69"/>
      <c r="D69"/>
      <c r="E69"/>
      <c r="F69"/>
      <c r="G69"/>
      <c r="H69"/>
      <c r="I69"/>
      <c r="J69"/>
      <c r="K69" s="2007"/>
      <c r="L69"/>
      <c r="M69" s="920"/>
    </row>
    <row r="70" spans="2:13" ht="15" customHeight="1" thickBot="1" x14ac:dyDescent="0.25">
      <c r="B70" s="2008" t="s">
        <v>1322</v>
      </c>
      <c r="C70" s="2007"/>
      <c r="M70" s="922">
        <f>M67+M68+M69</f>
        <v>0</v>
      </c>
    </row>
    <row r="71" spans="2:13" ht="15" customHeight="1" thickTop="1" x14ac:dyDescent="0.2"/>
    <row r="72" spans="2:13" ht="15" customHeight="1" x14ac:dyDescent="0.2"/>
    <row r="73" spans="2:13" ht="15" customHeight="1" x14ac:dyDescent="0.2"/>
    <row r="74" spans="2:13" ht="15" customHeight="1" x14ac:dyDescent="0.2"/>
    <row r="75" spans="2:13" ht="15" customHeight="1" x14ac:dyDescent="0.2"/>
    <row r="76" spans="2:13" ht="15" customHeight="1" x14ac:dyDescent="0.2"/>
    <row r="77" spans="2:13" ht="15" customHeight="1" x14ac:dyDescent="0.2"/>
    <row r="78" spans="2:13" ht="15" customHeight="1" x14ac:dyDescent="0.2"/>
    <row r="79" spans="2:13" ht="15" customHeight="1" x14ac:dyDescent="0.2"/>
    <row r="80" spans="2:1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sheetData>
  <sheetProtection algorithmName="SHA-512" hashValue="Y8FPh1mVe+a/uc4qpKzjJfz6ReW/sAGhznNej5EPc6QPL5COrqYooMkZv7w+G8A4QvWoWSr1bws0Ifax/N3qOg==" saltValue="BOVGVy3Dj0tQr8jpHTPQOA==" spinCount="100000" sheet="1" objects="1" scenarios="1" autoFilter="0"/>
  <customSheetViews>
    <customSheetView guid="{9FCFC836-1CA5-48BF-958D-24D2EA94B219}" showGridLines="0" fitToPage="1" hiddenColumns="1" topLeftCell="B1">
      <selection activeCell="C35" sqref="C35"/>
      <pageMargins left="0" right="0" top="0" bottom="0" header="0" footer="0"/>
      <printOptions horizontalCentered="1"/>
      <pageSetup scale="97" orientation="portrait" horizontalDpi="1200" verticalDpi="1200" r:id="rId1"/>
      <headerFooter alignWithMargins="0">
        <oddFooter>&amp;R&amp;A</oddFooter>
      </headerFooter>
    </customSheetView>
    <customSheetView guid="{BEA4BE86-04D1-4C96-9358-7A260B9D2B2D}" showGridLines="0" fitToPage="1" showRuler="0">
      <selection activeCell="C7" sqref="C7:D7"/>
      <pageMargins left="0" right="0" top="0" bottom="0" header="0" footer="0"/>
      <printOptions horizontalCentered="1"/>
      <pageSetup orientation="portrait" horizontalDpi="4294967292" verticalDpi="4294967292" r:id="rId2"/>
      <headerFooter alignWithMargins="0">
        <oddFooter>&amp;R&amp;A</oddFooter>
      </headerFooter>
    </customSheetView>
    <customSheetView guid="{1250FD07-FF56-4A9D-AF9E-C27124A7EBE9}" showGridLines="0" fitToPage="1" showRuler="0">
      <selection activeCell="C7" sqref="C7:D7"/>
      <pageMargins left="0" right="0" top="0" bottom="0" header="0" footer="0"/>
      <printOptions horizontalCentered="1"/>
      <pageSetup orientation="portrait" horizontalDpi="4294967292" verticalDpi="4294967292" r:id="rId3"/>
      <headerFooter alignWithMargins="0">
        <oddFooter>&amp;R&amp;A</oddFooter>
      </headerFooter>
    </customSheetView>
    <customSheetView guid="{B08879A4-635B-4C39-9937-AC7883D562FC}" showGridLines="0" fitToPage="1" hiddenColumns="1" topLeftCell="B1">
      <selection activeCell="C35" sqref="C35"/>
      <pageMargins left="0" right="0" top="0" bottom="0" header="0" footer="0"/>
      <printOptions horizontalCentered="1"/>
      <pageSetup scale="97" orientation="portrait" horizontalDpi="1200" verticalDpi="1200" r:id="rId4"/>
      <headerFooter alignWithMargins="0">
        <oddFooter>&amp;R&amp;A</oddFooter>
      </headerFooter>
    </customSheetView>
  </customSheetViews>
  <mergeCells count="24">
    <mergeCell ref="B40:M41"/>
    <mergeCell ref="K6:M6"/>
    <mergeCell ref="K7:M7"/>
    <mergeCell ref="D7:E7"/>
    <mergeCell ref="K8:M8"/>
    <mergeCell ref="B20:I20"/>
    <mergeCell ref="B21:I21"/>
    <mergeCell ref="B22:I22"/>
    <mergeCell ref="B23:I23"/>
    <mergeCell ref="B29:I29"/>
    <mergeCell ref="B11:M12"/>
    <mergeCell ref="B24:I24"/>
    <mergeCell ref="B25:I25"/>
    <mergeCell ref="B26:I26"/>
    <mergeCell ref="B27:I27"/>
    <mergeCell ref="B28:I28"/>
    <mergeCell ref="B19:I19"/>
    <mergeCell ref="O1:O3"/>
    <mergeCell ref="B1:M1"/>
    <mergeCell ref="B2:M2"/>
    <mergeCell ref="N1:N3"/>
    <mergeCell ref="D5:E5"/>
    <mergeCell ref="K5:M5"/>
    <mergeCell ref="B3:M3"/>
  </mergeCells>
  <phoneticPr fontId="16" type="noConversion"/>
  <conditionalFormatting sqref="N1:O3">
    <cfRule type="cellIs" dxfId="124" priority="1" stopIfTrue="1" operator="equal">
      <formula>"na"</formula>
    </cfRule>
  </conditionalFormatting>
  <dataValidations count="4">
    <dataValidation type="decimal" operator="lessThanOrEqual" allowBlank="1" showInputMessage="1" showErrorMessage="1" errorTitle="Invalid data!" error="Amount must be negative." sqref="K53" xr:uid="{00000000-0002-0000-1200-000000000000}">
      <formula1>0</formula1>
    </dataValidation>
    <dataValidation type="decimal" operator="greaterThanOrEqual" allowBlank="1" showInputMessage="1" showErrorMessage="1" errorTitle="Invalid Data!" error="Amount must be positive." sqref="K54" xr:uid="{00000000-0002-0000-1200-000001000000}">
      <formula1>0</formula1>
    </dataValidation>
    <dataValidation type="decimal" operator="lessThanOrEqual" allowBlank="1" showInputMessage="1" showErrorMessage="1" errorTitle="Invalid Data!" error="Amount must be negative." sqref="K55 M64" xr:uid="{00000000-0002-0000-1200-000002000000}">
      <formula1>0</formula1>
    </dataValidation>
    <dataValidation type="decimal" operator="greaterThanOrEqual" allowBlank="1" showInputMessage="1" showErrorMessage="1" errorTitle="Invalid Data!" error="Amount must be positive. " sqref="M69" xr:uid="{6615173E-F9FA-4918-BBE1-B2476536AF08}">
      <formula1>0</formula1>
    </dataValidation>
  </dataValidations>
  <hyperlinks>
    <hyperlink ref="B1:M1" location="Index!A1" display="Index!A1" xr:uid="{00000000-0004-0000-1200-000000000000}"/>
  </hyperlinks>
  <pageMargins left="0.6" right="0.6" top="0.5" bottom="0.5" header="0.3" footer="0.3"/>
  <pageSetup scale="78" orientation="portrait" r:id="rId5"/>
  <ignoredErrors>
    <ignoredError sqref="K7:K8"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A1:J36"/>
  <sheetViews>
    <sheetView showGridLines="0" zoomScaleNormal="100" workbookViewId="0">
      <selection activeCell="A2" sqref="A2:I2"/>
    </sheetView>
  </sheetViews>
  <sheetFormatPr defaultColWidth="9.42578125" defaultRowHeight="12.75" x14ac:dyDescent="0.2"/>
  <cols>
    <col min="7" max="7" width="13.42578125" customWidth="1"/>
    <col min="10" max="10" width="4.5703125" customWidth="1"/>
  </cols>
  <sheetData>
    <row r="1" spans="1:10" ht="15.75" x14ac:dyDescent="0.25">
      <c r="A1" s="2384" t="str">
        <f>+Index!$A$1</f>
        <v xml:space="preserve">                                                               Office of the State Controller                                                                </v>
      </c>
      <c r="B1" s="2384"/>
      <c r="C1" s="2384"/>
      <c r="D1" s="2384"/>
      <c r="E1" s="2384"/>
      <c r="F1" s="2384"/>
      <c r="G1" s="2384"/>
      <c r="H1" s="2384"/>
      <c r="I1" s="2384"/>
      <c r="J1" s="2520" t="str">
        <f>IF(Index!$B$42="na","NA","")</f>
        <v/>
      </c>
    </row>
    <row r="2" spans="1:10" ht="15.75" x14ac:dyDescent="0.25">
      <c r="A2" s="2452" t="str">
        <f>+Index!$A$2</f>
        <v>2023 ACFR Worksheets</v>
      </c>
      <c r="B2" s="2452"/>
      <c r="C2" s="2452"/>
      <c r="D2" s="2452"/>
      <c r="E2" s="2452"/>
      <c r="F2" s="2452"/>
      <c r="G2" s="2452"/>
      <c r="H2" s="2452"/>
      <c r="I2" s="2452"/>
      <c r="J2" s="2520"/>
    </row>
    <row r="3" spans="1:10" ht="15.75" x14ac:dyDescent="0.25">
      <c r="A3" s="2453" t="s">
        <v>1323</v>
      </c>
      <c r="B3" s="2453"/>
      <c r="C3" s="2453"/>
      <c r="D3" s="2453"/>
      <c r="E3" s="2453"/>
      <c r="F3" s="2453"/>
      <c r="G3" s="2453"/>
      <c r="H3" s="2453"/>
      <c r="I3" s="2453"/>
      <c r="J3" s="2520"/>
    </row>
    <row r="4" spans="1:10" x14ac:dyDescent="0.2">
      <c r="A4" s="268"/>
      <c r="B4" s="268"/>
      <c r="C4" s="268"/>
      <c r="D4" s="268"/>
      <c r="E4" s="48"/>
      <c r="F4" s="268"/>
      <c r="G4" s="268"/>
      <c r="H4" s="268"/>
      <c r="I4" s="263"/>
    </row>
    <row r="5" spans="1:10" x14ac:dyDescent="0.2">
      <c r="A5" s="882" t="s">
        <v>1324</v>
      </c>
      <c r="B5" s="828"/>
      <c r="C5" s="828"/>
      <c r="D5" s="828"/>
      <c r="E5" s="828"/>
      <c r="F5" s="828"/>
      <c r="G5" s="828"/>
      <c r="H5" s="828"/>
      <c r="I5" s="263"/>
    </row>
    <row r="6" spans="1:10" x14ac:dyDescent="0.2">
      <c r="A6" s="637" t="s">
        <v>1325</v>
      </c>
      <c r="B6" s="828"/>
      <c r="C6" s="828"/>
      <c r="D6" s="828"/>
      <c r="E6" s="828"/>
      <c r="F6" s="828"/>
      <c r="G6" s="828"/>
      <c r="H6" s="828"/>
      <c r="I6" s="263"/>
    </row>
    <row r="7" spans="1:10" x14ac:dyDescent="0.2">
      <c r="A7" s="637" t="s">
        <v>1326</v>
      </c>
      <c r="B7" s="828"/>
      <c r="C7" s="828"/>
      <c r="D7" s="828"/>
      <c r="E7" s="828"/>
      <c r="F7" s="828"/>
      <c r="G7" s="828"/>
      <c r="H7" s="828"/>
      <c r="I7" s="263"/>
    </row>
    <row r="8" spans="1:10" x14ac:dyDescent="0.2">
      <c r="A8" s="637"/>
      <c r="B8" s="828"/>
      <c r="C8" s="828"/>
      <c r="D8" s="828"/>
      <c r="E8" s="828"/>
      <c r="F8" s="828"/>
      <c r="G8" s="828"/>
      <c r="H8" s="828"/>
      <c r="I8" s="263"/>
    </row>
    <row r="9" spans="1:10" x14ac:dyDescent="0.2">
      <c r="A9" s="48"/>
      <c r="B9" s="638"/>
      <c r="C9" s="638"/>
      <c r="D9" s="266"/>
      <c r="E9" s="828"/>
      <c r="F9" s="820" t="s">
        <v>317</v>
      </c>
      <c r="G9" s="821" t="str">
        <f>+Index!$E$10</f>
        <v>01</v>
      </c>
      <c r="H9" s="822"/>
      <c r="I9" s="822"/>
      <c r="J9" s="159"/>
    </row>
    <row r="10" spans="1:10" x14ac:dyDescent="0.2">
      <c r="A10" s="638"/>
      <c r="B10" s="638"/>
      <c r="C10" s="638"/>
      <c r="D10" s="638"/>
      <c r="E10" s="2217"/>
      <c r="F10" s="820" t="s">
        <v>318</v>
      </c>
      <c r="G10" s="823" t="str">
        <f>AgyName</f>
        <v>North Carolina General Assembly</v>
      </c>
      <c r="H10" s="824"/>
      <c r="I10" s="824"/>
    </row>
    <row r="11" spans="1:10" x14ac:dyDescent="0.2">
      <c r="A11" s="2589" t="s">
        <v>476</v>
      </c>
      <c r="B11" s="2589"/>
      <c r="C11" s="819" t="s">
        <v>477</v>
      </c>
      <c r="E11" s="268"/>
      <c r="F11" s="820" t="s">
        <v>319</v>
      </c>
      <c r="G11" s="825" t="str">
        <f>CONCATENATE(Index!$E$12," ",Index!$E$14)</f>
        <v xml:space="preserve"> </v>
      </c>
      <c r="H11" s="2339"/>
      <c r="I11" s="2339"/>
    </row>
    <row r="12" spans="1:10" x14ac:dyDescent="0.2">
      <c r="A12" s="2217"/>
      <c r="B12" s="2217"/>
      <c r="C12" s="828"/>
      <c r="D12" s="268"/>
      <c r="E12" s="268"/>
      <c r="F12" s="820" t="s">
        <v>71</v>
      </c>
      <c r="G12" s="825">
        <f>+Index!$E$13</f>
        <v>0</v>
      </c>
      <c r="H12" s="2339"/>
      <c r="I12" s="2339"/>
    </row>
    <row r="13" spans="1:10" ht="13.5" thickBot="1" x14ac:dyDescent="0.25">
      <c r="A13" s="829"/>
      <c r="B13" s="829"/>
      <c r="C13" s="829"/>
      <c r="D13" s="829"/>
      <c r="E13" s="829"/>
      <c r="F13" s="829"/>
      <c r="G13" s="829"/>
      <c r="H13" s="829"/>
      <c r="I13" s="829"/>
    </row>
    <row r="14" spans="1:10" ht="15" x14ac:dyDescent="0.25">
      <c r="A14" s="2220"/>
      <c r="B14" s="2220"/>
      <c r="C14" s="2220"/>
      <c r="D14" s="2220"/>
      <c r="E14" s="2220"/>
      <c r="F14" s="2220"/>
      <c r="G14" s="2220"/>
      <c r="H14" s="2220"/>
      <c r="I14" s="2220"/>
    </row>
    <row r="15" spans="1:10" x14ac:dyDescent="0.2">
      <c r="A15" s="723" t="s">
        <v>1327</v>
      </c>
      <c r="B15" s="723"/>
      <c r="C15" s="723"/>
      <c r="D15" s="723"/>
      <c r="E15" s="723"/>
      <c r="F15" s="723"/>
      <c r="G15" s="723"/>
      <c r="H15" s="723"/>
      <c r="I15" s="723"/>
    </row>
    <row r="16" spans="1:10" x14ac:dyDescent="0.2">
      <c r="A16" s="723" t="s">
        <v>1328</v>
      </c>
      <c r="B16" s="723"/>
      <c r="C16" s="723"/>
      <c r="D16" s="723"/>
      <c r="E16" s="723"/>
      <c r="F16" s="723"/>
      <c r="G16" s="723"/>
      <c r="H16" s="723"/>
      <c r="I16" s="723"/>
    </row>
    <row r="17" spans="1:9" x14ac:dyDescent="0.2">
      <c r="A17" s="723"/>
      <c r="B17" s="723"/>
      <c r="C17" s="723"/>
      <c r="D17" s="723"/>
      <c r="E17" s="723"/>
      <c r="F17" s="723"/>
      <c r="G17" s="723"/>
      <c r="H17" s="723"/>
      <c r="I17" s="723"/>
    </row>
    <row r="18" spans="1:9" x14ac:dyDescent="0.2">
      <c r="A18" s="723" t="s">
        <v>1329</v>
      </c>
      <c r="B18" s="637"/>
      <c r="C18" s="638"/>
      <c r="D18" s="638"/>
      <c r="E18" s="638"/>
      <c r="F18" s="638"/>
      <c r="G18" s="638"/>
      <c r="H18" s="638"/>
      <c r="I18" s="638"/>
    </row>
    <row r="19" spans="1:9" x14ac:dyDescent="0.2">
      <c r="A19" s="723" t="s">
        <v>1330</v>
      </c>
      <c r="B19" s="637"/>
      <c r="C19" s="638"/>
      <c r="D19" s="638"/>
      <c r="E19" s="638"/>
      <c r="F19" s="638"/>
      <c r="G19" s="638"/>
      <c r="H19" s="638"/>
      <c r="I19" s="638"/>
    </row>
    <row r="20" spans="1:9" x14ac:dyDescent="0.2">
      <c r="A20" s="723" t="s">
        <v>1331</v>
      </c>
      <c r="B20" s="637"/>
      <c r="C20" s="638"/>
      <c r="D20" s="638"/>
      <c r="E20" s="638"/>
      <c r="F20" s="638"/>
      <c r="G20" s="638"/>
      <c r="H20" s="638"/>
      <c r="I20" s="638"/>
    </row>
    <row r="21" spans="1:9" x14ac:dyDescent="0.2">
      <c r="A21" s="638" t="s">
        <v>1332</v>
      </c>
      <c r="B21" s="723"/>
      <c r="C21" s="723"/>
      <c r="D21" s="159"/>
      <c r="E21" s="159"/>
      <c r="F21" s="159"/>
      <c r="G21" s="159"/>
      <c r="H21" s="159"/>
      <c r="I21" s="159"/>
    </row>
    <row r="22" spans="1:9" x14ac:dyDescent="0.2">
      <c r="A22" s="638" t="s">
        <v>1333</v>
      </c>
      <c r="B22" s="723"/>
      <c r="C22" s="723"/>
      <c r="D22" s="159"/>
      <c r="E22" s="159"/>
      <c r="F22" s="159"/>
      <c r="G22" s="159"/>
      <c r="H22" s="159"/>
      <c r="I22" s="159"/>
    </row>
    <row r="23" spans="1:9" x14ac:dyDescent="0.2">
      <c r="A23" s="638"/>
      <c r="B23" s="723"/>
      <c r="C23" s="723"/>
      <c r="D23" s="159"/>
      <c r="E23" s="159"/>
      <c r="F23" s="159"/>
      <c r="G23" s="159"/>
      <c r="H23" s="159"/>
      <c r="I23" s="159"/>
    </row>
    <row r="24" spans="1:9" x14ac:dyDescent="0.2">
      <c r="A24" s="723" t="s">
        <v>1334</v>
      </c>
      <c r="B24" s="638"/>
      <c r="C24" s="723"/>
      <c r="D24" s="159"/>
      <c r="E24" s="159"/>
      <c r="F24" s="159"/>
      <c r="G24" s="159"/>
      <c r="H24" s="159"/>
      <c r="I24" s="159"/>
    </row>
    <row r="25" spans="1:9" x14ac:dyDescent="0.2">
      <c r="A25" s="2588" t="s">
        <v>1335</v>
      </c>
      <c r="B25" s="2588"/>
      <c r="C25" s="2588"/>
      <c r="D25" s="2588"/>
      <c r="E25" s="159"/>
      <c r="F25" s="159"/>
      <c r="G25" s="159"/>
      <c r="H25" s="159"/>
      <c r="I25" s="159"/>
    </row>
    <row r="26" spans="1:9" x14ac:dyDescent="0.2">
      <c r="A26" s="723"/>
      <c r="B26" s="638"/>
      <c r="C26" s="723"/>
      <c r="D26" s="159"/>
      <c r="E26" s="159"/>
      <c r="F26" s="159"/>
      <c r="G26" s="159"/>
      <c r="H26" s="159"/>
      <c r="I26" s="159"/>
    </row>
    <row r="27" spans="1:9" x14ac:dyDescent="0.2">
      <c r="A27" s="723" t="s">
        <v>1336</v>
      </c>
      <c r="B27" s="637"/>
      <c r="C27" s="638"/>
      <c r="D27" s="638"/>
      <c r="E27" s="638"/>
      <c r="F27" s="638"/>
      <c r="G27" s="638"/>
      <c r="H27" s="638"/>
      <c r="I27" s="638"/>
    </row>
    <row r="28" spans="1:9" x14ac:dyDescent="0.2">
      <c r="A28" s="637"/>
      <c r="B28" s="637"/>
      <c r="C28" s="639" t="s">
        <v>339</v>
      </c>
      <c r="D28" s="845"/>
      <c r="E28" s="638"/>
      <c r="F28" s="638"/>
      <c r="G28" s="638"/>
      <c r="H28" s="638"/>
      <c r="I28" s="638"/>
    </row>
    <row r="29" spans="1:9" x14ac:dyDescent="0.2">
      <c r="A29" s="637"/>
      <c r="B29" s="637"/>
      <c r="C29" s="639" t="s">
        <v>340</v>
      </c>
      <c r="D29" s="845"/>
      <c r="E29" s="638"/>
      <c r="F29" s="638"/>
      <c r="G29" s="638"/>
      <c r="H29" s="638"/>
      <c r="I29" s="638"/>
    </row>
    <row r="30" spans="1:9" x14ac:dyDescent="0.2">
      <c r="A30" s="637"/>
      <c r="B30" s="637"/>
      <c r="C30" s="638"/>
      <c r="D30" s="638"/>
      <c r="E30" s="638"/>
      <c r="F30" s="638"/>
      <c r="G30" s="638"/>
      <c r="H30" s="638"/>
      <c r="I30" s="638"/>
    </row>
    <row r="31" spans="1:9" ht="15.75" x14ac:dyDescent="0.25">
      <c r="A31" s="638"/>
      <c r="B31" s="637"/>
      <c r="C31" s="50"/>
      <c r="D31" s="50"/>
      <c r="E31" s="638"/>
      <c r="F31" s="638"/>
      <c r="G31" s="638"/>
      <c r="H31" s="638"/>
      <c r="I31" s="638"/>
    </row>
    <row r="32" spans="1:9" ht="15.75" x14ac:dyDescent="0.25">
      <c r="A32" s="827" t="s">
        <v>486</v>
      </c>
      <c r="B32" s="637"/>
      <c r="C32" s="50"/>
      <c r="D32" s="50"/>
      <c r="E32" s="638"/>
      <c r="F32" s="638"/>
      <c r="G32" s="638"/>
      <c r="H32" s="638"/>
      <c r="I32" s="638"/>
    </row>
    <row r="33" spans="1:9" x14ac:dyDescent="0.2">
      <c r="A33" s="723" t="s">
        <v>1337</v>
      </c>
      <c r="B33" s="637"/>
      <c r="C33" s="638"/>
      <c r="D33" s="638"/>
      <c r="E33" s="638"/>
      <c r="F33" s="638"/>
      <c r="G33" s="638"/>
      <c r="H33" s="638"/>
      <c r="I33" s="638"/>
    </row>
    <row r="34" spans="1:9" x14ac:dyDescent="0.2">
      <c r="A34" s="723" t="s">
        <v>488</v>
      </c>
      <c r="B34" s="638"/>
      <c r="C34" s="638"/>
      <c r="D34" s="638"/>
      <c r="E34" s="638"/>
      <c r="F34" s="638"/>
      <c r="G34" s="638"/>
      <c r="H34" s="638"/>
      <c r="I34" s="638"/>
    </row>
    <row r="35" spans="1:9" x14ac:dyDescent="0.2">
      <c r="A35" s="637"/>
      <c r="B35" s="637"/>
      <c r="C35" s="638"/>
      <c r="D35" s="638"/>
      <c r="E35" s="638"/>
      <c r="F35" s="638"/>
      <c r="G35" s="638"/>
      <c r="H35" s="638"/>
      <c r="I35" s="638"/>
    </row>
    <row r="36" spans="1:9" x14ac:dyDescent="0.2">
      <c r="A36" s="48"/>
      <c r="B36" s="160"/>
      <c r="C36" s="160"/>
      <c r="D36" s="160"/>
      <c r="E36" s="160"/>
      <c r="F36" s="160"/>
      <c r="G36" s="160"/>
      <c r="H36" s="160"/>
      <c r="I36" s="638"/>
    </row>
  </sheetData>
  <sheetProtection algorithmName="SHA-512" hashValue="MySc80ddi3Q8UR2R4/sMpucM3ofESPECKXeU4O41NpEuJ7GfMII9LIKB4YWgpyJ3KO6gKbgWCiGEOUwPAldsZA==" saltValue="3KomYRLkRxC5zmsEot89nA==" spinCount="100000" sheet="1" objects="1" scenarios="1" autoFilter="0"/>
  <mergeCells count="6">
    <mergeCell ref="J1:J3"/>
    <mergeCell ref="A25:D25"/>
    <mergeCell ref="A1:I1"/>
    <mergeCell ref="A2:I2"/>
    <mergeCell ref="A3:I3"/>
    <mergeCell ref="A11:B11"/>
  </mergeCells>
  <conditionalFormatting sqref="J1:J3">
    <cfRule type="cellIs" dxfId="123" priority="1" stopIfTrue="1" operator="equal">
      <formula>"na"</formula>
    </cfRule>
  </conditionalFormatting>
  <hyperlinks>
    <hyperlink ref="A25" r:id="rId1" xr:uid="{00000000-0004-0000-1300-000000000000}"/>
    <hyperlink ref="A1:I1" location="Index!A1" display="Index!A1" xr:uid="{00000000-0004-0000-1300-000001000000}"/>
    <hyperlink ref="A25:D25" r:id="rId2" display="Financial Reporting Update GASB 70" xr:uid="{470EFE45-D35C-48CF-97C2-6FDD911AB4CC}"/>
  </hyperlinks>
  <pageMargins left="0.6" right="0.6" top="0.5" bottom="0.5" header="0.3" footer="0.3"/>
  <pageSetup scale="85"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44"/>
  <sheetViews>
    <sheetView showGridLines="0" zoomScaleNormal="100" workbookViewId="0">
      <selection activeCell="G14" sqref="G14"/>
    </sheetView>
  </sheetViews>
  <sheetFormatPr defaultColWidth="9.42578125" defaultRowHeight="11.25" x14ac:dyDescent="0.2"/>
  <cols>
    <col min="1" max="1" width="1.5703125" style="28" customWidth="1"/>
    <col min="2" max="2" width="5" style="28" bestFit="1" customWidth="1"/>
    <col min="3" max="3" width="9.5703125" style="28" customWidth="1"/>
    <col min="4" max="4" width="1.5703125" style="28" customWidth="1"/>
    <col min="5" max="5" width="14.5703125" style="28" customWidth="1"/>
    <col min="6" max="6" width="1.42578125" style="28" customWidth="1"/>
    <col min="7" max="7" width="14.5703125" style="28" customWidth="1"/>
    <col min="8" max="8" width="1.42578125" style="28" customWidth="1"/>
    <col min="9" max="9" width="14" style="28" customWidth="1"/>
    <col min="10" max="10" width="1.42578125" style="28" customWidth="1"/>
    <col min="11" max="11" width="14.5703125" style="28" customWidth="1"/>
    <col min="12" max="12" width="1.42578125" style="28" customWidth="1"/>
    <col min="13" max="13" width="8.42578125" style="28" customWidth="1"/>
    <col min="14" max="14" width="1.42578125" style="28" customWidth="1"/>
    <col min="15" max="15" width="8.42578125" style="28" customWidth="1"/>
    <col min="16" max="16" width="1.42578125" style="28" customWidth="1"/>
    <col min="17" max="17" width="32.28515625" style="28" customWidth="1"/>
    <col min="18" max="18" width="11.5703125" style="28" customWidth="1"/>
    <col min="19" max="19" width="24.42578125" style="1491" bestFit="1" customWidth="1"/>
    <col min="20" max="20" width="1.5703125" style="28" customWidth="1"/>
    <col min="21" max="21" width="8.5703125" style="28" customWidth="1"/>
    <col min="22" max="16384" width="9.42578125" style="28"/>
  </cols>
  <sheetData>
    <row r="1" spans="1:31" s="29" customFormat="1" ht="15" customHeight="1" x14ac:dyDescent="0.25">
      <c r="A1" s="2455" t="str">
        <f>+Index!$A$1</f>
        <v xml:space="preserve">                                                               Office of the State Controller                                                                </v>
      </c>
      <c r="B1" s="2455"/>
      <c r="C1" s="2455"/>
      <c r="D1" s="2455"/>
      <c r="E1" s="2455"/>
      <c r="F1" s="2455"/>
      <c r="G1" s="2455"/>
      <c r="H1" s="2455"/>
      <c r="I1" s="2455"/>
      <c r="J1" s="2455"/>
      <c r="K1" s="2455"/>
      <c r="L1" s="2455"/>
      <c r="M1" s="2455"/>
      <c r="N1" s="2455"/>
      <c r="O1" s="2455"/>
      <c r="P1" s="2455"/>
      <c r="Q1" s="2455"/>
      <c r="R1" s="2520" t="str">
        <f>IF(Index!$B$43="na","NA","")</f>
        <v/>
      </c>
      <c r="S1" s="1488"/>
      <c r="V1" s="1493" t="s">
        <v>1338</v>
      </c>
      <c r="AE1" s="30"/>
    </row>
    <row r="2" spans="1:31" s="29" customFormat="1" ht="15" customHeight="1" x14ac:dyDescent="0.25">
      <c r="A2" s="2493" t="str">
        <f>+Index!$A$2</f>
        <v>2023 ACFR Worksheets</v>
      </c>
      <c r="B2" s="2493"/>
      <c r="C2" s="2493"/>
      <c r="D2" s="2493"/>
      <c r="E2" s="2493"/>
      <c r="F2" s="2493"/>
      <c r="G2" s="2493"/>
      <c r="H2" s="2493"/>
      <c r="I2" s="2493"/>
      <c r="J2" s="2493"/>
      <c r="K2" s="2493"/>
      <c r="L2" s="2493"/>
      <c r="M2" s="2493"/>
      <c r="N2" s="2493"/>
      <c r="O2" s="2493"/>
      <c r="P2" s="2493"/>
      <c r="Q2" s="2493"/>
      <c r="R2" s="2520"/>
      <c r="S2" s="1488"/>
    </row>
    <row r="3" spans="1:31" s="29" customFormat="1" ht="15" customHeight="1" x14ac:dyDescent="0.25">
      <c r="A3" s="2493" t="s">
        <v>1339</v>
      </c>
      <c r="B3" s="2493"/>
      <c r="C3" s="2493"/>
      <c r="D3" s="2493"/>
      <c r="E3" s="2493"/>
      <c r="F3" s="2493"/>
      <c r="G3" s="2493"/>
      <c r="H3" s="2493"/>
      <c r="I3" s="2493"/>
      <c r="J3" s="2493"/>
      <c r="K3" s="2493"/>
      <c r="L3" s="2493"/>
      <c r="M3" s="2493"/>
      <c r="N3" s="2493"/>
      <c r="O3" s="2493"/>
      <c r="P3" s="2493"/>
      <c r="Q3" s="2493"/>
      <c r="R3" s="2520"/>
      <c r="S3" s="1488"/>
    </row>
    <row r="4" spans="1:31" s="89" customFormat="1" ht="13.35" customHeight="1" x14ac:dyDescent="0.2">
      <c r="A4" s="160"/>
      <c r="B4" s="160"/>
      <c r="C4" s="160"/>
      <c r="D4" s="160"/>
      <c r="E4" s="160"/>
      <c r="F4" s="160"/>
      <c r="G4" s="160"/>
      <c r="H4" s="2260"/>
      <c r="I4" s="160"/>
      <c r="J4" s="160"/>
      <c r="K4" s="160"/>
      <c r="L4" s="160"/>
      <c r="M4" s="160"/>
      <c r="N4" s="160"/>
      <c r="O4" s="160"/>
      <c r="P4" s="160"/>
      <c r="Q4" s="160"/>
      <c r="R4" s="160"/>
      <c r="S4" s="1489"/>
      <c r="T4" s="160"/>
      <c r="U4" s="160"/>
      <c r="V4" s="160"/>
      <c r="W4" s="160"/>
      <c r="X4" s="160"/>
      <c r="Y4" s="160"/>
      <c r="Z4" s="160"/>
      <c r="AA4" s="160"/>
      <c r="AB4" s="160"/>
      <c r="AC4" s="160"/>
      <c r="AD4" s="160"/>
      <c r="AE4" s="160"/>
    </row>
    <row r="5" spans="1:31" s="89" customFormat="1" ht="15" customHeight="1" x14ac:dyDescent="0.2">
      <c r="A5" s="160"/>
      <c r="B5" s="160"/>
      <c r="C5" s="160"/>
      <c r="D5" s="2260"/>
      <c r="E5" s="160"/>
      <c r="F5" s="160"/>
      <c r="G5" s="160"/>
      <c r="H5" s="160"/>
      <c r="I5" s="160"/>
      <c r="J5" s="1798"/>
      <c r="K5" s="1733" t="s">
        <v>317</v>
      </c>
      <c r="L5" s="2599" t="str">
        <f>Index!E10</f>
        <v>01</v>
      </c>
      <c r="M5" s="2565"/>
      <c r="N5" s="2565"/>
      <c r="O5" s="2565"/>
      <c r="P5" s="2565"/>
      <c r="Q5" s="2565"/>
      <c r="R5" s="1775"/>
      <c r="S5" s="1489"/>
      <c r="T5" s="160"/>
      <c r="U5" s="160"/>
      <c r="V5" s="160"/>
      <c r="W5" s="160"/>
      <c r="X5" s="160"/>
      <c r="Y5" s="160"/>
      <c r="Z5" s="160"/>
      <c r="AA5" s="160"/>
      <c r="AB5" s="160"/>
      <c r="AC5" s="160"/>
      <c r="AD5" s="160"/>
      <c r="AE5" s="160"/>
    </row>
    <row r="6" spans="1:31" s="89" customFormat="1" ht="15" customHeight="1" x14ac:dyDescent="0.2">
      <c r="A6" s="160"/>
      <c r="B6" s="160"/>
      <c r="C6" s="160"/>
      <c r="D6" s="160"/>
      <c r="E6" s="160"/>
      <c r="F6" s="160"/>
      <c r="G6" s="160"/>
      <c r="H6" s="160"/>
      <c r="I6" s="160"/>
      <c r="J6" s="1798"/>
      <c r="K6" s="1733" t="s">
        <v>318</v>
      </c>
      <c r="L6" s="2599" t="str">
        <f>Index!E11</f>
        <v>North Carolina General Assembly</v>
      </c>
      <c r="M6" s="2565"/>
      <c r="N6" s="2565"/>
      <c r="O6" s="2565"/>
      <c r="P6" s="2565"/>
      <c r="Q6" s="2565"/>
      <c r="R6" s="1775"/>
      <c r="S6" s="1489"/>
      <c r="T6" s="160"/>
      <c r="U6" s="160"/>
      <c r="V6" s="160"/>
      <c r="W6" s="160"/>
      <c r="X6" s="160"/>
      <c r="Y6" s="160"/>
      <c r="Z6" s="160"/>
      <c r="AA6" s="160"/>
      <c r="AB6" s="160"/>
      <c r="AC6" s="160"/>
      <c r="AD6" s="160"/>
      <c r="AE6" s="160"/>
    </row>
    <row r="7" spans="1:31" s="89" customFormat="1" ht="15" customHeight="1" x14ac:dyDescent="0.2">
      <c r="A7" s="160" t="s">
        <v>568</v>
      </c>
      <c r="B7" s="160"/>
      <c r="C7" s="160"/>
      <c r="D7" s="2572" t="s">
        <v>477</v>
      </c>
      <c r="E7" s="2573"/>
      <c r="F7" s="160"/>
      <c r="G7" s="160"/>
      <c r="H7" s="160"/>
      <c r="I7" s="160"/>
      <c r="J7" s="1799"/>
      <c r="K7" s="1733" t="s">
        <v>319</v>
      </c>
      <c r="L7" s="2600" t="str">
        <f>CONCATENATE(Index!$E$12, " ", Index!$E$14)</f>
        <v xml:space="preserve"> </v>
      </c>
      <c r="M7" s="2601"/>
      <c r="N7" s="2601"/>
      <c r="O7" s="2601"/>
      <c r="P7" s="2601"/>
      <c r="Q7" s="2601"/>
      <c r="R7" s="1776"/>
      <c r="S7" s="1489"/>
      <c r="T7" s="160"/>
      <c r="U7" s="160"/>
      <c r="V7" s="160"/>
      <c r="W7" s="160"/>
      <c r="X7" s="160"/>
      <c r="Y7" s="160"/>
      <c r="Z7" s="160"/>
      <c r="AA7" s="160"/>
      <c r="AB7" s="160"/>
      <c r="AC7" s="160"/>
      <c r="AD7" s="160"/>
      <c r="AE7" s="160"/>
    </row>
    <row r="8" spans="1:31" s="89" customFormat="1" ht="15" customHeight="1" x14ac:dyDescent="0.2">
      <c r="A8" s="160"/>
      <c r="B8" s="160"/>
      <c r="C8" s="160"/>
      <c r="D8" s="2260"/>
      <c r="E8" s="160"/>
      <c r="F8" s="160"/>
      <c r="G8" s="160"/>
      <c r="H8" s="160"/>
      <c r="I8" s="160"/>
      <c r="J8" s="1800"/>
      <c r="K8" s="1733" t="s">
        <v>71</v>
      </c>
      <c r="L8" s="2602">
        <f>Index!E13</f>
        <v>0</v>
      </c>
      <c r="M8" s="2601"/>
      <c r="N8" s="2601"/>
      <c r="O8" s="2601"/>
      <c r="P8" s="2601"/>
      <c r="Q8" s="2601"/>
      <c r="R8" s="1777"/>
      <c r="S8" s="1489"/>
      <c r="T8" s="160"/>
      <c r="U8" s="160"/>
      <c r="V8" s="160"/>
      <c r="W8" s="160"/>
      <c r="X8" s="160"/>
      <c r="Y8" s="160"/>
      <c r="Z8" s="160"/>
      <c r="AA8" s="160"/>
      <c r="AB8" s="160"/>
      <c r="AC8" s="160"/>
      <c r="AD8" s="160"/>
      <c r="AE8" s="160"/>
    </row>
    <row r="9" spans="1:31" s="89" customFormat="1" ht="6" customHeight="1" thickBot="1" x14ac:dyDescent="0.25">
      <c r="A9" s="1735"/>
      <c r="B9" s="1735"/>
      <c r="C9" s="1735"/>
      <c r="D9" s="1735"/>
      <c r="E9" s="1735"/>
      <c r="F9" s="1735"/>
      <c r="G9" s="1735"/>
      <c r="H9" s="1735"/>
      <c r="I9" s="1735"/>
      <c r="J9" s="1735"/>
      <c r="K9" s="1735"/>
      <c r="L9" s="1735"/>
      <c r="M9" s="1735"/>
      <c r="N9" s="1735"/>
      <c r="O9" s="1735"/>
      <c r="P9" s="1735"/>
      <c r="Q9" s="1735"/>
      <c r="R9" s="160"/>
      <c r="S9" s="1489"/>
      <c r="T9" s="160"/>
      <c r="U9" s="160"/>
      <c r="V9" s="160"/>
      <c r="W9" s="160"/>
      <c r="X9" s="160"/>
      <c r="Y9" s="160"/>
      <c r="Z9" s="160"/>
      <c r="AA9" s="160"/>
      <c r="AB9" s="160"/>
      <c r="AC9" s="160"/>
      <c r="AD9" s="160"/>
      <c r="AE9" s="160"/>
    </row>
    <row r="10" spans="1:31" s="89" customFormat="1" ht="12.75" x14ac:dyDescent="0.2">
      <c r="A10" s="2254"/>
      <c r="B10"/>
      <c r="C10"/>
      <c r="D10"/>
      <c r="E10"/>
      <c r="F10"/>
      <c r="G10" s="1465" t="s">
        <v>1340</v>
      </c>
      <c r="H10" s="1465"/>
      <c r="I10" s="1465" t="s">
        <v>1341</v>
      </c>
      <c r="J10" s="1465"/>
      <c r="K10" s="1465" t="s">
        <v>1342</v>
      </c>
      <c r="L10"/>
      <c r="M10"/>
      <c r="N10"/>
      <c r="O10"/>
      <c r="P10"/>
      <c r="Q10"/>
      <c r="R10" s="160"/>
      <c r="S10" s="1489"/>
      <c r="T10" s="160"/>
      <c r="U10" s="160"/>
      <c r="V10" s="160"/>
      <c r="W10" s="160"/>
      <c r="X10" s="160"/>
      <c r="Y10" s="160"/>
      <c r="Z10" s="160"/>
      <c r="AA10" s="160"/>
      <c r="AB10" s="160"/>
      <c r="AC10" s="160"/>
      <c r="AD10" s="160"/>
      <c r="AE10" s="160"/>
    </row>
    <row r="11" spans="1:31" s="89" customFormat="1" ht="14.1" customHeight="1" x14ac:dyDescent="0.2">
      <c r="A11" s="968" t="s">
        <v>112</v>
      </c>
      <c r="B11" s="160"/>
      <c r="C11" s="160"/>
      <c r="D11" s="160"/>
      <c r="E11" s="160"/>
      <c r="F11" s="160"/>
      <c r="G11" s="2260" t="s">
        <v>1341</v>
      </c>
      <c r="H11" s="2260"/>
      <c r="I11" s="2260" t="s">
        <v>1341</v>
      </c>
      <c r="J11" s="2260"/>
      <c r="K11" s="2260" t="s">
        <v>1343</v>
      </c>
      <c r="L11" s="160"/>
      <c r="M11" s="2597" t="s">
        <v>1344</v>
      </c>
      <c r="N11" s="2597"/>
      <c r="O11" s="160"/>
      <c r="P11" s="160"/>
      <c r="Q11" s="160"/>
      <c r="R11" s="160"/>
      <c r="S11" s="1489"/>
      <c r="T11" s="160"/>
      <c r="U11" s="160"/>
      <c r="V11" s="160"/>
      <c r="W11" s="160"/>
      <c r="X11" s="160"/>
      <c r="Y11" s="160"/>
      <c r="Z11" s="160"/>
      <c r="AA11" s="160"/>
      <c r="AB11" s="160"/>
      <c r="AC11" s="160"/>
      <c r="AD11" s="160"/>
      <c r="AE11" s="160"/>
    </row>
    <row r="12" spans="1:31" s="89" customFormat="1" ht="14.1" customHeight="1" x14ac:dyDescent="0.2">
      <c r="A12" s="2596" t="s">
        <v>1345</v>
      </c>
      <c r="B12" s="2603"/>
      <c r="C12" s="2603"/>
      <c r="D12" s="2603"/>
      <c r="E12" s="2603"/>
      <c r="F12" s="160"/>
      <c r="G12" s="2255" t="s">
        <v>1346</v>
      </c>
      <c r="H12" s="2260"/>
      <c r="I12" s="1801">
        <f>+Data!$A$2</f>
        <v>45107</v>
      </c>
      <c r="J12" s="2260"/>
      <c r="K12" s="2255" t="s">
        <v>1347</v>
      </c>
      <c r="L12" s="160"/>
      <c r="M12" s="2598" t="s">
        <v>1348</v>
      </c>
      <c r="N12" s="2598"/>
      <c r="O12" s="160"/>
      <c r="P12" s="160"/>
      <c r="Q12" s="160"/>
      <c r="R12" s="160"/>
      <c r="S12" s="1490"/>
      <c r="T12" s="2260"/>
      <c r="U12" s="2260"/>
      <c r="V12" s="160"/>
      <c r="W12" s="2583"/>
      <c r="X12" s="2583"/>
      <c r="Y12" s="2583"/>
      <c r="Z12" s="2260"/>
      <c r="AA12" s="2260"/>
      <c r="AB12" s="2260"/>
      <c r="AC12" s="2260"/>
      <c r="AD12" s="2260"/>
      <c r="AE12" s="2260"/>
    </row>
    <row r="13" spans="1:31" s="89" customFormat="1" ht="15" customHeight="1" x14ac:dyDescent="0.2">
      <c r="A13" s="2593" t="s">
        <v>1349</v>
      </c>
      <c r="B13" s="2593"/>
      <c r="C13" s="2593"/>
      <c r="D13" s="2593"/>
      <c r="E13" s="2593"/>
      <c r="F13" s="160"/>
      <c r="G13" s="1410"/>
      <c r="H13" s="160"/>
      <c r="I13" s="1410"/>
      <c r="J13" s="160"/>
      <c r="K13" s="1410"/>
      <c r="L13" s="160"/>
      <c r="M13" s="2592"/>
      <c r="N13" s="2592"/>
      <c r="O13" s="717" t="s">
        <v>914</v>
      </c>
      <c r="P13" s="466" t="s">
        <v>1350</v>
      </c>
      <c r="Q13" s="160"/>
      <c r="R13" s="160"/>
      <c r="S13" s="1489" t="s">
        <v>1349</v>
      </c>
      <c r="T13" s="160"/>
      <c r="U13" s="160"/>
      <c r="V13" s="160"/>
      <c r="W13" s="160"/>
      <c r="X13" s="160"/>
      <c r="Y13" s="160"/>
      <c r="Z13" s="160"/>
      <c r="AA13" s="160"/>
      <c r="AB13" s="160"/>
      <c r="AC13" s="160"/>
      <c r="AD13" s="160"/>
      <c r="AE13" s="160"/>
    </row>
    <row r="14" spans="1:31" s="89" customFormat="1" ht="13.5" customHeight="1" x14ac:dyDescent="0.2">
      <c r="A14" s="2593" t="s">
        <v>1351</v>
      </c>
      <c r="B14" s="2593"/>
      <c r="C14" s="2593"/>
      <c r="D14" s="2593"/>
      <c r="E14" s="2593"/>
      <c r="F14" s="160"/>
      <c r="G14" s="1410"/>
      <c r="H14" s="160"/>
      <c r="I14" s="1410"/>
      <c r="J14" s="160"/>
      <c r="K14" s="1410"/>
      <c r="L14" s="160"/>
      <c r="M14" s="2592"/>
      <c r="N14" s="2592"/>
      <c r="O14" s="160"/>
      <c r="P14" s="466" t="s">
        <v>1352</v>
      </c>
      <c r="Q14" s="160"/>
      <c r="R14" s="160"/>
      <c r="S14" s="1489" t="s">
        <v>1351</v>
      </c>
      <c r="T14" s="160"/>
      <c r="U14" s="160"/>
      <c r="V14" s="160"/>
      <c r="W14" s="160"/>
      <c r="X14" s="160"/>
      <c r="Y14" s="160"/>
      <c r="Z14" s="160"/>
      <c r="AA14" s="160"/>
      <c r="AB14" s="160"/>
      <c r="AC14" s="160"/>
      <c r="AD14" s="160"/>
      <c r="AE14" s="160"/>
    </row>
    <row r="15" spans="1:31" s="89" customFormat="1" ht="13.5" customHeight="1" x14ac:dyDescent="0.2">
      <c r="A15" s="2593" t="s">
        <v>1353</v>
      </c>
      <c r="B15" s="2593"/>
      <c r="C15" s="2593"/>
      <c r="D15" s="2593"/>
      <c r="E15" s="2593"/>
      <c r="F15" s="160"/>
      <c r="G15" s="1410"/>
      <c r="H15" s="160"/>
      <c r="I15" s="1410"/>
      <c r="J15" s="160"/>
      <c r="K15" s="1410"/>
      <c r="L15" s="160"/>
      <c r="M15" s="2592"/>
      <c r="N15" s="2592"/>
      <c r="O15" s="160"/>
      <c r="P15" s="466" t="s">
        <v>1354</v>
      </c>
      <c r="Q15" s="160"/>
      <c r="R15" s="160"/>
      <c r="S15" s="1489" t="s">
        <v>1353</v>
      </c>
      <c r="T15" s="909"/>
      <c r="U15" s="909"/>
      <c r="V15" s="909"/>
      <c r="W15" s="909"/>
      <c r="X15" s="160"/>
      <c r="Y15" s="160"/>
      <c r="Z15" s="160"/>
      <c r="AA15" s="160"/>
      <c r="AB15" s="160"/>
      <c r="AC15" s="160"/>
      <c r="AD15" s="160"/>
      <c r="AE15" s="160"/>
    </row>
    <row r="16" spans="1:31" s="89" customFormat="1" ht="13.5" customHeight="1" x14ac:dyDescent="0.2">
      <c r="A16" s="2593" t="s">
        <v>1355</v>
      </c>
      <c r="B16" s="2593"/>
      <c r="C16" s="2593"/>
      <c r="D16" s="2593"/>
      <c r="E16" s="2593"/>
      <c r="F16" s="160"/>
      <c r="G16" s="1410"/>
      <c r="H16" s="160"/>
      <c r="I16" s="1410"/>
      <c r="J16" s="160"/>
      <c r="K16" s="1410"/>
      <c r="L16" s="160"/>
      <c r="M16" s="2592"/>
      <c r="N16" s="2592"/>
      <c r="O16" s="160"/>
      <c r="P16" s="466" t="s">
        <v>1356</v>
      </c>
      <c r="Q16" s="160"/>
      <c r="R16" s="160"/>
      <c r="S16" s="1489" t="s">
        <v>1355</v>
      </c>
      <c r="T16" s="160"/>
      <c r="U16" s="160"/>
      <c r="V16" s="160"/>
      <c r="W16" s="160"/>
      <c r="X16" s="160"/>
      <c r="Y16" s="160"/>
      <c r="Z16" s="160"/>
      <c r="AA16" s="160"/>
      <c r="AB16" s="160"/>
      <c r="AC16" s="160"/>
      <c r="AD16" s="160"/>
      <c r="AE16" s="160"/>
    </row>
    <row r="17" spans="1:21" s="89" customFormat="1" ht="13.5" customHeight="1" x14ac:dyDescent="0.2">
      <c r="A17" s="2495" t="s">
        <v>1357</v>
      </c>
      <c r="B17" s="2383"/>
      <c r="C17" s="2383"/>
      <c r="D17" s="2383"/>
      <c r="E17" s="2383"/>
      <c r="F17" s="160"/>
      <c r="G17" s="1410"/>
      <c r="H17" s="160"/>
      <c r="I17" s="1410"/>
      <c r="J17" s="160"/>
      <c r="K17" s="1410"/>
      <c r="L17" s="160"/>
      <c r="M17" s="2592"/>
      <c r="N17" s="2592"/>
      <c r="O17" s="160"/>
      <c r="P17" s="466" t="s">
        <v>1358</v>
      </c>
      <c r="Q17" s="160"/>
      <c r="R17" s="160"/>
      <c r="S17" s="1489" t="s">
        <v>1357</v>
      </c>
      <c r="T17" s="160"/>
      <c r="U17" s="160"/>
    </row>
    <row r="18" spans="1:21" s="89" customFormat="1" ht="14.1" customHeight="1" x14ac:dyDescent="0.2">
      <c r="A18" s="2593" t="s">
        <v>1359</v>
      </c>
      <c r="B18" s="2607"/>
      <c r="C18" s="2607"/>
      <c r="D18" s="2607"/>
      <c r="E18" s="2607"/>
      <c r="F18" s="160"/>
      <c r="G18" s="1410"/>
      <c r="H18" s="160"/>
      <c r="I18" s="1410"/>
      <c r="J18" s="160"/>
      <c r="K18" s="1410"/>
      <c r="L18" s="160"/>
      <c r="M18" s="2592"/>
      <c r="N18" s="2592"/>
      <c r="O18" s="160"/>
      <c r="P18" s="160"/>
      <c r="Q18" s="160"/>
      <c r="R18" s="160"/>
      <c r="S18" s="1489" t="s">
        <v>1359</v>
      </c>
      <c r="T18" s="160"/>
      <c r="U18" s="160"/>
    </row>
    <row r="19" spans="1:21" s="89" customFormat="1" ht="14.1" customHeight="1" x14ac:dyDescent="0.2">
      <c r="A19" s="2593" t="s">
        <v>1360</v>
      </c>
      <c r="B19" s="2607"/>
      <c r="C19" s="2607"/>
      <c r="D19" s="2607"/>
      <c r="E19" s="2607"/>
      <c r="F19" s="160"/>
      <c r="G19" s="1410"/>
      <c r="H19" s="160"/>
      <c r="I19" s="1410"/>
      <c r="J19" s="160"/>
      <c r="K19" s="1410"/>
      <c r="L19" s="160"/>
      <c r="M19" s="2592"/>
      <c r="N19" s="2592"/>
      <c r="O19" s="160"/>
      <c r="P19" s="160"/>
      <c r="Q19" s="160"/>
      <c r="R19" s="160"/>
      <c r="S19" s="1489" t="s">
        <v>1360</v>
      </c>
      <c r="T19" s="160"/>
      <c r="U19" s="160"/>
    </row>
    <row r="20" spans="1:21" s="89" customFormat="1" ht="14.1" customHeight="1" x14ac:dyDescent="0.2">
      <c r="A20" s="2594" t="s">
        <v>1361</v>
      </c>
      <c r="B20" s="2383"/>
      <c r="C20" s="2604"/>
      <c r="D20" s="2604"/>
      <c r="E20" s="2604"/>
      <c r="F20" s="160"/>
      <c r="G20" s="1410"/>
      <c r="H20" s="160"/>
      <c r="I20" s="1410"/>
      <c r="J20" s="160"/>
      <c r="K20" s="1410"/>
      <c r="L20" s="160"/>
      <c r="M20" s="2592"/>
      <c r="N20" s="2592"/>
      <c r="O20" s="160"/>
      <c r="P20" s="160"/>
      <c r="Q20" s="160"/>
      <c r="R20" s="160"/>
      <c r="S20" s="1465"/>
      <c r="T20" s="160"/>
      <c r="U20" s="160"/>
    </row>
    <row r="21" spans="1:21" s="89" customFormat="1" ht="14.1" customHeight="1" x14ac:dyDescent="0.2">
      <c r="A21" s="2594" t="s">
        <v>1361</v>
      </c>
      <c r="B21" s="2383"/>
      <c r="C21" s="2605"/>
      <c r="D21" s="2606"/>
      <c r="E21" s="2606"/>
      <c r="F21" s="160"/>
      <c r="G21" s="1765"/>
      <c r="H21" s="160"/>
      <c r="I21" s="1765"/>
      <c r="J21" s="160"/>
      <c r="K21" s="1765"/>
      <c r="L21" s="160"/>
      <c r="M21" s="2592"/>
      <c r="N21" s="2592"/>
      <c r="O21" s="160"/>
      <c r="P21" s="160"/>
      <c r="Q21" s="160"/>
      <c r="R21" s="160"/>
      <c r="S21" s="1465"/>
      <c r="T21" s="160"/>
      <c r="U21" s="160"/>
    </row>
    <row r="22" spans="1:21" s="89" customFormat="1" ht="8.1" customHeight="1" x14ac:dyDescent="0.2">
      <c r="A22" s="1784"/>
      <c r="B22" s="160"/>
      <c r="C22" s="160"/>
      <c r="D22" s="160"/>
      <c r="E22" s="160"/>
      <c r="F22" s="160"/>
      <c r="G22" s="160"/>
      <c r="H22" s="160"/>
      <c r="I22" s="160"/>
      <c r="J22" s="160"/>
      <c r="K22" s="160"/>
      <c r="L22" s="160"/>
      <c r="M22" s="160"/>
      <c r="N22" s="160"/>
      <c r="O22" s="160"/>
      <c r="P22" s="160"/>
      <c r="Q22" s="160"/>
      <c r="R22" s="160"/>
      <c r="S22" s="1489"/>
      <c r="T22" s="160"/>
      <c r="U22" s="160"/>
    </row>
    <row r="23" spans="1:21" s="89" customFormat="1" ht="14.1" customHeight="1" x14ac:dyDescent="0.2">
      <c r="A23" s="968" t="s">
        <v>1362</v>
      </c>
      <c r="B23" s="160"/>
      <c r="C23" s="160"/>
      <c r="D23" s="160"/>
      <c r="E23" s="160"/>
      <c r="F23" s="160"/>
      <c r="G23" s="2260" t="s">
        <v>1341</v>
      </c>
      <c r="H23" s="2260"/>
      <c r="I23" s="2260" t="s">
        <v>1341</v>
      </c>
      <c r="J23" s="2260"/>
      <c r="K23" s="2260" t="s">
        <v>1343</v>
      </c>
      <c r="L23" s="2260"/>
      <c r="M23" s="2260" t="s">
        <v>1363</v>
      </c>
      <c r="N23" s="2260"/>
      <c r="O23" s="2260" t="s">
        <v>1364</v>
      </c>
      <c r="P23" s="2260"/>
      <c r="Q23" s="2260" t="s">
        <v>1365</v>
      </c>
      <c r="R23" s="2260"/>
      <c r="S23" s="2583"/>
      <c r="T23" s="2583"/>
      <c r="U23" s="2583"/>
    </row>
    <row r="24" spans="1:21" s="89" customFormat="1" ht="14.1" customHeight="1" x14ac:dyDescent="0.2">
      <c r="A24" s="2572" t="s">
        <v>1366</v>
      </c>
      <c r="B24" s="2572"/>
      <c r="C24" s="2572"/>
      <c r="D24" s="2572"/>
      <c r="E24" s="2572"/>
      <c r="F24" s="160"/>
      <c r="G24" s="2255" t="s">
        <v>1346</v>
      </c>
      <c r="H24" s="2260"/>
      <c r="I24" s="1801">
        <f>+Data!$A$2</f>
        <v>45107</v>
      </c>
      <c r="J24" s="2260"/>
      <c r="K24" s="2255" t="s">
        <v>1347</v>
      </c>
      <c r="L24" s="2260"/>
      <c r="M24" s="2255" t="s">
        <v>670</v>
      </c>
      <c r="N24" s="2260"/>
      <c r="O24" s="2255" t="s">
        <v>670</v>
      </c>
      <c r="P24" s="2260"/>
      <c r="Q24" s="2260" t="s">
        <v>1367</v>
      </c>
      <c r="R24" s="2260"/>
      <c r="S24" s="1490"/>
      <c r="T24" s="2260"/>
      <c r="U24" s="2260"/>
    </row>
    <row r="25" spans="1:21" s="89" customFormat="1" ht="15" customHeight="1" x14ac:dyDescent="0.2">
      <c r="A25" s="2593" t="s">
        <v>1368</v>
      </c>
      <c r="B25" s="2593"/>
      <c r="C25" s="2593"/>
      <c r="D25" s="2593"/>
      <c r="E25" s="2593"/>
      <c r="F25" s="160"/>
      <c r="G25" s="1410"/>
      <c r="H25" s="160"/>
      <c r="I25" s="1410"/>
      <c r="J25" s="160"/>
      <c r="K25" s="1410"/>
      <c r="L25" s="160"/>
      <c r="M25" s="552"/>
      <c r="N25" s="160"/>
      <c r="O25" s="553"/>
      <c r="P25" s="160"/>
      <c r="Q25" s="540"/>
      <c r="R25" s="538" t="s">
        <v>1369</v>
      </c>
      <c r="S25" s="1489" t="s">
        <v>1370</v>
      </c>
      <c r="T25" s="160"/>
      <c r="U25" s="160"/>
    </row>
    <row r="26" spans="1:21" s="89" customFormat="1" ht="14.1" customHeight="1" x14ac:dyDescent="0.2">
      <c r="A26" s="2593" t="s">
        <v>1368</v>
      </c>
      <c r="B26" s="2593"/>
      <c r="C26" s="2593"/>
      <c r="D26" s="2593"/>
      <c r="E26" s="2593"/>
      <c r="F26" s="160"/>
      <c r="G26" s="1410"/>
      <c r="H26" s="160"/>
      <c r="I26" s="1410"/>
      <c r="J26" s="160"/>
      <c r="K26" s="1410"/>
      <c r="L26" s="160"/>
      <c r="M26" s="553"/>
      <c r="N26" s="160"/>
      <c r="O26" s="553"/>
      <c r="P26" s="160"/>
      <c r="Q26" s="541"/>
      <c r="R26" s="538" t="s">
        <v>1371</v>
      </c>
      <c r="S26" s="1489" t="s">
        <v>1370</v>
      </c>
      <c r="T26" s="160"/>
      <c r="U26" s="160"/>
    </row>
    <row r="27" spans="1:21" s="89" customFormat="1" ht="14.1" customHeight="1" x14ac:dyDescent="0.2">
      <c r="A27" s="2593" t="s">
        <v>1368</v>
      </c>
      <c r="B27" s="2593"/>
      <c r="C27" s="2593"/>
      <c r="D27" s="2593"/>
      <c r="E27" s="2593"/>
      <c r="F27" s="160"/>
      <c r="G27" s="1410"/>
      <c r="H27" s="160"/>
      <c r="I27" s="1410"/>
      <c r="J27" s="160"/>
      <c r="K27" s="1410"/>
      <c r="L27" s="160"/>
      <c r="M27" s="553"/>
      <c r="N27" s="160"/>
      <c r="O27" s="553"/>
      <c r="P27" s="160"/>
      <c r="Q27" s="541"/>
      <c r="R27" s="538" t="s">
        <v>1372</v>
      </c>
      <c r="S27" s="1489" t="s">
        <v>1370</v>
      </c>
      <c r="T27" s="160"/>
      <c r="U27" s="160"/>
    </row>
    <row r="28" spans="1:21" s="89" customFormat="1" ht="14.1" customHeight="1" x14ac:dyDescent="0.2">
      <c r="A28" s="2593" t="s">
        <v>1368</v>
      </c>
      <c r="B28" s="2593"/>
      <c r="C28" s="2593"/>
      <c r="D28" s="2593"/>
      <c r="E28" s="2593"/>
      <c r="F28" s="160"/>
      <c r="G28" s="1410"/>
      <c r="H28" s="160"/>
      <c r="I28" s="1410"/>
      <c r="J28" s="160"/>
      <c r="K28" s="1410"/>
      <c r="L28" s="160"/>
      <c r="M28" s="553"/>
      <c r="N28" s="160"/>
      <c r="O28" s="553"/>
      <c r="P28" s="160"/>
      <c r="Q28" s="541"/>
      <c r="R28" s="538" t="s">
        <v>1373</v>
      </c>
      <c r="S28" s="1489" t="s">
        <v>1370</v>
      </c>
      <c r="T28" s="160"/>
      <c r="U28" s="160"/>
    </row>
    <row r="29" spans="1:21" s="89" customFormat="1" ht="14.1" customHeight="1" x14ac:dyDescent="0.2">
      <c r="A29" s="2593" t="s">
        <v>1368</v>
      </c>
      <c r="B29" s="2593"/>
      <c r="C29" s="2593"/>
      <c r="D29" s="2593"/>
      <c r="E29" s="2593"/>
      <c r="F29" s="160"/>
      <c r="G29" s="1410"/>
      <c r="H29" s="160"/>
      <c r="I29" s="1410"/>
      <c r="J29" s="160"/>
      <c r="K29" s="1410"/>
      <c r="L29" s="160"/>
      <c r="M29" s="553"/>
      <c r="N29" s="160"/>
      <c r="O29" s="553"/>
      <c r="P29" s="160"/>
      <c r="Q29" s="541"/>
      <c r="R29" s="538" t="s">
        <v>1374</v>
      </c>
      <c r="S29" s="1489" t="s">
        <v>1370</v>
      </c>
      <c r="T29" s="160"/>
      <c r="U29" s="160"/>
    </row>
    <row r="30" spans="1:21" s="89" customFormat="1" ht="14.1" customHeight="1" thickBot="1" x14ac:dyDescent="0.25">
      <c r="A30" s="2266" t="s">
        <v>1361</v>
      </c>
      <c r="B30" s="160"/>
      <c r="C30" s="2595"/>
      <c r="D30" s="2595"/>
      <c r="E30" s="2595"/>
      <c r="F30" s="160"/>
      <c r="G30" s="1410"/>
      <c r="H30" s="160"/>
      <c r="I30" s="1761"/>
      <c r="J30" s="160"/>
      <c r="K30" s="1410"/>
      <c r="L30" s="160"/>
      <c r="M30" s="553"/>
      <c r="N30" s="160"/>
      <c r="O30" s="553"/>
      <c r="P30" s="160"/>
      <c r="Q30" s="541"/>
      <c r="R30" s="538" t="s">
        <v>1375</v>
      </c>
      <c r="S30" s="1489" t="s">
        <v>1370</v>
      </c>
      <c r="T30" s="160"/>
      <c r="U30" s="160"/>
    </row>
    <row r="31" spans="1:21" s="89" customFormat="1" ht="14.1" customHeight="1" thickBot="1" x14ac:dyDescent="0.25">
      <c r="A31" s="2266"/>
      <c r="B31" s="160" t="s">
        <v>955</v>
      </c>
      <c r="C31" s="160"/>
      <c r="D31" s="1028"/>
      <c r="E31" s="1028"/>
      <c r="F31" s="160"/>
      <c r="G31" s="787"/>
      <c r="H31" s="160"/>
      <c r="I31" s="1802">
        <f>SUM(I25:I30)</f>
        <v>0</v>
      </c>
      <c r="J31" s="160"/>
      <c r="K31" s="1411"/>
      <c r="L31" s="160"/>
      <c r="M31" s="1029"/>
      <c r="N31" s="160"/>
      <c r="O31" s="1029"/>
      <c r="P31" s="160"/>
      <c r="Q31" s="1030"/>
      <c r="R31" s="538"/>
      <c r="S31" s="1489"/>
      <c r="T31" s="160"/>
      <c r="U31" s="160"/>
    </row>
    <row r="32" spans="1:21" s="89" customFormat="1" ht="8.1" customHeight="1" thickTop="1" x14ac:dyDescent="0.2">
      <c r="A32" s="909"/>
      <c r="B32" s="160"/>
      <c r="C32" s="160"/>
      <c r="D32" s="160"/>
      <c r="E32" s="160"/>
      <c r="F32" s="160"/>
      <c r="G32" s="160"/>
      <c r="H32" s="160"/>
      <c r="I32" s="160"/>
      <c r="J32" s="160"/>
      <c r="K32" s="160"/>
      <c r="L32" s="160"/>
      <c r="M32" s="160"/>
      <c r="N32" s="160"/>
      <c r="O32" s="160"/>
      <c r="P32" s="160"/>
      <c r="Q32" s="160"/>
      <c r="R32" s="160"/>
      <c r="S32" s="1489"/>
      <c r="T32" s="160"/>
      <c r="U32" s="160"/>
    </row>
    <row r="33" spans="1:21" ht="12.75" x14ac:dyDescent="0.2">
      <c r="A33" s="968" t="s">
        <v>1376</v>
      </c>
      <c r="B33" s="551"/>
      <c r="C33" s="551"/>
      <c r="D33" s="551"/>
      <c r="E33" s="551"/>
      <c r="F33"/>
      <c r="G33" s="2246" t="s">
        <v>1377</v>
      </c>
      <c r="H33"/>
      <c r="I33" s="2246"/>
      <c r="J33"/>
      <c r="K33"/>
      <c r="L33"/>
      <c r="M33"/>
      <c r="N33"/>
      <c r="O33"/>
      <c r="P33"/>
      <c r="Q33"/>
    </row>
    <row r="34" spans="1:21" ht="12.75" x14ac:dyDescent="0.2">
      <c r="A34" s="2596" t="s">
        <v>1378</v>
      </c>
      <c r="B34" s="2596"/>
      <c r="C34" s="2596"/>
      <c r="D34" s="2596"/>
      <c r="E34" s="2596"/>
      <c r="F34"/>
      <c r="G34" s="2267" t="s">
        <v>1379</v>
      </c>
      <c r="H34"/>
      <c r="I34" s="2246"/>
      <c r="J34"/>
      <c r="K34"/>
      <c r="L34"/>
      <c r="M34"/>
      <c r="N34"/>
      <c r="O34"/>
      <c r="P34"/>
      <c r="Q34"/>
    </row>
    <row r="35" spans="1:21" ht="15" customHeight="1" x14ac:dyDescent="0.2">
      <c r="A35" s="909" t="s">
        <v>1380</v>
      </c>
      <c r="B35" s="1783"/>
      <c r="D35" s="909"/>
      <c r="F35" s="909"/>
      <c r="G35" s="542"/>
      <c r="H35" s="909"/>
      <c r="I35" s="1803"/>
      <c r="J35" s="909"/>
      <c r="K35" s="909"/>
      <c r="L35" s="160"/>
      <c r="M35" s="160"/>
      <c r="N35" s="160"/>
      <c r="O35" s="160"/>
      <c r="P35" s="160"/>
      <c r="Q35" s="160"/>
    </row>
    <row r="36" spans="1:21" ht="13.35" customHeight="1" x14ac:dyDescent="0.2">
      <c r="A36" s="968" t="s">
        <v>1381</v>
      </c>
      <c r="D36" s="1784"/>
      <c r="F36" s="909"/>
      <c r="G36" s="1783"/>
      <c r="H36" s="909"/>
      <c r="I36" s="909"/>
      <c r="J36" s="909"/>
      <c r="K36" s="909"/>
      <c r="L36" s="160"/>
      <c r="M36" s="160"/>
      <c r="N36" s="160"/>
      <c r="O36" s="160"/>
      <c r="P36" s="160"/>
      <c r="Q36" s="160"/>
    </row>
    <row r="37" spans="1:21" ht="12.6" customHeight="1" x14ac:dyDescent="0.2">
      <c r="A37" s="2266" t="s">
        <v>1382</v>
      </c>
      <c r="B37" s="1783"/>
      <c r="C37" s="1804"/>
      <c r="D37" s="909"/>
      <c r="F37" s="909"/>
      <c r="G37" s="542"/>
      <c r="H37" s="909"/>
      <c r="I37" s="1803"/>
      <c r="J37" s="909"/>
      <c r="K37" s="909"/>
      <c r="L37" s="160"/>
      <c r="M37" s="160"/>
      <c r="N37" s="160"/>
      <c r="O37" s="160"/>
      <c r="P37" s="160"/>
      <c r="Q37" s="160"/>
    </row>
    <row r="38" spans="1:21" ht="12.6" customHeight="1" x14ac:dyDescent="0.2">
      <c r="A38" s="2266" t="s">
        <v>1383</v>
      </c>
      <c r="B38" s="1783"/>
      <c r="C38" s="1804"/>
      <c r="D38" s="1784"/>
      <c r="F38" s="909"/>
      <c r="G38" s="543"/>
      <c r="H38" s="909"/>
      <c r="I38" s="1803"/>
      <c r="J38" s="909"/>
      <c r="K38" s="909"/>
      <c r="L38" s="160"/>
      <c r="M38" s="160"/>
      <c r="N38" s="160"/>
      <c r="O38" s="160"/>
      <c r="P38" s="160"/>
      <c r="Q38" s="160"/>
    </row>
    <row r="39" spans="1:21" ht="12.6" customHeight="1" x14ac:dyDescent="0.2">
      <c r="A39" s="2266" t="s">
        <v>1384</v>
      </c>
      <c r="B39" s="1784"/>
      <c r="D39" s="909"/>
      <c r="F39" s="909"/>
      <c r="G39" s="543"/>
      <c r="H39" s="909"/>
      <c r="I39" s="1803"/>
      <c r="J39" s="909"/>
      <c r="K39" s="909"/>
      <c r="L39" s="160"/>
      <c r="M39" s="160"/>
      <c r="N39" s="160"/>
      <c r="O39" s="160"/>
      <c r="P39" s="160"/>
      <c r="Q39" s="160"/>
    </row>
    <row r="40" spans="1:21" ht="12" customHeight="1" x14ac:dyDescent="0.2">
      <c r="A40" s="160"/>
      <c r="B40" s="160"/>
      <c r="C40" s="160"/>
      <c r="D40" s="160"/>
      <c r="E40" s="160"/>
      <c r="F40" s="160"/>
      <c r="G40" s="160"/>
      <c r="H40" s="160"/>
      <c r="I40" s="160"/>
      <c r="J40" s="160"/>
      <c r="K40" s="160"/>
      <c r="L40" s="160"/>
      <c r="M40" s="160"/>
      <c r="N40" s="160"/>
      <c r="O40" s="160"/>
      <c r="P40" s="160"/>
      <c r="Q40" s="160"/>
    </row>
    <row r="41" spans="1:21" ht="11.85" customHeight="1" x14ac:dyDescent="0.2">
      <c r="A41" s="2590" t="s">
        <v>1385</v>
      </c>
      <c r="B41" s="2383"/>
      <c r="C41" s="2383"/>
      <c r="D41" s="2383"/>
      <c r="E41" s="2383"/>
      <c r="F41" s="2383"/>
      <c r="G41" s="2383"/>
      <c r="H41" s="2383"/>
      <c r="I41" s="2383"/>
      <c r="J41" s="2383"/>
      <c r="K41" s="2383"/>
      <c r="L41" s="2383"/>
      <c r="M41" s="2383"/>
      <c r="N41" s="2383"/>
      <c r="O41" s="2383"/>
      <c r="P41" s="2383"/>
      <c r="Q41" s="2383"/>
      <c r="R41" s="2383"/>
      <c r="S41" s="1492"/>
      <c r="T41" s="2265"/>
      <c r="U41" s="2265"/>
    </row>
    <row r="42" spans="1:21" ht="11.85" customHeight="1" x14ac:dyDescent="0.2">
      <c r="A42" s="2590" t="s">
        <v>1386</v>
      </c>
      <c r="B42" s="2383"/>
      <c r="C42" s="2383"/>
      <c r="D42" s="2383"/>
      <c r="E42" s="2383"/>
      <c r="F42" s="2383"/>
      <c r="G42" s="2383"/>
      <c r="H42" s="2383"/>
      <c r="I42" s="2383"/>
      <c r="J42" s="2383"/>
      <c r="K42" s="2383"/>
      <c r="L42" s="2383"/>
      <c r="M42" s="2383"/>
      <c r="N42" s="2383"/>
      <c r="O42" s="2383"/>
      <c r="P42" s="2383"/>
      <c r="Q42" s="2383"/>
      <c r="R42" s="2383"/>
      <c r="S42" s="1492"/>
      <c r="T42" s="2265"/>
      <c r="U42" s="2265"/>
    </row>
    <row r="43" spans="1:21" ht="11.85" customHeight="1" x14ac:dyDescent="0.2">
      <c r="A43" s="2591" t="s">
        <v>1387</v>
      </c>
      <c r="B43" s="2445"/>
      <c r="C43" s="2445"/>
      <c r="D43" s="2445"/>
      <c r="E43" s="2445"/>
      <c r="F43" s="2445"/>
      <c r="G43" s="2445"/>
      <c r="H43" s="2445"/>
      <c r="I43" s="2445"/>
      <c r="J43" s="2445"/>
      <c r="K43" s="2445"/>
      <c r="L43" s="2445"/>
      <c r="M43" s="2445"/>
      <c r="N43" s="2445"/>
      <c r="O43" s="2445"/>
      <c r="P43" s="2445"/>
      <c r="Q43" s="2445"/>
      <c r="R43" s="2445"/>
      <c r="S43" s="1492"/>
      <c r="T43" s="2265"/>
      <c r="U43" s="2265"/>
    </row>
    <row r="44" spans="1:21" ht="2.1" customHeight="1" x14ac:dyDescent="0.2"/>
  </sheetData>
  <sheetProtection algorithmName="SHA-512" hashValue="Za49Riakzlv7hy++d4nc/D+oX78NGvK64YRNxJrJvASIiKMgv4dGPDhGsklrmTGMlBSFxCP6N/WrCunODLruBg==" saltValue="Y3kxxtcJvmD4LBj6ckI07Q==" spinCount="100000" sheet="1" objects="1" scenarios="1" autoFilter="0"/>
  <customSheetViews>
    <customSheetView guid="{9FCFC836-1CA5-48BF-958D-24D2EA94B219}" showGridLines="0">
      <selection activeCell="L5" sqref="L5:Q5"/>
      <pageMargins left="0" right="0" top="0" bottom="0" header="0" footer="0"/>
      <pageSetup orientation="landscape" r:id="rId1"/>
      <headerFooter alignWithMargins="0">
        <oddFooter>&amp;R&amp;A</oddFooter>
      </headerFooter>
    </customSheetView>
    <customSheetView guid="{B08879A4-635B-4C39-9937-AC7883D562FC}" showGridLines="0">
      <selection activeCell="L5" sqref="L5:Q5"/>
      <pageMargins left="0" right="0" top="0" bottom="0" header="0" footer="0"/>
      <pageSetup orientation="landscape" r:id="rId2"/>
      <headerFooter alignWithMargins="0">
        <oddFooter>&amp;R&amp;A</oddFooter>
      </headerFooter>
    </customSheetView>
  </customSheetViews>
  <mergeCells count="45">
    <mergeCell ref="S23:U23"/>
    <mergeCell ref="A14:E14"/>
    <mergeCell ref="A15:E15"/>
    <mergeCell ref="C20:E20"/>
    <mergeCell ref="C21:E21"/>
    <mergeCell ref="A21:B21"/>
    <mergeCell ref="A19:E19"/>
    <mergeCell ref="M15:N15"/>
    <mergeCell ref="M16:N16"/>
    <mergeCell ref="A16:E16"/>
    <mergeCell ref="A18:E18"/>
    <mergeCell ref="M17:N17"/>
    <mergeCell ref="M19:N19"/>
    <mergeCell ref="A1:Q1"/>
    <mergeCell ref="R1:R3"/>
    <mergeCell ref="A2:Q2"/>
    <mergeCell ref="A3:Q3"/>
    <mergeCell ref="L5:Q5"/>
    <mergeCell ref="L6:Q6"/>
    <mergeCell ref="D7:E7"/>
    <mergeCell ref="L7:Q7"/>
    <mergeCell ref="L8:Q8"/>
    <mergeCell ref="A13:E13"/>
    <mergeCell ref="A12:E12"/>
    <mergeCell ref="W12:Y12"/>
    <mergeCell ref="M11:N11"/>
    <mergeCell ref="M12:N12"/>
    <mergeCell ref="M13:N13"/>
    <mergeCell ref="M14:N14"/>
    <mergeCell ref="A41:R41"/>
    <mergeCell ref="A42:R42"/>
    <mergeCell ref="A43:R43"/>
    <mergeCell ref="A17:E17"/>
    <mergeCell ref="M18:N18"/>
    <mergeCell ref="M20:N20"/>
    <mergeCell ref="A27:E27"/>
    <mergeCell ref="A29:E29"/>
    <mergeCell ref="A20:B20"/>
    <mergeCell ref="M21:N21"/>
    <mergeCell ref="C30:E30"/>
    <mergeCell ref="A34:E34"/>
    <mergeCell ref="A28:E28"/>
    <mergeCell ref="A25:E25"/>
    <mergeCell ref="A26:E26"/>
    <mergeCell ref="A24:E24"/>
  </mergeCells>
  <conditionalFormatting sqref="R1:R3">
    <cfRule type="cellIs" dxfId="122" priority="1" stopIfTrue="1" operator="equal">
      <formula>"na"</formula>
    </cfRule>
  </conditionalFormatting>
  <hyperlinks>
    <hyperlink ref="A1:Q1" location="Index!A1" display="Index!A1" xr:uid="{00000000-0004-0000-1400-000000000000}"/>
  </hyperlinks>
  <pageMargins left="0.6" right="0.6" top="0.5" bottom="0.5" header="0.3" footer="0.3"/>
  <pageSetup scale="85" orientation="landscape" r:id="rId3"/>
  <ignoredErrors>
    <ignoredError sqref="O13" numberStoredAsText="1"/>
  </ignoredError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dimension ref="A1:AE41"/>
  <sheetViews>
    <sheetView showGridLines="0" zoomScaleNormal="100" zoomScaleSheetLayoutView="100" workbookViewId="0">
      <selection activeCell="A29" sqref="A29:R29"/>
    </sheetView>
  </sheetViews>
  <sheetFormatPr defaultColWidth="9.42578125" defaultRowHeight="11.25" x14ac:dyDescent="0.2"/>
  <cols>
    <col min="1" max="1" width="3" style="28" customWidth="1"/>
    <col min="2" max="2" width="2.5703125" style="28" customWidth="1"/>
    <col min="3" max="3" width="9.42578125" style="28" customWidth="1"/>
    <col min="4" max="4" width="1.5703125" style="28" customWidth="1"/>
    <col min="5" max="5" width="13.42578125" style="28" customWidth="1"/>
    <col min="6" max="6" width="1.42578125" style="28" customWidth="1"/>
    <col min="7" max="7" width="24" style="28" customWidth="1"/>
    <col min="8" max="8" width="1.42578125" style="28" customWidth="1"/>
    <col min="9" max="9" width="14.5703125" style="28" customWidth="1"/>
    <col min="10" max="10" width="1.42578125" style="28" customWidth="1"/>
    <col min="11" max="11" width="16.5703125" style="28" customWidth="1"/>
    <col min="12" max="12" width="1.42578125" style="28" customWidth="1"/>
    <col min="13" max="13" width="14.5703125" style="28" customWidth="1"/>
    <col min="14" max="14" width="1.42578125" style="28" customWidth="1"/>
    <col min="15" max="15" width="9.5703125" style="28" customWidth="1"/>
    <col min="16" max="16" width="1.42578125" style="28" customWidth="1"/>
    <col min="17" max="17" width="9.5703125" style="28" customWidth="1"/>
    <col min="18" max="18" width="4.5703125" style="28" customWidth="1"/>
    <col min="19" max="19" width="3.85546875" style="28" customWidth="1"/>
    <col min="20" max="20" width="1.5703125" style="28" customWidth="1"/>
    <col min="21" max="21" width="8.5703125" style="28" customWidth="1"/>
    <col min="22" max="16384" width="9.42578125" style="28"/>
  </cols>
  <sheetData>
    <row r="1" spans="1:31" s="29" customFormat="1" ht="15" customHeight="1" x14ac:dyDescent="0.25">
      <c r="A1" s="2455" t="str">
        <f>+Index!$A$1</f>
        <v xml:space="preserve">                                                               Office of the State Controller                                                                </v>
      </c>
      <c r="B1" s="2455"/>
      <c r="C1" s="2455"/>
      <c r="D1" s="2455"/>
      <c r="E1" s="2455"/>
      <c r="F1" s="2455"/>
      <c r="G1" s="2455"/>
      <c r="H1" s="2455"/>
      <c r="I1" s="2455"/>
      <c r="J1" s="2455"/>
      <c r="K1" s="2455"/>
      <c r="L1" s="2455"/>
      <c r="M1" s="2455"/>
      <c r="N1" s="2455"/>
      <c r="O1" s="2455"/>
      <c r="P1" s="2455"/>
      <c r="Q1" s="2455"/>
      <c r="R1" s="2520" t="str">
        <f>IF(Index!$B$44="na","NA","")</f>
        <v/>
      </c>
      <c r="AE1" s="30"/>
    </row>
    <row r="2" spans="1:31" s="29" customFormat="1" ht="15" customHeight="1" x14ac:dyDescent="0.25">
      <c r="A2" s="2493" t="str">
        <f>+Index!$A$2</f>
        <v>2023 ACFR Worksheets</v>
      </c>
      <c r="B2" s="2493"/>
      <c r="C2" s="2493"/>
      <c r="D2" s="2493"/>
      <c r="E2" s="2493"/>
      <c r="F2" s="2493"/>
      <c r="G2" s="2493"/>
      <c r="H2" s="2493"/>
      <c r="I2" s="2493"/>
      <c r="J2" s="2493"/>
      <c r="K2" s="2493"/>
      <c r="L2" s="2493"/>
      <c r="M2" s="2493"/>
      <c r="N2" s="2493"/>
      <c r="O2" s="2493"/>
      <c r="P2" s="2493"/>
      <c r="Q2" s="2493"/>
      <c r="R2" s="2520"/>
    </row>
    <row r="3" spans="1:31" s="29" customFormat="1" ht="15" customHeight="1" x14ac:dyDescent="0.25">
      <c r="A3" s="2493" t="s">
        <v>1388</v>
      </c>
      <c r="B3" s="2493"/>
      <c r="C3" s="2493"/>
      <c r="D3" s="2493"/>
      <c r="E3" s="2493"/>
      <c r="F3" s="2493"/>
      <c r="G3" s="2493"/>
      <c r="H3" s="2493"/>
      <c r="I3" s="2493"/>
      <c r="J3" s="2493"/>
      <c r="K3" s="2493"/>
      <c r="L3" s="2493"/>
      <c r="M3" s="2493"/>
      <c r="N3" s="2493"/>
      <c r="O3" s="2493"/>
      <c r="P3" s="2493"/>
      <c r="Q3" s="2493"/>
      <c r="R3" s="2520"/>
    </row>
    <row r="4" spans="1:31" s="89" customFormat="1" ht="15" customHeight="1" x14ac:dyDescent="0.2">
      <c r="A4" s="160"/>
      <c r="B4" s="160"/>
      <c r="C4" s="160"/>
      <c r="D4" s="160"/>
      <c r="E4" s="160"/>
      <c r="F4" s="160"/>
      <c r="G4" s="160"/>
      <c r="H4" s="2260"/>
      <c r="I4" s="160"/>
      <c r="J4" s="160"/>
      <c r="K4" s="160"/>
      <c r="L4" s="160"/>
      <c r="M4" s="160"/>
      <c r="N4" s="160"/>
      <c r="O4" s="160"/>
      <c r="P4" s="160"/>
      <c r="Q4" s="160"/>
      <c r="R4" s="160"/>
      <c r="S4" s="160"/>
      <c r="T4" s="160"/>
      <c r="U4" s="160"/>
      <c r="V4" s="160"/>
      <c r="W4" s="160"/>
      <c r="X4" s="160"/>
      <c r="Y4" s="160"/>
      <c r="Z4" s="160"/>
      <c r="AA4" s="160"/>
      <c r="AB4" s="160"/>
      <c r="AC4" s="160"/>
      <c r="AD4" s="160"/>
      <c r="AE4" s="160"/>
    </row>
    <row r="5" spans="1:31" s="89" customFormat="1" ht="15" customHeight="1" x14ac:dyDescent="0.2">
      <c r="A5" s="160"/>
      <c r="B5" s="160"/>
      <c r="C5" s="160"/>
      <c r="D5" s="2260"/>
      <c r="E5" s="160"/>
      <c r="F5" s="160"/>
      <c r="G5" s="160"/>
      <c r="H5" s="160"/>
      <c r="I5" s="160"/>
      <c r="J5" s="1798"/>
      <c r="K5" s="1733" t="s">
        <v>317</v>
      </c>
      <c r="L5" s="2599" t="str">
        <f>Index!E10</f>
        <v>01</v>
      </c>
      <c r="M5" s="2565"/>
      <c r="N5" s="2565"/>
      <c r="O5" s="2565"/>
      <c r="P5" s="2565"/>
      <c r="Q5" s="2565"/>
      <c r="R5" s="1775"/>
      <c r="S5" s="160"/>
      <c r="T5" s="160"/>
      <c r="U5" s="160"/>
      <c r="V5" s="160"/>
      <c r="W5" s="160"/>
      <c r="X5" s="160"/>
      <c r="Y5" s="160"/>
      <c r="Z5" s="160"/>
      <c r="AA5" s="160"/>
      <c r="AB5" s="160"/>
      <c r="AC5" s="160"/>
      <c r="AD5" s="160"/>
      <c r="AE5" s="160"/>
    </row>
    <row r="6" spans="1:31" s="89" customFormat="1" ht="15" customHeight="1" x14ac:dyDescent="0.2">
      <c r="A6" s="160"/>
      <c r="B6" s="160"/>
      <c r="C6" s="160"/>
      <c r="D6" s="160"/>
      <c r="E6" s="160"/>
      <c r="F6" s="160"/>
      <c r="G6" s="160"/>
      <c r="H6" s="160"/>
      <c r="I6" s="160"/>
      <c r="J6" s="1798"/>
      <c r="K6" s="1733" t="s">
        <v>318</v>
      </c>
      <c r="L6" s="2599" t="str">
        <f>Index!E11</f>
        <v>North Carolina General Assembly</v>
      </c>
      <c r="M6" s="2565"/>
      <c r="N6" s="2565"/>
      <c r="O6" s="2565"/>
      <c r="P6" s="2565"/>
      <c r="Q6" s="2565"/>
      <c r="R6" s="1775"/>
      <c r="S6" s="160"/>
      <c r="T6" s="160"/>
      <c r="U6" s="160"/>
      <c r="V6" s="160"/>
      <c r="W6" s="160"/>
      <c r="X6" s="160"/>
      <c r="Y6" s="160"/>
      <c r="Z6" s="160"/>
      <c r="AA6" s="160"/>
      <c r="AB6" s="160"/>
      <c r="AC6" s="160"/>
      <c r="AD6" s="160"/>
      <c r="AE6" s="160"/>
    </row>
    <row r="7" spans="1:31" s="89" customFormat="1" ht="15" customHeight="1" x14ac:dyDescent="0.2">
      <c r="A7" s="160" t="s">
        <v>568</v>
      </c>
      <c r="B7" s="160"/>
      <c r="C7" s="160"/>
      <c r="D7" s="2572" t="s">
        <v>477</v>
      </c>
      <c r="E7" s="2573"/>
      <c r="F7" s="160"/>
      <c r="G7" s="160"/>
      <c r="H7" s="160"/>
      <c r="I7" s="160"/>
      <c r="J7" s="1799"/>
      <c r="K7" s="1733" t="s">
        <v>319</v>
      </c>
      <c r="L7" s="2600" t="str">
        <f>CONCATENATE(Index!$E$12, " ", Index!$E$14)</f>
        <v xml:space="preserve"> </v>
      </c>
      <c r="M7" s="2601"/>
      <c r="N7" s="2601"/>
      <c r="O7" s="2601"/>
      <c r="P7" s="2601"/>
      <c r="Q7" s="2601"/>
      <c r="R7" s="1776"/>
      <c r="S7" s="160"/>
      <c r="T7" s="160"/>
      <c r="U7" s="160"/>
      <c r="V7" s="160"/>
      <c r="W7" s="160"/>
      <c r="X7" s="160"/>
      <c r="Y7" s="160"/>
      <c r="Z7" s="160"/>
      <c r="AA7" s="160"/>
      <c r="AB7" s="160"/>
      <c r="AC7" s="160"/>
      <c r="AD7" s="160"/>
      <c r="AE7" s="160"/>
    </row>
    <row r="8" spans="1:31" s="89" customFormat="1" ht="15" customHeight="1" x14ac:dyDescent="0.2">
      <c r="A8" s="160"/>
      <c r="B8" s="160"/>
      <c r="C8" s="160"/>
      <c r="D8" s="2260"/>
      <c r="E8" s="160"/>
      <c r="F8" s="160"/>
      <c r="G8" s="160"/>
      <c r="H8" s="160"/>
      <c r="I8" s="160"/>
      <c r="J8" s="1800"/>
      <c r="K8" s="1733" t="s">
        <v>71</v>
      </c>
      <c r="L8" s="2602">
        <f>Index!E13</f>
        <v>0</v>
      </c>
      <c r="M8" s="2601"/>
      <c r="N8" s="2601"/>
      <c r="O8" s="2601"/>
      <c r="P8" s="2601"/>
      <c r="Q8" s="2601"/>
      <c r="R8" s="1777"/>
      <c r="S8" s="160"/>
      <c r="T8" s="160"/>
      <c r="U8" s="160"/>
      <c r="V8" s="160"/>
      <c r="W8" s="160"/>
      <c r="X8" s="160"/>
      <c r="Y8" s="160"/>
      <c r="Z8" s="160"/>
      <c r="AA8" s="160"/>
      <c r="AB8" s="160"/>
      <c r="AC8" s="160"/>
      <c r="AD8" s="160"/>
      <c r="AE8" s="160"/>
    </row>
    <row r="9" spans="1:31" s="89" customFormat="1" ht="6" customHeight="1" thickBot="1" x14ac:dyDescent="0.25">
      <c r="A9" s="1735"/>
      <c r="B9" s="1735"/>
      <c r="C9" s="1735"/>
      <c r="D9" s="1735"/>
      <c r="E9" s="1735"/>
      <c r="F9" s="1735"/>
      <c r="G9" s="1735"/>
      <c r="H9" s="1735"/>
      <c r="I9" s="1735"/>
      <c r="J9" s="1735"/>
      <c r="K9" s="1735"/>
      <c r="L9" s="1735"/>
      <c r="M9" s="1735"/>
      <c r="N9" s="1735"/>
      <c r="O9" s="1735"/>
      <c r="P9" s="1735"/>
      <c r="Q9" s="1735"/>
      <c r="R9" s="160"/>
      <c r="S9" s="160"/>
      <c r="T9" s="160"/>
      <c r="U9" s="160"/>
      <c r="V9" s="160"/>
      <c r="W9" s="160"/>
      <c r="X9" s="160"/>
      <c r="Y9" s="160"/>
      <c r="Z9" s="160"/>
      <c r="AA9" s="160"/>
      <c r="AB9" s="160"/>
      <c r="AC9" s="160"/>
      <c r="AD9" s="160"/>
      <c r="AE9" s="160"/>
    </row>
    <row r="10" spans="1:31" s="89" customFormat="1" ht="12" customHeight="1" x14ac:dyDescent="0.2">
      <c r="A10" s="2254"/>
      <c r="B10"/>
      <c r="C10"/>
      <c r="D10"/>
      <c r="E10"/>
      <c r="F10"/>
      <c r="G10"/>
      <c r="H10"/>
      <c r="I10"/>
      <c r="J10"/>
      <c r="K10"/>
      <c r="L10"/>
      <c r="M10"/>
      <c r="N10"/>
      <c r="O10"/>
      <c r="P10"/>
      <c r="Q10"/>
      <c r="R10" s="160"/>
      <c r="S10" s="160"/>
      <c r="T10" s="160"/>
      <c r="U10" s="160"/>
      <c r="V10" s="160"/>
      <c r="W10" s="160"/>
      <c r="X10" s="160"/>
      <c r="Y10" s="160"/>
      <c r="Z10" s="160"/>
      <c r="AA10" s="160"/>
      <c r="AB10" s="160"/>
      <c r="AC10" s="160"/>
      <c r="AD10" s="160"/>
      <c r="AE10" s="160"/>
    </row>
    <row r="11" spans="1:31" s="89" customFormat="1" ht="14.1" customHeight="1" x14ac:dyDescent="0.2">
      <c r="A11" s="2609"/>
      <c r="B11" s="2609"/>
      <c r="C11" s="2609"/>
      <c r="D11" s="2609"/>
      <c r="E11" s="2609"/>
      <c r="F11" s="160"/>
      <c r="G11" s="160"/>
      <c r="H11" s="160"/>
      <c r="I11" s="160"/>
      <c r="J11" s="160"/>
      <c r="K11" s="160"/>
      <c r="L11" s="160"/>
      <c r="M11" s="160"/>
      <c r="N11" s="160"/>
      <c r="O11" s="2583" t="s">
        <v>1389</v>
      </c>
      <c r="P11" s="2583"/>
      <c r="Q11" s="2583"/>
      <c r="R11" s="160"/>
      <c r="S11" s="2260"/>
      <c r="T11" s="2260"/>
      <c r="U11" s="2260"/>
      <c r="V11" s="160"/>
      <c r="W11" s="160"/>
      <c r="X11" s="160"/>
      <c r="Y11" s="160"/>
      <c r="Z11" s="160"/>
      <c r="AA11" s="160"/>
      <c r="AB11" s="160"/>
      <c r="AC11" s="160"/>
      <c r="AD11" s="160"/>
      <c r="AE11" s="160"/>
    </row>
    <row r="12" spans="1:31" s="89" customFormat="1" ht="14.1" customHeight="1" x14ac:dyDescent="0.2">
      <c r="A12" s="2609"/>
      <c r="B12" s="2609"/>
      <c r="C12" s="2609"/>
      <c r="D12" s="2609"/>
      <c r="E12" s="2609"/>
      <c r="F12" s="160"/>
      <c r="G12" s="2260" t="s">
        <v>1390</v>
      </c>
      <c r="H12" s="2260"/>
      <c r="I12" s="2260" t="s">
        <v>1391</v>
      </c>
      <c r="J12" s="2260"/>
      <c r="K12" s="2260" t="s">
        <v>1389</v>
      </c>
      <c r="L12" s="2260"/>
      <c r="M12" s="2260" t="s">
        <v>1392</v>
      </c>
      <c r="N12" s="2260"/>
      <c r="O12" s="2572" t="s">
        <v>1393</v>
      </c>
      <c r="P12" s="2572"/>
      <c r="Q12" s="2572"/>
      <c r="R12" s="2260"/>
      <c r="S12" s="2583"/>
      <c r="T12" s="2583"/>
      <c r="U12" s="2583"/>
      <c r="V12" s="160"/>
      <c r="W12" s="160"/>
      <c r="X12" s="160"/>
      <c r="Y12" s="160"/>
      <c r="Z12" s="160"/>
      <c r="AA12" s="160"/>
      <c r="AB12" s="160"/>
      <c r="AC12" s="160"/>
      <c r="AD12" s="160"/>
      <c r="AE12" s="160"/>
    </row>
    <row r="13" spans="1:31" s="89" customFormat="1" ht="14.1" customHeight="1" x14ac:dyDescent="0.2">
      <c r="A13" s="2610" t="s">
        <v>1362</v>
      </c>
      <c r="B13" s="2610"/>
      <c r="C13" s="2610"/>
      <c r="D13" s="2610"/>
      <c r="E13" s="2610"/>
      <c r="F13" s="160"/>
      <c r="G13" s="2255" t="s">
        <v>1394</v>
      </c>
      <c r="H13" s="2260"/>
      <c r="I13" s="1801" t="s">
        <v>1395</v>
      </c>
      <c r="J13" s="2260"/>
      <c r="K13" s="2255" t="s">
        <v>1396</v>
      </c>
      <c r="L13" s="2260"/>
      <c r="M13" s="2255" t="s">
        <v>1397</v>
      </c>
      <c r="N13" s="2260"/>
      <c r="O13" s="2255" t="s">
        <v>1398</v>
      </c>
      <c r="P13" s="2260"/>
      <c r="Q13" s="2255" t="s">
        <v>1399</v>
      </c>
      <c r="R13" s="2260"/>
      <c r="S13" s="2260"/>
      <c r="T13" s="2260"/>
      <c r="U13" s="2260"/>
      <c r="V13" s="160"/>
      <c r="W13" s="160"/>
      <c r="X13" s="160"/>
      <c r="Y13" s="160"/>
      <c r="Z13" s="160"/>
      <c r="AA13" s="160"/>
      <c r="AB13" s="160"/>
      <c r="AC13" s="160"/>
      <c r="AD13" s="160"/>
      <c r="AE13" s="160"/>
    </row>
    <row r="14" spans="1:31" s="89" customFormat="1" ht="16.350000000000001" customHeight="1" x14ac:dyDescent="0.25">
      <c r="A14" s="2608" t="s">
        <v>1368</v>
      </c>
      <c r="B14" s="2608"/>
      <c r="C14" s="2608"/>
      <c r="D14" s="2608"/>
      <c r="E14" s="2608"/>
      <c r="F14" s="160"/>
      <c r="G14" s="544"/>
      <c r="H14" s="160"/>
      <c r="I14" s="1410">
        <v>0</v>
      </c>
      <c r="J14" s="160"/>
      <c r="K14" s="544"/>
      <c r="L14" s="160"/>
      <c r="M14" s="1410"/>
      <c r="N14" s="160"/>
      <c r="O14" s="555"/>
      <c r="P14" s="160"/>
      <c r="Q14" s="540"/>
      <c r="R14" s="538"/>
      <c r="S14" s="160"/>
      <c r="T14" s="160"/>
      <c r="U14" s="160"/>
      <c r="V14" s="160"/>
      <c r="W14" s="160"/>
      <c r="X14" s="160"/>
      <c r="Y14" s="160"/>
      <c r="Z14" s="160"/>
      <c r="AA14" s="160"/>
      <c r="AB14" s="160"/>
      <c r="AC14" s="160"/>
      <c r="AD14" s="160"/>
      <c r="AE14" s="160"/>
    </row>
    <row r="15" spans="1:31" s="89" customFormat="1" ht="14.85" customHeight="1" x14ac:dyDescent="0.25">
      <c r="A15" s="2608" t="s">
        <v>1368</v>
      </c>
      <c r="B15" s="2608"/>
      <c r="C15" s="2608"/>
      <c r="D15" s="2608"/>
      <c r="E15" s="2608"/>
      <c r="F15" s="160"/>
      <c r="G15" s="544"/>
      <c r="H15" s="160"/>
      <c r="I15" s="1410">
        <v>0</v>
      </c>
      <c r="J15" s="160"/>
      <c r="K15" s="544"/>
      <c r="L15" s="160"/>
      <c r="M15" s="1410">
        <v>0</v>
      </c>
      <c r="N15" s="160"/>
      <c r="O15" s="555"/>
      <c r="P15" s="160"/>
      <c r="Q15" s="541"/>
      <c r="R15" s="538"/>
      <c r="S15" s="160"/>
      <c r="T15" s="160"/>
      <c r="U15" s="160"/>
      <c r="V15" s="160"/>
      <c r="W15" s="160"/>
      <c r="X15" s="160"/>
      <c r="Y15" s="160"/>
      <c r="Z15" s="160"/>
      <c r="AA15" s="160"/>
      <c r="AB15" s="160"/>
      <c r="AC15" s="160"/>
      <c r="AD15" s="160"/>
      <c r="AE15" s="160"/>
    </row>
    <row r="16" spans="1:31" s="89" customFormat="1" ht="14.85" customHeight="1" x14ac:dyDescent="0.25">
      <c r="A16" s="2608" t="s">
        <v>1368</v>
      </c>
      <c r="B16" s="2608"/>
      <c r="C16" s="2608"/>
      <c r="D16" s="2608"/>
      <c r="E16" s="2608"/>
      <c r="F16" s="160"/>
      <c r="G16" s="544"/>
      <c r="H16" s="160"/>
      <c r="I16" s="1410">
        <v>0</v>
      </c>
      <c r="J16" s="160"/>
      <c r="K16" s="544"/>
      <c r="L16" s="160"/>
      <c r="M16" s="1410">
        <v>0</v>
      </c>
      <c r="N16" s="160"/>
      <c r="O16" s="555"/>
      <c r="P16" s="160"/>
      <c r="Q16" s="541"/>
      <c r="R16" s="538"/>
      <c r="S16" s="160"/>
      <c r="T16" s="160"/>
      <c r="U16" s="160"/>
      <c r="V16" s="160"/>
      <c r="W16" s="160"/>
      <c r="X16" s="160"/>
      <c r="Y16" s="160"/>
      <c r="Z16" s="160"/>
      <c r="AA16" s="160"/>
      <c r="AB16" s="160"/>
      <c r="AC16" s="160"/>
      <c r="AD16" s="160"/>
      <c r="AE16" s="160"/>
    </row>
    <row r="17" spans="1:21" s="89" customFormat="1" ht="14.85" customHeight="1" x14ac:dyDescent="0.25">
      <c r="A17" s="2608" t="s">
        <v>1368</v>
      </c>
      <c r="B17" s="2608"/>
      <c r="C17" s="2608"/>
      <c r="D17" s="2608"/>
      <c r="E17" s="2608"/>
      <c r="F17" s="160"/>
      <c r="G17" s="544"/>
      <c r="H17" s="160"/>
      <c r="I17" s="1410">
        <v>0</v>
      </c>
      <c r="J17" s="160"/>
      <c r="K17" s="544"/>
      <c r="L17" s="160"/>
      <c r="M17" s="1410"/>
      <c r="N17" s="160"/>
      <c r="O17" s="555"/>
      <c r="P17" s="160"/>
      <c r="Q17" s="541"/>
      <c r="R17" s="538"/>
      <c r="S17" s="160"/>
      <c r="T17" s="160"/>
      <c r="U17" s="160"/>
    </row>
    <row r="18" spans="1:21" s="89" customFormat="1" ht="14.85" customHeight="1" x14ac:dyDescent="0.25">
      <c r="A18" s="2608" t="s">
        <v>1368</v>
      </c>
      <c r="B18" s="2608"/>
      <c r="C18" s="2608"/>
      <c r="D18" s="2608"/>
      <c r="E18" s="2608"/>
      <c r="F18" s="160"/>
      <c r="G18" s="544"/>
      <c r="H18" s="160"/>
      <c r="I18" s="1410">
        <v>0</v>
      </c>
      <c r="J18" s="160"/>
      <c r="K18" s="544"/>
      <c r="L18" s="160"/>
      <c r="M18" s="1410"/>
      <c r="N18" s="160"/>
      <c r="O18" s="555"/>
      <c r="P18" s="160"/>
      <c r="Q18" s="541"/>
      <c r="R18" s="538"/>
      <c r="S18" s="160"/>
      <c r="T18" s="160"/>
      <c r="U18" s="160"/>
    </row>
    <row r="19" spans="1:21" s="89" customFormat="1" ht="14.85" customHeight="1" x14ac:dyDescent="0.25">
      <c r="A19" s="539" t="s">
        <v>1361</v>
      </c>
      <c r="B19" s="160"/>
      <c r="C19" s="2604"/>
      <c r="D19" s="2604"/>
      <c r="E19" s="2604"/>
      <c r="F19" s="160"/>
      <c r="G19" s="544"/>
      <c r="H19" s="160"/>
      <c r="I19" s="1410">
        <v>0</v>
      </c>
      <c r="J19" s="160"/>
      <c r="K19" s="544"/>
      <c r="L19" s="160"/>
      <c r="M19" s="1410"/>
      <c r="N19" s="160"/>
      <c r="O19" s="555"/>
      <c r="P19" s="160"/>
      <c r="Q19" s="541"/>
      <c r="R19" s="538"/>
      <c r="S19" s="160"/>
      <c r="T19" s="160"/>
      <c r="U19" s="160"/>
    </row>
    <row r="20" spans="1:21" s="89" customFormat="1" ht="14.85" customHeight="1" x14ac:dyDescent="0.25">
      <c r="A20" s="539" t="s">
        <v>1361</v>
      </c>
      <c r="B20" s="160"/>
      <c r="C20" s="2605"/>
      <c r="D20" s="2605"/>
      <c r="E20" s="2605"/>
      <c r="F20" s="160"/>
      <c r="G20" s="544"/>
      <c r="H20" s="160"/>
      <c r="I20" s="1410">
        <v>0</v>
      </c>
      <c r="J20" s="160"/>
      <c r="K20" s="545"/>
      <c r="L20" s="160"/>
      <c r="M20" s="1410"/>
      <c r="N20" s="160"/>
      <c r="O20" s="555"/>
      <c r="P20" s="160"/>
      <c r="Q20" s="541"/>
      <c r="R20" s="538"/>
      <c r="S20" s="160"/>
      <c r="T20" s="160"/>
      <c r="U20" s="160"/>
    </row>
    <row r="21" spans="1:21" s="89" customFormat="1" ht="4.3499999999999996" customHeight="1" x14ac:dyDescent="0.25">
      <c r="A21" s="539"/>
      <c r="B21" s="160"/>
      <c r="C21" s="546"/>
      <c r="D21" s="546"/>
      <c r="E21" s="546"/>
      <c r="F21" s="160"/>
      <c r="G21" s="1805"/>
      <c r="H21" s="160"/>
      <c r="I21" s="1411"/>
      <c r="J21" s="160"/>
      <c r="K21" s="547"/>
      <c r="L21" s="160"/>
      <c r="M21" s="1411"/>
      <c r="N21" s="160"/>
      <c r="O21" s="548"/>
      <c r="P21" s="160"/>
      <c r="Q21" s="549"/>
      <c r="R21" s="538"/>
      <c r="S21" s="160"/>
      <c r="T21" s="160"/>
      <c r="U21" s="160"/>
    </row>
    <row r="22" spans="1:21" s="89" customFormat="1" ht="14.85" customHeight="1" x14ac:dyDescent="0.25">
      <c r="A22" s="2495" t="s">
        <v>1400</v>
      </c>
      <c r="B22" s="2383"/>
      <c r="C22" s="2383"/>
      <c r="D22" s="2383"/>
      <c r="E22" s="2383"/>
      <c r="F22" s="2383"/>
      <c r="G22" s="2383"/>
      <c r="H22" s="160"/>
      <c r="I22" s="1806">
        <f>-SUM(M14:M20)</f>
        <v>0</v>
      </c>
      <c r="J22" s="160"/>
      <c r="K22" s="547"/>
      <c r="L22" s="160"/>
      <c r="M22" s="1411"/>
      <c r="N22" s="160"/>
      <c r="O22" s="548"/>
      <c r="P22" s="160"/>
      <c r="Q22" s="549"/>
      <c r="R22" s="538"/>
      <c r="S22" s="160"/>
      <c r="T22" s="160"/>
      <c r="U22" s="160"/>
    </row>
    <row r="23" spans="1:21" ht="14.85" customHeight="1" x14ac:dyDescent="0.25">
      <c r="A23" s="2495" t="s">
        <v>1401</v>
      </c>
      <c r="B23" s="2383"/>
      <c r="C23" s="2383"/>
      <c r="D23" s="2383"/>
      <c r="E23" s="2383"/>
      <c r="F23" s="2383"/>
      <c r="G23" s="2383"/>
      <c r="H23" s="160"/>
      <c r="I23" s="1738"/>
      <c r="J23" s="160"/>
      <c r="K23" s="556"/>
      <c r="L23" s="160"/>
      <c r="M23" s="160"/>
      <c r="N23" s="160"/>
      <c r="O23" s="160"/>
      <c r="P23" s="160"/>
      <c r="Q23" s="160"/>
    </row>
    <row r="24" spans="1:21" ht="14.85" customHeight="1" x14ac:dyDescent="0.25">
      <c r="A24" s="2495" t="s">
        <v>1401</v>
      </c>
      <c r="B24" s="2383"/>
      <c r="C24" s="2383"/>
      <c r="D24" s="2383"/>
      <c r="E24" s="2383"/>
      <c r="F24" s="2383"/>
      <c r="G24" s="2383"/>
      <c r="H24" s="160"/>
      <c r="I24" s="1738"/>
      <c r="J24" s="160"/>
      <c r="K24" s="557"/>
      <c r="L24" s="160"/>
      <c r="M24" s="160"/>
      <c r="N24" s="160"/>
      <c r="O24" s="160"/>
      <c r="P24" s="160"/>
      <c r="Q24" s="160"/>
    </row>
    <row r="25" spans="1:21" ht="14.85" customHeight="1" x14ac:dyDescent="0.25">
      <c r="A25" s="2495" t="s">
        <v>1401</v>
      </c>
      <c r="B25" s="2383"/>
      <c r="C25" s="2383"/>
      <c r="D25" s="2383"/>
      <c r="E25" s="2383"/>
      <c r="F25" s="2383"/>
      <c r="G25" s="2383"/>
      <c r="H25" s="160"/>
      <c r="I25" s="1738"/>
      <c r="J25" s="160"/>
      <c r="K25" s="557"/>
      <c r="L25" s="160"/>
      <c r="M25" s="160"/>
      <c r="N25" s="160"/>
      <c r="O25" s="160"/>
      <c r="P25" s="160"/>
      <c r="Q25" s="160"/>
    </row>
    <row r="26" spans="1:21" ht="14.85" customHeight="1" x14ac:dyDescent="0.25">
      <c r="A26" s="2495" t="s">
        <v>1401</v>
      </c>
      <c r="B26" s="2383"/>
      <c r="C26" s="2383"/>
      <c r="D26" s="2383"/>
      <c r="E26" s="2383"/>
      <c r="F26" s="2383"/>
      <c r="G26" s="2383"/>
      <c r="H26" s="160"/>
      <c r="I26" s="1738"/>
      <c r="J26" s="160"/>
      <c r="K26" s="557"/>
      <c r="L26" s="160"/>
      <c r="M26" s="160"/>
      <c r="N26" s="160"/>
      <c r="O26" s="160"/>
      <c r="P26" s="160"/>
      <c r="Q26" s="160"/>
    </row>
    <row r="27" spans="1:21" ht="15" customHeight="1" thickBot="1" x14ac:dyDescent="0.25">
      <c r="A27" s="2611" t="s">
        <v>1402</v>
      </c>
      <c r="B27" s="2611"/>
      <c r="C27" s="2611"/>
      <c r="D27" s="2611"/>
      <c r="E27" s="2611"/>
      <c r="F27" s="2612"/>
      <c r="G27" s="2612"/>
      <c r="I27" s="1740">
        <f>SUM(I14:I26)</f>
        <v>0</v>
      </c>
    </row>
    <row r="28" spans="1:21" ht="12" customHeight="1" thickTop="1" x14ac:dyDescent="0.2"/>
    <row r="29" spans="1:21" ht="12.75" x14ac:dyDescent="0.2">
      <c r="A29" s="2590" t="s">
        <v>1403</v>
      </c>
      <c r="B29" s="2383"/>
      <c r="C29" s="2383"/>
      <c r="D29" s="2383"/>
      <c r="E29" s="2383"/>
      <c r="F29" s="2383"/>
      <c r="G29" s="2383"/>
      <c r="H29" s="2383"/>
      <c r="I29" s="2383"/>
      <c r="J29" s="2383"/>
      <c r="K29" s="2383"/>
      <c r="L29" s="2383"/>
      <c r="M29" s="2383"/>
      <c r="N29" s="2383"/>
      <c r="O29" s="2383"/>
      <c r="P29" s="2383"/>
      <c r="Q29" s="2383"/>
      <c r="R29" s="2383"/>
      <c r="S29" s="2265"/>
      <c r="T29" s="2265"/>
      <c r="U29" s="2265"/>
    </row>
    <row r="30" spans="1:21" ht="12.75" x14ac:dyDescent="0.2">
      <c r="A30" s="2590" t="s">
        <v>1404</v>
      </c>
      <c r="B30" s="2383"/>
      <c r="C30" s="2383"/>
      <c r="D30" s="2383"/>
      <c r="E30" s="2383"/>
      <c r="F30" s="2383"/>
      <c r="G30" s="2383"/>
      <c r="H30" s="2383"/>
      <c r="I30" s="2383"/>
      <c r="J30" s="2383"/>
      <c r="K30" s="2383"/>
      <c r="L30" s="2383"/>
      <c r="M30" s="2383"/>
      <c r="N30" s="2383"/>
      <c r="O30" s="2383"/>
      <c r="P30" s="2383"/>
      <c r="Q30" s="2383"/>
      <c r="R30" s="2383"/>
      <c r="S30" s="2265"/>
      <c r="T30" s="2265"/>
      <c r="U30" s="2265"/>
    </row>
    <row r="31" spans="1:21" ht="12.75" x14ac:dyDescent="0.2">
      <c r="A31" s="2590" t="s">
        <v>1405</v>
      </c>
      <c r="B31" s="2383"/>
      <c r="C31" s="2383"/>
      <c r="D31" s="2383"/>
      <c r="E31" s="2383"/>
      <c r="F31" s="2383"/>
      <c r="G31" s="2383"/>
      <c r="H31" s="2383"/>
      <c r="I31" s="2383"/>
      <c r="J31" s="2383"/>
      <c r="K31" s="2383"/>
      <c r="L31" s="2383"/>
      <c r="M31" s="2383"/>
      <c r="N31" s="2383"/>
      <c r="O31" s="2383"/>
      <c r="P31" s="2383"/>
      <c r="Q31" s="2383"/>
      <c r="R31" s="2383"/>
      <c r="S31" s="2265"/>
      <c r="T31" s="2265"/>
      <c r="U31" s="2265"/>
    </row>
    <row r="32" spans="1:21" ht="10.35" customHeight="1" x14ac:dyDescent="0.2">
      <c r="A32" s="2265"/>
      <c r="B32" s="2265"/>
      <c r="C32" s="2265"/>
      <c r="D32" s="2265"/>
      <c r="E32" s="2265"/>
      <c r="F32" s="2265"/>
      <c r="G32" s="2265"/>
      <c r="H32" s="2265"/>
      <c r="I32" s="2265"/>
      <c r="J32" s="2265"/>
      <c r="K32" s="2265"/>
      <c r="L32" s="2265"/>
      <c r="M32" s="2265"/>
      <c r="N32" s="2265"/>
      <c r="O32" s="2265"/>
      <c r="P32" s="2265"/>
      <c r="Q32" s="2265"/>
      <c r="R32" s="2265"/>
      <c r="S32" s="2265"/>
      <c r="T32" s="2265"/>
      <c r="U32" s="2265"/>
    </row>
    <row r="33" spans="1:17" ht="14.1" customHeight="1" x14ac:dyDescent="0.2"/>
    <row r="34" spans="1:17" ht="12.6" customHeight="1" x14ac:dyDescent="0.2">
      <c r="A34" s="550" t="s">
        <v>914</v>
      </c>
      <c r="B34" s="466" t="s">
        <v>1406</v>
      </c>
      <c r="C34" s="467"/>
      <c r="D34" s="467"/>
      <c r="E34" s="467"/>
      <c r="F34" s="467"/>
      <c r="G34" s="467"/>
      <c r="H34" s="467"/>
      <c r="I34" s="467"/>
      <c r="J34" s="467"/>
      <c r="K34" s="467"/>
      <c r="L34" s="467"/>
      <c r="M34" s="467"/>
      <c r="N34" s="467"/>
      <c r="O34" s="467"/>
      <c r="P34" s="467"/>
      <c r="Q34" s="467"/>
    </row>
    <row r="35" spans="1:17" ht="12.6" customHeight="1" x14ac:dyDescent="0.2">
      <c r="A35" s="550"/>
      <c r="B35" s="466" t="s">
        <v>1407</v>
      </c>
      <c r="C35" s="467"/>
      <c r="D35" s="467"/>
      <c r="E35" s="467"/>
      <c r="F35" s="467"/>
      <c r="G35" s="467"/>
      <c r="H35" s="467"/>
      <c r="I35" s="467"/>
      <c r="J35" s="467"/>
      <c r="K35" s="467"/>
      <c r="L35" s="467"/>
      <c r="M35" s="467"/>
      <c r="N35" s="467"/>
      <c r="O35" s="467"/>
      <c r="P35" s="467"/>
      <c r="Q35" s="467"/>
    </row>
    <row r="36" spans="1:17" ht="6" customHeight="1" x14ac:dyDescent="0.2">
      <c r="A36" s="467"/>
      <c r="B36" s="467"/>
      <c r="C36" s="467"/>
      <c r="D36" s="467"/>
      <c r="E36" s="467"/>
      <c r="F36" s="467"/>
      <c r="G36" s="467"/>
      <c r="H36" s="467"/>
      <c r="I36" s="467"/>
      <c r="J36" s="467"/>
      <c r="K36" s="467"/>
      <c r="L36" s="467"/>
      <c r="M36" s="467"/>
      <c r="N36" s="467"/>
      <c r="O36" s="467"/>
      <c r="P36" s="467"/>
      <c r="Q36" s="467"/>
    </row>
    <row r="37" spans="1:17" ht="12.6" customHeight="1" x14ac:dyDescent="0.2">
      <c r="A37" s="550" t="s">
        <v>1408</v>
      </c>
      <c r="B37" s="466" t="s">
        <v>1409</v>
      </c>
      <c r="C37" s="467"/>
      <c r="D37" s="467"/>
      <c r="E37" s="467"/>
      <c r="F37" s="467"/>
      <c r="G37" s="467"/>
      <c r="H37" s="467"/>
      <c r="I37" s="467"/>
      <c r="J37" s="467"/>
      <c r="K37" s="467"/>
      <c r="L37" s="467"/>
      <c r="M37" s="467"/>
      <c r="N37" s="467"/>
      <c r="O37" s="467"/>
      <c r="P37" s="467"/>
      <c r="Q37" s="467"/>
    </row>
    <row r="38" spans="1:17" ht="12.6" customHeight="1" x14ac:dyDescent="0.2">
      <c r="A38" s="467"/>
      <c r="B38" s="466" t="s">
        <v>1410</v>
      </c>
      <c r="C38" s="467"/>
      <c r="D38" s="467"/>
      <c r="E38" s="467"/>
      <c r="F38" s="467"/>
      <c r="G38" s="467"/>
      <c r="H38" s="467"/>
      <c r="I38" s="467"/>
      <c r="J38" s="467"/>
      <c r="K38" s="467"/>
      <c r="L38" s="467"/>
      <c r="M38" s="467"/>
      <c r="N38" s="467"/>
      <c r="O38" s="467"/>
      <c r="P38" s="467"/>
      <c r="Q38" s="467"/>
    </row>
    <row r="39" spans="1:17" ht="12.6" customHeight="1" x14ac:dyDescent="0.2">
      <c r="A39" s="467"/>
      <c r="B39" s="466" t="s">
        <v>1411</v>
      </c>
      <c r="C39" s="467"/>
      <c r="D39" s="467"/>
      <c r="E39" s="467"/>
      <c r="F39" s="467"/>
      <c r="G39" s="467"/>
      <c r="H39" s="467"/>
      <c r="I39" s="467"/>
      <c r="J39" s="467"/>
      <c r="K39" s="467"/>
      <c r="L39" s="467"/>
      <c r="M39" s="467"/>
      <c r="N39" s="467"/>
      <c r="O39" s="467"/>
      <c r="P39" s="467"/>
      <c r="Q39" s="467"/>
    </row>
    <row r="40" spans="1:17" ht="6" customHeight="1" x14ac:dyDescent="0.2">
      <c r="A40" s="467"/>
      <c r="B40" s="467"/>
      <c r="C40" s="467"/>
      <c r="D40" s="467"/>
      <c r="E40" s="467"/>
      <c r="F40" s="467"/>
      <c r="G40" s="467"/>
      <c r="H40" s="467"/>
      <c r="I40" s="467"/>
      <c r="J40" s="467"/>
      <c r="K40" s="467"/>
      <c r="L40" s="467"/>
      <c r="M40" s="467"/>
      <c r="N40" s="467"/>
      <c r="O40" s="467"/>
      <c r="P40" s="467"/>
      <c r="Q40" s="467"/>
    </row>
    <row r="41" spans="1:17" ht="12.6" customHeight="1" x14ac:dyDescent="0.2">
      <c r="A41" s="550" t="s">
        <v>1412</v>
      </c>
      <c r="B41" s="466" t="s">
        <v>1413</v>
      </c>
      <c r="C41" s="467"/>
      <c r="D41" s="467"/>
      <c r="E41" s="467"/>
      <c r="F41" s="467"/>
      <c r="G41" s="467"/>
      <c r="H41" s="467"/>
      <c r="I41" s="467"/>
      <c r="J41" s="467"/>
      <c r="K41" s="467"/>
      <c r="L41" s="467"/>
      <c r="M41" s="467"/>
      <c r="N41" s="467"/>
      <c r="O41" s="467"/>
      <c r="P41" s="467"/>
      <c r="Q41" s="467"/>
    </row>
  </sheetData>
  <sheetProtection algorithmName="SHA-512" hashValue="BC7vsvxDIBHCHa1Fl1wFYsrR0N+2gF+kHP/JxP3fmaREKoXjtfHdNuynQzfsCwa5RBKbUvDs39pMgyDNxBxznQ==" saltValue="YjJTya9lKcfncUi7FoxQrQ==" spinCount="100000" sheet="1" objects="1" scenarios="1" autoFilter="0"/>
  <customSheetViews>
    <customSheetView guid="{9FCFC836-1CA5-48BF-958D-24D2EA94B219}" showGridLines="0" fitToPage="1">
      <selection activeCell="D38" sqref="D38"/>
      <pageMargins left="0" right="0" top="0" bottom="0" header="0" footer="0"/>
      <pageSetup orientation="landscape" r:id="rId1"/>
      <headerFooter alignWithMargins="0">
        <oddFooter>&amp;R&amp;A</oddFooter>
      </headerFooter>
    </customSheetView>
    <customSheetView guid="{B08879A4-635B-4C39-9937-AC7883D562FC}" showGridLines="0" fitToPage="1">
      <selection activeCell="D38" sqref="D38"/>
      <pageMargins left="0" right="0" top="0" bottom="0" header="0" footer="0"/>
      <pageSetup orientation="landscape" r:id="rId2"/>
      <headerFooter alignWithMargins="0">
        <oddFooter>&amp;R&amp;A</oddFooter>
      </headerFooter>
    </customSheetView>
  </customSheetViews>
  <mergeCells count="31">
    <mergeCell ref="A31:R31"/>
    <mergeCell ref="A22:G22"/>
    <mergeCell ref="A23:G23"/>
    <mergeCell ref="A24:G24"/>
    <mergeCell ref="A25:G25"/>
    <mergeCell ref="A26:G26"/>
    <mergeCell ref="A27:G27"/>
    <mergeCell ref="A29:R29"/>
    <mergeCell ref="A30:R30"/>
    <mergeCell ref="S12:U12"/>
    <mergeCell ref="A13:E13"/>
    <mergeCell ref="A14:E14"/>
    <mergeCell ref="A15:E15"/>
    <mergeCell ref="A16:E16"/>
    <mergeCell ref="A18:E18"/>
    <mergeCell ref="C19:E19"/>
    <mergeCell ref="C20:E20"/>
    <mergeCell ref="D7:E7"/>
    <mergeCell ref="L7:Q7"/>
    <mergeCell ref="L8:Q8"/>
    <mergeCell ref="A11:E11"/>
    <mergeCell ref="O11:Q11"/>
    <mergeCell ref="A12:E12"/>
    <mergeCell ref="O12:Q12"/>
    <mergeCell ref="A17:E17"/>
    <mergeCell ref="L6:Q6"/>
    <mergeCell ref="A1:Q1"/>
    <mergeCell ref="R1:R3"/>
    <mergeCell ref="A2:Q2"/>
    <mergeCell ref="A3:Q3"/>
    <mergeCell ref="L5:Q5"/>
  </mergeCells>
  <conditionalFormatting sqref="R1:R3">
    <cfRule type="cellIs" dxfId="121" priority="1" stopIfTrue="1" operator="equal">
      <formula>"na"</formula>
    </cfRule>
  </conditionalFormatting>
  <dataValidations count="2">
    <dataValidation type="decimal" operator="lessThanOrEqual" allowBlank="1" showErrorMessage="1" errorTitle="Invalid Data" error="Amount Must Be Negative" promptTitle="Negative Message" prompt="Must Enter a Negative Number" sqref="I23:I26" xr:uid="{00000000-0002-0000-1500-000000000000}">
      <formula1>0</formula1>
    </dataValidation>
    <dataValidation type="decimal" operator="greaterThanOrEqual" allowBlank="1" showErrorMessage="1" errorTitle="Invalid Data" error="Exclude Derivatives with Negative Fair Values (See Note 1)" sqref="I14:I20" xr:uid="{00000000-0002-0000-1500-000001000000}">
      <formula1>0</formula1>
    </dataValidation>
  </dataValidations>
  <hyperlinks>
    <hyperlink ref="A1:Q1" location="Index!A1" display="Index!A1" xr:uid="{00000000-0004-0000-1500-000000000000}"/>
  </hyperlinks>
  <pageMargins left="0.6" right="0.6" top="0.5" bottom="0.5" header="0.3" footer="0.3"/>
  <pageSetup scale="85" orientation="landscape" r:id="rId3"/>
  <ignoredErrors>
    <ignoredError sqref="A34 A37 A41"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dimension ref="A1:AE40"/>
  <sheetViews>
    <sheetView showGridLines="0" zoomScaleNormal="100" zoomScaleSheetLayoutView="100" workbookViewId="0">
      <selection activeCell="X33" sqref="X33"/>
    </sheetView>
  </sheetViews>
  <sheetFormatPr defaultColWidth="9.42578125" defaultRowHeight="11.25" x14ac:dyDescent="0.2"/>
  <cols>
    <col min="1" max="1" width="3" style="28" customWidth="1"/>
    <col min="2" max="2" width="2.5703125" style="28" customWidth="1"/>
    <col min="3" max="3" width="9.42578125" style="28" customWidth="1"/>
    <col min="4" max="4" width="1.5703125" style="28" customWidth="1"/>
    <col min="5" max="5" width="13.42578125" style="28" customWidth="1"/>
    <col min="6" max="6" width="1.42578125" style="28" customWidth="1"/>
    <col min="7" max="7" width="24" style="28" customWidth="1"/>
    <col min="8" max="8" width="1.42578125" style="28" customWidth="1"/>
    <col min="9" max="9" width="14.5703125" style="28" customWidth="1"/>
    <col min="10" max="10" width="1.42578125" style="28" customWidth="1"/>
    <col min="11" max="11" width="16.5703125" style="28" customWidth="1"/>
    <col min="12" max="12" width="1.42578125" style="28" customWidth="1"/>
    <col min="13" max="13" width="14.5703125" style="28" customWidth="1"/>
    <col min="14" max="14" width="1.42578125" style="28" customWidth="1"/>
    <col min="15" max="15" width="9.5703125" style="28" customWidth="1"/>
    <col min="16" max="16" width="1.42578125" style="28" customWidth="1"/>
    <col min="17" max="17" width="9.5703125" style="28" customWidth="1"/>
    <col min="18" max="18" width="4.5703125" style="28" customWidth="1"/>
    <col min="19" max="19" width="3.5703125" style="28" customWidth="1"/>
    <col min="20" max="20" width="1.5703125" style="28" customWidth="1"/>
    <col min="21" max="21" width="8.5703125" style="28" customWidth="1"/>
    <col min="22" max="16384" width="9.42578125" style="28"/>
  </cols>
  <sheetData>
    <row r="1" spans="1:31" s="29" customFormat="1" ht="15" customHeight="1" x14ac:dyDescent="0.25">
      <c r="A1" s="2455" t="str">
        <f>+Index!$A$1</f>
        <v xml:space="preserve">                                                               Office of the State Controller                                                                </v>
      </c>
      <c r="B1" s="2455"/>
      <c r="C1" s="2455"/>
      <c r="D1" s="2455"/>
      <c r="E1" s="2455"/>
      <c r="F1" s="2455"/>
      <c r="G1" s="2455"/>
      <c r="H1" s="2455"/>
      <c r="I1" s="2455"/>
      <c r="J1" s="2455"/>
      <c r="K1" s="2455"/>
      <c r="L1" s="2455"/>
      <c r="M1" s="2455"/>
      <c r="N1" s="2455"/>
      <c r="O1" s="2455"/>
      <c r="P1" s="2455"/>
      <c r="Q1" s="2455"/>
      <c r="R1" s="2520" t="str">
        <f>IF(Index!$B$45="na","NA","")</f>
        <v/>
      </c>
      <c r="AE1" s="30"/>
    </row>
    <row r="2" spans="1:31" s="29" customFormat="1" ht="15" customHeight="1" x14ac:dyDescent="0.25">
      <c r="A2" s="2493" t="str">
        <f>+Index!$A$2</f>
        <v>2023 ACFR Worksheets</v>
      </c>
      <c r="B2" s="2493"/>
      <c r="C2" s="2493"/>
      <c r="D2" s="2493"/>
      <c r="E2" s="2493"/>
      <c r="F2" s="2493"/>
      <c r="G2" s="2493"/>
      <c r="H2" s="2493"/>
      <c r="I2" s="2493"/>
      <c r="J2" s="2493"/>
      <c r="K2" s="2493"/>
      <c r="L2" s="2493"/>
      <c r="M2" s="2493"/>
      <c r="N2" s="2493"/>
      <c r="O2" s="2493"/>
      <c r="P2" s="2493"/>
      <c r="Q2" s="2493"/>
      <c r="R2" s="2520"/>
    </row>
    <row r="3" spans="1:31" s="29" customFormat="1" ht="15" customHeight="1" x14ac:dyDescent="0.25">
      <c r="A3" s="2493" t="s">
        <v>1414</v>
      </c>
      <c r="B3" s="2493"/>
      <c r="C3" s="2493"/>
      <c r="D3" s="2493"/>
      <c r="E3" s="2493"/>
      <c r="F3" s="2493"/>
      <c r="G3" s="2493"/>
      <c r="H3" s="2493"/>
      <c r="I3" s="2493"/>
      <c r="J3" s="2493"/>
      <c r="K3" s="2493"/>
      <c r="L3" s="2493"/>
      <c r="M3" s="2493"/>
      <c r="N3" s="2493"/>
      <c r="O3" s="2493"/>
      <c r="P3" s="2493"/>
      <c r="Q3" s="2493"/>
      <c r="R3" s="2520"/>
    </row>
    <row r="4" spans="1:31" s="89" customFormat="1" ht="15" customHeight="1" x14ac:dyDescent="0.2">
      <c r="A4" s="160"/>
      <c r="B4" s="160"/>
      <c r="C4" s="160"/>
      <c r="D4" s="160"/>
      <c r="E4" s="160"/>
      <c r="F4" s="160"/>
      <c r="G4" s="160"/>
      <c r="H4" s="2260"/>
      <c r="I4" s="160"/>
      <c r="J4" s="160"/>
      <c r="K4" s="160"/>
      <c r="L4" s="160"/>
      <c r="M4" s="160"/>
      <c r="N4" s="160"/>
      <c r="O4" s="160"/>
      <c r="P4" s="160"/>
      <c r="Q4" s="160"/>
      <c r="R4" s="160"/>
      <c r="S4" s="160"/>
      <c r="T4" s="160"/>
      <c r="U4" s="160"/>
      <c r="V4" s="160"/>
      <c r="W4" s="160"/>
      <c r="X4" s="160"/>
      <c r="Y4" s="160"/>
      <c r="Z4" s="160"/>
      <c r="AA4" s="160"/>
      <c r="AB4" s="160"/>
      <c r="AC4" s="160"/>
      <c r="AD4" s="160"/>
      <c r="AE4" s="160"/>
    </row>
    <row r="5" spans="1:31" s="89" customFormat="1" ht="15" customHeight="1" x14ac:dyDescent="0.2">
      <c r="A5" s="160"/>
      <c r="B5" s="160"/>
      <c r="C5" s="160"/>
      <c r="D5" s="2260"/>
      <c r="E5" s="160"/>
      <c r="F5" s="160"/>
      <c r="G5" s="160"/>
      <c r="H5" s="160"/>
      <c r="I5" s="160"/>
      <c r="J5" s="1798"/>
      <c r="K5" s="1733" t="s">
        <v>317</v>
      </c>
      <c r="L5" s="2599" t="str">
        <f>Index!E10</f>
        <v>01</v>
      </c>
      <c r="M5" s="2565"/>
      <c r="N5" s="2565"/>
      <c r="O5" s="2565"/>
      <c r="P5" s="2565"/>
      <c r="Q5" s="2565"/>
      <c r="R5" s="1775"/>
      <c r="S5" s="160"/>
      <c r="T5" s="160"/>
      <c r="U5" s="160"/>
      <c r="V5" s="160"/>
      <c r="W5" s="160"/>
      <c r="X5" s="160"/>
      <c r="Y5" s="160"/>
      <c r="Z5" s="160"/>
      <c r="AA5" s="160"/>
      <c r="AB5" s="160"/>
      <c r="AC5" s="160"/>
      <c r="AD5" s="160"/>
      <c r="AE5" s="160"/>
    </row>
    <row r="6" spans="1:31" s="89" customFormat="1" ht="15" customHeight="1" x14ac:dyDescent="0.2">
      <c r="A6" s="160"/>
      <c r="B6" s="160"/>
      <c r="C6" s="160"/>
      <c r="D6" s="160"/>
      <c r="E6" s="160"/>
      <c r="F6" s="160"/>
      <c r="G6" s="160"/>
      <c r="H6" s="160"/>
      <c r="I6" s="160"/>
      <c r="J6" s="1798"/>
      <c r="K6" s="1733" t="s">
        <v>318</v>
      </c>
      <c r="L6" s="2599" t="str">
        <f>Index!E11</f>
        <v>North Carolina General Assembly</v>
      </c>
      <c r="M6" s="2565"/>
      <c r="N6" s="2565"/>
      <c r="O6" s="2565"/>
      <c r="P6" s="2565"/>
      <c r="Q6" s="2565"/>
      <c r="R6" s="1775"/>
      <c r="S6" s="160"/>
      <c r="T6" s="160"/>
      <c r="U6" s="160"/>
      <c r="V6" s="160"/>
      <c r="W6" s="160"/>
      <c r="X6" s="160"/>
      <c r="Y6" s="160"/>
      <c r="Z6" s="160"/>
      <c r="AA6" s="160"/>
      <c r="AB6" s="160"/>
      <c r="AC6" s="160"/>
      <c r="AD6" s="160"/>
      <c r="AE6" s="160"/>
    </row>
    <row r="7" spans="1:31" s="89" customFormat="1" ht="15" customHeight="1" x14ac:dyDescent="0.2">
      <c r="A7" s="160" t="s">
        <v>568</v>
      </c>
      <c r="B7" s="160"/>
      <c r="C7" s="160"/>
      <c r="D7" s="2572" t="s">
        <v>477</v>
      </c>
      <c r="E7" s="2573"/>
      <c r="F7" s="160"/>
      <c r="G7" s="160"/>
      <c r="H7" s="160"/>
      <c r="I7" s="160"/>
      <c r="J7" s="1799"/>
      <c r="K7" s="1733" t="s">
        <v>319</v>
      </c>
      <c r="L7" s="2600" t="str">
        <f>CONCATENATE(Index!$E$12, " ", Index!$E$14)</f>
        <v xml:space="preserve"> </v>
      </c>
      <c r="M7" s="2601"/>
      <c r="N7" s="2601"/>
      <c r="O7" s="2601"/>
      <c r="P7" s="2601"/>
      <c r="Q7" s="2601"/>
      <c r="R7" s="1776"/>
      <c r="S7" s="160"/>
      <c r="T7" s="160"/>
      <c r="U7" s="160"/>
      <c r="V7" s="160"/>
      <c r="W7" s="160"/>
      <c r="X7" s="160"/>
      <c r="Y7" s="160"/>
      <c r="Z7" s="160"/>
      <c r="AA7" s="160"/>
      <c r="AB7" s="160"/>
      <c r="AC7" s="160"/>
      <c r="AD7" s="160"/>
      <c r="AE7" s="160"/>
    </row>
    <row r="8" spans="1:31" s="89" customFormat="1" ht="15" customHeight="1" x14ac:dyDescent="0.2">
      <c r="A8" s="160"/>
      <c r="B8" s="160"/>
      <c r="C8" s="160"/>
      <c r="D8" s="2260"/>
      <c r="E8" s="160"/>
      <c r="F8" s="160"/>
      <c r="G8" s="160"/>
      <c r="H8" s="160"/>
      <c r="I8" s="160"/>
      <c r="J8" s="1800"/>
      <c r="K8" s="1733" t="s">
        <v>71</v>
      </c>
      <c r="L8" s="2602">
        <f>Index!E13</f>
        <v>0</v>
      </c>
      <c r="M8" s="2601"/>
      <c r="N8" s="2601"/>
      <c r="O8" s="2601"/>
      <c r="P8" s="2601"/>
      <c r="Q8" s="2601"/>
      <c r="R8" s="1777"/>
      <c r="S8" s="160"/>
      <c r="T8" s="160"/>
      <c r="U8" s="160"/>
      <c r="V8" s="160"/>
      <c r="W8" s="160"/>
      <c r="X8" s="160"/>
      <c r="Y8" s="160"/>
      <c r="Z8" s="160"/>
      <c r="AA8" s="160"/>
      <c r="AB8" s="160"/>
      <c r="AC8" s="160"/>
      <c r="AD8" s="160"/>
      <c r="AE8" s="160"/>
    </row>
    <row r="9" spans="1:31" s="89" customFormat="1" ht="6" customHeight="1" thickBot="1" x14ac:dyDescent="0.25">
      <c r="A9" s="1735"/>
      <c r="B9" s="1735"/>
      <c r="C9" s="1735"/>
      <c r="D9" s="1735"/>
      <c r="E9" s="1735"/>
      <c r="F9" s="1735"/>
      <c r="G9" s="1735"/>
      <c r="H9" s="1735"/>
      <c r="I9" s="1735"/>
      <c r="J9" s="1735"/>
      <c r="K9" s="1735"/>
      <c r="L9" s="1735"/>
      <c r="M9" s="1735"/>
      <c r="N9" s="1735"/>
      <c r="O9" s="1735"/>
      <c r="P9" s="1735"/>
      <c r="Q9" s="1735"/>
      <c r="R9" s="160"/>
      <c r="S9" s="160"/>
      <c r="T9" s="160"/>
      <c r="U9" s="160"/>
      <c r="V9" s="160"/>
      <c r="W9" s="160"/>
      <c r="X9" s="160"/>
      <c r="Y9" s="160"/>
      <c r="Z9" s="160"/>
      <c r="AA9" s="160"/>
      <c r="AB9" s="160"/>
      <c r="AC9" s="160"/>
      <c r="AD9" s="160"/>
      <c r="AE9" s="160"/>
    </row>
    <row r="10" spans="1:31" s="89" customFormat="1" ht="12" customHeight="1" x14ac:dyDescent="0.2">
      <c r="A10" s="2254"/>
      <c r="B10"/>
      <c r="C10"/>
      <c r="D10"/>
      <c r="E10"/>
      <c r="F10"/>
      <c r="G10"/>
      <c r="H10"/>
      <c r="I10"/>
      <c r="J10"/>
      <c r="K10"/>
      <c r="L10"/>
      <c r="M10"/>
      <c r="N10"/>
      <c r="O10"/>
      <c r="P10"/>
      <c r="Q10"/>
      <c r="R10" s="160"/>
      <c r="S10" s="160"/>
      <c r="T10" s="160"/>
      <c r="U10" s="160"/>
      <c r="V10" s="160"/>
      <c r="W10" s="160"/>
      <c r="X10" s="160"/>
      <c r="Y10" s="160"/>
      <c r="Z10" s="160"/>
      <c r="AA10" s="160"/>
      <c r="AB10" s="160"/>
      <c r="AC10" s="160"/>
      <c r="AD10" s="160"/>
      <c r="AE10" s="160"/>
    </row>
    <row r="11" spans="1:31" s="89" customFormat="1" ht="14.1" customHeight="1" x14ac:dyDescent="0.2">
      <c r="A11" s="2609"/>
      <c r="B11" s="2609"/>
      <c r="C11" s="2609"/>
      <c r="D11" s="2609"/>
      <c r="E11" s="2609"/>
      <c r="F11" s="160"/>
      <c r="G11" s="160"/>
      <c r="H11" s="160"/>
      <c r="I11" s="160"/>
      <c r="J11" s="160"/>
      <c r="K11" s="160"/>
      <c r="L11" s="160"/>
      <c r="M11" s="160"/>
      <c r="N11" s="160"/>
      <c r="O11" s="2583" t="s">
        <v>1389</v>
      </c>
      <c r="P11" s="2583"/>
      <c r="Q11" s="2583"/>
      <c r="R11" s="160"/>
      <c r="S11" s="2260"/>
      <c r="T11" s="2260"/>
      <c r="U11" s="2260"/>
      <c r="V11" s="160"/>
      <c r="W11" s="160"/>
      <c r="X11" s="160"/>
      <c r="Y11" s="160"/>
      <c r="Z11" s="160"/>
      <c r="AA11" s="160"/>
      <c r="AB11" s="160"/>
      <c r="AC11" s="160"/>
      <c r="AD11" s="160"/>
      <c r="AE11" s="160"/>
    </row>
    <row r="12" spans="1:31" s="89" customFormat="1" ht="14.1" customHeight="1" x14ac:dyDescent="0.2">
      <c r="A12" s="2609"/>
      <c r="B12" s="2609"/>
      <c r="C12" s="2609"/>
      <c r="D12" s="2609"/>
      <c r="E12" s="2609"/>
      <c r="F12" s="160"/>
      <c r="G12" s="2260" t="s">
        <v>1390</v>
      </c>
      <c r="H12" s="2260"/>
      <c r="I12" s="2260" t="s">
        <v>1391</v>
      </c>
      <c r="J12" s="2260"/>
      <c r="K12" s="2260" t="s">
        <v>1389</v>
      </c>
      <c r="L12" s="2260"/>
      <c r="M12" s="2260" t="s">
        <v>1392</v>
      </c>
      <c r="N12" s="2260"/>
      <c r="O12" s="2572" t="s">
        <v>1393</v>
      </c>
      <c r="P12" s="2572"/>
      <c r="Q12" s="2572"/>
      <c r="R12" s="2260"/>
      <c r="S12" s="2583"/>
      <c r="T12" s="2583"/>
      <c r="U12" s="2583"/>
      <c r="V12" s="160"/>
      <c r="W12" s="160"/>
      <c r="X12" s="160"/>
      <c r="Y12" s="160"/>
      <c r="Z12" s="160"/>
      <c r="AA12" s="160"/>
      <c r="AB12" s="160"/>
      <c r="AC12" s="160"/>
      <c r="AD12" s="160"/>
      <c r="AE12" s="160"/>
    </row>
    <row r="13" spans="1:31" s="89" customFormat="1" ht="14.1" customHeight="1" x14ac:dyDescent="0.2">
      <c r="A13" s="2610" t="s">
        <v>112</v>
      </c>
      <c r="B13" s="2610"/>
      <c r="C13" s="2610"/>
      <c r="D13" s="2610"/>
      <c r="E13" s="2610"/>
      <c r="F13" s="160"/>
      <c r="G13" s="2255" t="s">
        <v>1394</v>
      </c>
      <c r="H13" s="2260"/>
      <c r="I13" s="1801" t="s">
        <v>1395</v>
      </c>
      <c r="J13" s="2260"/>
      <c r="K13" s="2255" t="s">
        <v>1396</v>
      </c>
      <c r="L13" s="2260"/>
      <c r="M13" s="2255" t="s">
        <v>1397</v>
      </c>
      <c r="N13" s="2260"/>
      <c r="O13" s="2255" t="s">
        <v>1398</v>
      </c>
      <c r="P13" s="2260"/>
      <c r="Q13" s="2255" t="s">
        <v>1399</v>
      </c>
      <c r="R13" s="2260"/>
      <c r="S13" s="2260"/>
      <c r="T13" s="2260"/>
      <c r="U13" s="2260"/>
      <c r="V13" s="160"/>
      <c r="W13" s="160"/>
      <c r="X13" s="160"/>
      <c r="Y13" s="160"/>
      <c r="Z13" s="160"/>
      <c r="AA13" s="160"/>
      <c r="AB13" s="160"/>
      <c r="AC13" s="160"/>
      <c r="AD13" s="160"/>
      <c r="AE13" s="160"/>
    </row>
    <row r="14" spans="1:31" s="89" customFormat="1" ht="16.350000000000001" customHeight="1" x14ac:dyDescent="0.25">
      <c r="A14" s="2613" t="s">
        <v>1415</v>
      </c>
      <c r="B14" s="2613"/>
      <c r="C14" s="2613"/>
      <c r="D14" s="2613"/>
      <c r="E14" s="2613"/>
      <c r="F14" s="160"/>
      <c r="G14" s="544"/>
      <c r="H14" s="160"/>
      <c r="I14" s="1410"/>
      <c r="J14" s="160"/>
      <c r="K14" s="544"/>
      <c r="L14" s="160"/>
      <c r="M14" s="1410"/>
      <c r="N14" s="160"/>
      <c r="O14" s="555"/>
      <c r="P14" s="160"/>
      <c r="Q14" s="540"/>
      <c r="R14" s="538"/>
      <c r="S14" s="160"/>
      <c r="T14" s="160"/>
      <c r="U14" s="160"/>
      <c r="V14" s="160"/>
      <c r="W14" s="160"/>
      <c r="X14" s="160"/>
      <c r="Y14" s="160"/>
      <c r="Z14" s="160"/>
      <c r="AA14" s="160"/>
      <c r="AB14" s="160"/>
      <c r="AC14" s="160"/>
      <c r="AD14" s="160"/>
      <c r="AE14" s="160"/>
    </row>
    <row r="15" spans="1:31" s="89" customFormat="1" ht="14.85" customHeight="1" x14ac:dyDescent="0.25">
      <c r="A15" s="2613" t="s">
        <v>1415</v>
      </c>
      <c r="B15" s="2613"/>
      <c r="C15" s="2613"/>
      <c r="D15" s="2613"/>
      <c r="E15" s="2613"/>
      <c r="F15" s="160"/>
      <c r="G15" s="544"/>
      <c r="H15" s="160"/>
      <c r="I15" s="1410"/>
      <c r="J15" s="160"/>
      <c r="K15" s="544"/>
      <c r="L15" s="160"/>
      <c r="M15" s="1410">
        <v>0</v>
      </c>
      <c r="N15" s="160"/>
      <c r="O15" s="555"/>
      <c r="P15" s="160"/>
      <c r="Q15" s="541"/>
      <c r="R15" s="538"/>
      <c r="S15" s="160"/>
      <c r="T15" s="160"/>
      <c r="U15" s="160"/>
      <c r="V15" s="160"/>
      <c r="W15" s="160"/>
      <c r="X15" s="160"/>
      <c r="Y15" s="160"/>
      <c r="Z15" s="160"/>
      <c r="AA15" s="160"/>
      <c r="AB15" s="160"/>
      <c r="AC15" s="160"/>
      <c r="AD15" s="160"/>
      <c r="AE15" s="160"/>
    </row>
    <row r="16" spans="1:31" s="89" customFormat="1" ht="14.85" customHeight="1" x14ac:dyDescent="0.25">
      <c r="A16" s="2613" t="s">
        <v>1415</v>
      </c>
      <c r="B16" s="2613"/>
      <c r="C16" s="2613"/>
      <c r="D16" s="2613"/>
      <c r="E16" s="2613"/>
      <c r="F16" s="160"/>
      <c r="G16" s="544"/>
      <c r="H16" s="160"/>
      <c r="I16" s="1410"/>
      <c r="J16" s="160"/>
      <c r="K16" s="544"/>
      <c r="L16" s="160"/>
      <c r="M16" s="1410">
        <v>0</v>
      </c>
      <c r="N16" s="160"/>
      <c r="O16" s="555"/>
      <c r="P16" s="160"/>
      <c r="Q16" s="541"/>
      <c r="R16" s="538"/>
      <c r="S16" s="160"/>
      <c r="T16" s="160"/>
      <c r="U16" s="160"/>
      <c r="V16" s="160"/>
      <c r="W16" s="160"/>
      <c r="X16" s="160"/>
      <c r="Y16" s="160"/>
      <c r="Z16" s="160"/>
      <c r="AA16" s="160"/>
      <c r="AB16" s="160"/>
      <c r="AC16" s="160"/>
      <c r="AD16" s="160"/>
      <c r="AE16" s="160"/>
    </row>
    <row r="17" spans="1:21" s="89" customFormat="1" ht="14.85" customHeight="1" x14ac:dyDescent="0.25">
      <c r="A17" s="2613" t="s">
        <v>1415</v>
      </c>
      <c r="B17" s="2613"/>
      <c r="C17" s="2613"/>
      <c r="D17" s="2613"/>
      <c r="E17" s="2613"/>
      <c r="F17" s="160"/>
      <c r="G17" s="544"/>
      <c r="H17" s="160"/>
      <c r="I17" s="1410"/>
      <c r="J17" s="160"/>
      <c r="K17" s="544"/>
      <c r="L17" s="160"/>
      <c r="M17" s="1410"/>
      <c r="N17" s="160"/>
      <c r="O17" s="555"/>
      <c r="P17" s="160"/>
      <c r="Q17" s="541"/>
      <c r="R17" s="538"/>
      <c r="S17" s="160"/>
      <c r="T17" s="160"/>
      <c r="U17" s="160"/>
    </row>
    <row r="18" spans="1:21" s="89" customFormat="1" ht="14.85" customHeight="1" x14ac:dyDescent="0.25">
      <c r="A18" s="2613" t="s">
        <v>1415</v>
      </c>
      <c r="B18" s="2613"/>
      <c r="C18" s="2613"/>
      <c r="D18" s="2613"/>
      <c r="E18" s="2613"/>
      <c r="F18" s="160"/>
      <c r="G18" s="544"/>
      <c r="H18" s="160"/>
      <c r="I18" s="1410"/>
      <c r="J18" s="160"/>
      <c r="K18" s="544"/>
      <c r="L18" s="160"/>
      <c r="M18" s="1410"/>
      <c r="N18" s="160"/>
      <c r="O18" s="555"/>
      <c r="P18" s="160"/>
      <c r="Q18" s="541"/>
      <c r="R18" s="538"/>
      <c r="S18" s="160"/>
      <c r="T18" s="160"/>
      <c r="U18" s="160"/>
    </row>
    <row r="19" spans="1:21" s="89" customFormat="1" ht="14.85" customHeight="1" x14ac:dyDescent="0.25">
      <c r="A19" s="558" t="s">
        <v>1361</v>
      </c>
      <c r="B19" s="1807"/>
      <c r="C19" s="2605"/>
      <c r="D19" s="2605"/>
      <c r="E19" s="2605"/>
      <c r="F19" s="160"/>
      <c r="G19" s="544"/>
      <c r="H19" s="160"/>
      <c r="I19" s="1410"/>
      <c r="J19" s="160"/>
      <c r="K19" s="544"/>
      <c r="L19" s="160"/>
      <c r="M19" s="1410"/>
      <c r="N19" s="160"/>
      <c r="O19" s="555"/>
      <c r="P19" s="160"/>
      <c r="Q19" s="541"/>
      <c r="R19" s="538"/>
      <c r="S19" s="160"/>
      <c r="T19" s="160"/>
      <c r="U19" s="160"/>
    </row>
    <row r="20" spans="1:21" s="89" customFormat="1" ht="14.85" customHeight="1" x14ac:dyDescent="0.25">
      <c r="A20" s="558" t="s">
        <v>1361</v>
      </c>
      <c r="B20" s="1807"/>
      <c r="C20" s="2605"/>
      <c r="D20" s="2605"/>
      <c r="E20" s="2605"/>
      <c r="F20" s="160"/>
      <c r="G20" s="544"/>
      <c r="H20" s="160"/>
      <c r="I20" s="1410"/>
      <c r="J20" s="160"/>
      <c r="K20" s="545"/>
      <c r="L20" s="160"/>
      <c r="M20" s="1410"/>
      <c r="N20" s="160"/>
      <c r="O20" s="555"/>
      <c r="P20" s="160"/>
      <c r="Q20" s="541"/>
      <c r="R20" s="538"/>
      <c r="S20" s="160"/>
      <c r="T20" s="160"/>
      <c r="U20" s="160"/>
    </row>
    <row r="21" spans="1:21" s="89" customFormat="1" ht="4.3499999999999996" customHeight="1" x14ac:dyDescent="0.25">
      <c r="A21" s="539"/>
      <c r="B21" s="160"/>
      <c r="C21" s="546"/>
      <c r="D21" s="546"/>
      <c r="E21" s="546"/>
      <c r="F21" s="160"/>
      <c r="G21" s="1805"/>
      <c r="H21" s="160"/>
      <c r="I21" s="1411"/>
      <c r="J21" s="160"/>
      <c r="K21" s="547"/>
      <c r="L21" s="160"/>
      <c r="M21" s="1411"/>
      <c r="N21" s="160"/>
      <c r="O21" s="548"/>
      <c r="P21" s="160"/>
      <c r="Q21" s="549"/>
      <c r="R21" s="538"/>
      <c r="S21" s="160"/>
      <c r="T21" s="160"/>
      <c r="U21" s="160"/>
    </row>
    <row r="22" spans="1:21" s="89" customFormat="1" ht="14.85" customHeight="1" x14ac:dyDescent="0.25">
      <c r="A22" s="2495" t="s">
        <v>1400</v>
      </c>
      <c r="B22" s="2383"/>
      <c r="C22" s="2383"/>
      <c r="D22" s="2383"/>
      <c r="E22" s="2383"/>
      <c r="F22" s="2383"/>
      <c r="G22" s="2383"/>
      <c r="H22" s="160"/>
      <c r="I22" s="1806">
        <f>-SUM(M14:M20)</f>
        <v>0</v>
      </c>
      <c r="J22" s="160"/>
      <c r="K22" s="547"/>
      <c r="L22" s="160"/>
      <c r="M22" s="1411"/>
      <c r="N22" s="160"/>
      <c r="O22" s="548"/>
      <c r="P22" s="160"/>
      <c r="Q22" s="549"/>
      <c r="R22" s="538"/>
      <c r="S22" s="160"/>
      <c r="T22" s="160"/>
      <c r="U22" s="160"/>
    </row>
    <row r="23" spans="1:21" ht="14.85" customHeight="1" x14ac:dyDescent="0.25">
      <c r="A23" s="2495" t="s">
        <v>1401</v>
      </c>
      <c r="B23" s="2383"/>
      <c r="C23" s="2383"/>
      <c r="D23" s="2383"/>
      <c r="E23" s="2383"/>
      <c r="F23" s="2383"/>
      <c r="G23" s="2383"/>
      <c r="H23" s="160"/>
      <c r="I23" s="1738"/>
      <c r="J23" s="160"/>
      <c r="K23" s="556"/>
      <c r="L23" s="160"/>
      <c r="M23" s="160"/>
      <c r="N23" s="160"/>
      <c r="O23" s="160"/>
      <c r="P23" s="160"/>
      <c r="Q23" s="160"/>
    </row>
    <row r="24" spans="1:21" ht="14.85" customHeight="1" x14ac:dyDescent="0.25">
      <c r="A24" s="2495" t="s">
        <v>1401</v>
      </c>
      <c r="B24" s="2383"/>
      <c r="C24" s="2383"/>
      <c r="D24" s="2383"/>
      <c r="E24" s="2383"/>
      <c r="F24" s="2383"/>
      <c r="G24" s="2383"/>
      <c r="H24" s="160"/>
      <c r="I24" s="1738"/>
      <c r="J24" s="160"/>
      <c r="K24" s="557"/>
      <c r="L24" s="160"/>
      <c r="M24" s="160"/>
      <c r="N24" s="160"/>
      <c r="O24" s="160"/>
      <c r="P24" s="160"/>
      <c r="Q24" s="160"/>
    </row>
    <row r="25" spans="1:21" ht="14.85" customHeight="1" x14ac:dyDescent="0.25">
      <c r="A25" s="2495" t="s">
        <v>1401</v>
      </c>
      <c r="B25" s="2383"/>
      <c r="C25" s="2383"/>
      <c r="D25" s="2383"/>
      <c r="E25" s="2383"/>
      <c r="F25" s="2383"/>
      <c r="G25" s="2383"/>
      <c r="H25" s="160"/>
      <c r="I25" s="1738"/>
      <c r="J25" s="160"/>
      <c r="K25" s="557"/>
      <c r="L25" s="160"/>
      <c r="M25" s="160"/>
      <c r="N25" s="160"/>
      <c r="O25" s="160"/>
      <c r="P25" s="160"/>
      <c r="Q25" s="160"/>
    </row>
    <row r="26" spans="1:21" ht="14.85" customHeight="1" x14ac:dyDescent="0.25">
      <c r="A26" s="2495" t="s">
        <v>1401</v>
      </c>
      <c r="B26" s="2383"/>
      <c r="C26" s="2383"/>
      <c r="D26" s="2383"/>
      <c r="E26" s="2383"/>
      <c r="F26" s="2383"/>
      <c r="G26" s="2383"/>
      <c r="H26" s="160"/>
      <c r="I26" s="1738"/>
      <c r="J26" s="160"/>
      <c r="K26" s="557"/>
      <c r="L26" s="160"/>
      <c r="M26" s="160"/>
      <c r="N26" s="160"/>
      <c r="O26" s="160"/>
      <c r="P26" s="160"/>
      <c r="Q26" s="160"/>
    </row>
    <row r="27" spans="1:21" ht="15" customHeight="1" thickBot="1" x14ac:dyDescent="0.25">
      <c r="A27" s="2611" t="s">
        <v>1402</v>
      </c>
      <c r="B27" s="2611"/>
      <c r="C27" s="2611"/>
      <c r="D27" s="2611"/>
      <c r="E27" s="2611"/>
      <c r="F27" s="2612"/>
      <c r="G27" s="2612"/>
      <c r="I27" s="1740">
        <f>SUM(I14:I26)</f>
        <v>0</v>
      </c>
    </row>
    <row r="28" spans="1:21" ht="12" customHeight="1" thickTop="1" x14ac:dyDescent="0.2"/>
    <row r="29" spans="1:21" ht="12.75" x14ac:dyDescent="0.2">
      <c r="A29" s="2590" t="s">
        <v>1416</v>
      </c>
      <c r="B29" s="2383"/>
      <c r="C29" s="2383"/>
      <c r="D29" s="2383"/>
      <c r="E29" s="2383"/>
      <c r="F29" s="2383"/>
      <c r="G29" s="2383"/>
      <c r="H29" s="2383"/>
      <c r="I29" s="2383"/>
      <c r="J29" s="2383"/>
      <c r="K29" s="2383"/>
      <c r="L29" s="2383"/>
      <c r="M29" s="2383"/>
      <c r="N29" s="2383"/>
      <c r="O29" s="2383"/>
      <c r="P29" s="2383"/>
      <c r="Q29" s="2383"/>
      <c r="R29" s="2265"/>
      <c r="S29" s="2265"/>
      <c r="T29" s="2265"/>
      <c r="U29" s="2265"/>
    </row>
    <row r="30" spans="1:21" ht="12.75" x14ac:dyDescent="0.2">
      <c r="A30" s="2590" t="s">
        <v>1417</v>
      </c>
      <c r="B30" s="2383"/>
      <c r="C30" s="2383"/>
      <c r="D30" s="2383"/>
      <c r="E30" s="2383"/>
      <c r="F30" s="2383"/>
      <c r="G30" s="2383"/>
      <c r="H30" s="2383"/>
      <c r="I30" s="2383"/>
      <c r="J30" s="2383"/>
      <c r="K30" s="2383"/>
      <c r="L30" s="2383"/>
      <c r="M30" s="2383"/>
      <c r="N30" s="2383"/>
      <c r="O30" s="2383"/>
      <c r="P30" s="2383"/>
      <c r="Q30" s="2383"/>
      <c r="R30" s="2383"/>
      <c r="S30" s="2265"/>
      <c r="T30" s="2265"/>
      <c r="U30" s="2265"/>
    </row>
    <row r="31" spans="1:21" ht="10.35" customHeight="1" x14ac:dyDescent="0.2">
      <c r="A31" s="2265"/>
      <c r="B31" s="2265"/>
      <c r="C31" s="2265"/>
      <c r="D31" s="2265"/>
      <c r="E31" s="2265"/>
      <c r="F31" s="2265"/>
      <c r="G31" s="2265"/>
      <c r="H31" s="2265"/>
      <c r="I31" s="2265"/>
      <c r="J31" s="2265"/>
      <c r="K31" s="2265"/>
      <c r="L31" s="2265"/>
      <c r="M31" s="2265"/>
      <c r="N31" s="2265"/>
      <c r="O31" s="2265"/>
      <c r="P31" s="2265"/>
      <c r="Q31" s="2265"/>
      <c r="R31" s="2265"/>
      <c r="S31" s="2265"/>
      <c r="T31" s="2265"/>
      <c r="U31" s="2265"/>
    </row>
    <row r="32" spans="1:21" ht="14.1" customHeight="1" x14ac:dyDescent="0.2"/>
    <row r="33" spans="1:17" ht="12" customHeight="1" x14ac:dyDescent="0.2">
      <c r="A33" s="550" t="s">
        <v>914</v>
      </c>
      <c r="B33" s="466" t="s">
        <v>1418</v>
      </c>
      <c r="C33" s="467"/>
      <c r="D33" s="467"/>
      <c r="E33" s="467"/>
      <c r="F33" s="467"/>
      <c r="G33" s="467"/>
      <c r="H33" s="467"/>
      <c r="I33" s="467"/>
      <c r="J33" s="467"/>
      <c r="K33" s="467"/>
      <c r="L33" s="467"/>
      <c r="M33" s="467"/>
      <c r="N33" s="467"/>
      <c r="O33" s="467"/>
      <c r="P33" s="467"/>
      <c r="Q33" s="467"/>
    </row>
    <row r="34" spans="1:17" ht="12" customHeight="1" x14ac:dyDescent="0.2">
      <c r="A34" s="550"/>
      <c r="B34" s="466" t="s">
        <v>1419</v>
      </c>
      <c r="C34" s="467"/>
      <c r="D34" s="467"/>
      <c r="E34" s="467"/>
      <c r="F34" s="467"/>
      <c r="G34" s="467"/>
      <c r="H34" s="467"/>
      <c r="I34" s="467"/>
      <c r="J34" s="467"/>
      <c r="K34" s="467"/>
      <c r="L34" s="467"/>
      <c r="M34" s="467"/>
      <c r="N34" s="467"/>
      <c r="O34" s="467"/>
      <c r="P34" s="467"/>
      <c r="Q34" s="467"/>
    </row>
    <row r="35" spans="1:17" ht="6" customHeight="1" x14ac:dyDescent="0.2">
      <c r="A35" s="467"/>
      <c r="B35" s="466"/>
      <c r="C35" s="467"/>
      <c r="D35" s="467"/>
      <c r="E35" s="467"/>
      <c r="F35" s="467"/>
      <c r="G35" s="467"/>
      <c r="H35" s="467"/>
      <c r="I35" s="467"/>
      <c r="J35" s="467"/>
      <c r="K35" s="467"/>
      <c r="L35" s="467"/>
      <c r="M35" s="467"/>
      <c r="N35" s="467"/>
      <c r="O35" s="467"/>
      <c r="P35" s="467"/>
      <c r="Q35" s="467"/>
    </row>
    <row r="36" spans="1:17" ht="12" customHeight="1" x14ac:dyDescent="0.2">
      <c r="A36" s="550" t="s">
        <v>1408</v>
      </c>
      <c r="B36" s="466" t="s">
        <v>1420</v>
      </c>
      <c r="C36" s="467"/>
      <c r="D36" s="467"/>
      <c r="E36" s="467"/>
      <c r="F36" s="467"/>
      <c r="G36" s="467"/>
      <c r="H36" s="467"/>
      <c r="I36" s="467"/>
      <c r="J36" s="467"/>
      <c r="K36" s="467"/>
      <c r="L36" s="467"/>
      <c r="M36" s="467"/>
      <c r="N36" s="467"/>
      <c r="O36" s="467"/>
      <c r="P36" s="467"/>
      <c r="Q36" s="467"/>
    </row>
    <row r="37" spans="1:17" ht="12" customHeight="1" x14ac:dyDescent="0.2">
      <c r="A37" s="467"/>
      <c r="B37" s="466" t="s">
        <v>1421</v>
      </c>
      <c r="C37" s="467"/>
      <c r="D37" s="467"/>
      <c r="E37" s="467"/>
      <c r="F37" s="467"/>
      <c r="G37" s="467"/>
      <c r="H37" s="467"/>
      <c r="I37" s="467"/>
      <c r="J37" s="467"/>
      <c r="K37" s="467"/>
      <c r="L37" s="467"/>
      <c r="M37" s="467"/>
      <c r="N37" s="467"/>
      <c r="O37" s="467"/>
      <c r="P37" s="467"/>
      <c r="Q37" s="467"/>
    </row>
    <row r="38" spans="1:17" ht="12" customHeight="1" x14ac:dyDescent="0.2">
      <c r="A38" s="467"/>
      <c r="B38" s="466" t="s">
        <v>1411</v>
      </c>
      <c r="C38" s="467"/>
      <c r="D38" s="467"/>
      <c r="E38" s="467"/>
      <c r="F38" s="467"/>
      <c r="G38" s="467"/>
      <c r="H38" s="467"/>
      <c r="I38" s="467"/>
      <c r="J38" s="467"/>
      <c r="K38" s="467"/>
      <c r="L38" s="467"/>
      <c r="M38" s="467"/>
      <c r="N38" s="467"/>
      <c r="O38" s="467"/>
      <c r="P38" s="467"/>
      <c r="Q38" s="467"/>
    </row>
    <row r="39" spans="1:17" ht="6" customHeight="1" x14ac:dyDescent="0.2">
      <c r="A39" s="467"/>
      <c r="B39" s="466"/>
      <c r="C39" s="467"/>
      <c r="D39" s="467"/>
      <c r="E39" s="467"/>
      <c r="F39" s="467"/>
      <c r="G39" s="467"/>
      <c r="H39" s="467"/>
      <c r="I39" s="467"/>
      <c r="J39" s="467"/>
      <c r="K39" s="467"/>
      <c r="L39" s="467"/>
      <c r="M39" s="467"/>
      <c r="N39" s="467"/>
      <c r="O39" s="467"/>
      <c r="P39" s="467"/>
      <c r="Q39" s="467"/>
    </row>
    <row r="40" spans="1:17" ht="12" customHeight="1" x14ac:dyDescent="0.2">
      <c r="A40" s="550" t="s">
        <v>1412</v>
      </c>
      <c r="B40" s="466" t="s">
        <v>1413</v>
      </c>
      <c r="C40" s="467"/>
      <c r="D40" s="467"/>
      <c r="E40" s="467"/>
      <c r="F40" s="467"/>
      <c r="G40" s="467"/>
      <c r="H40" s="467"/>
      <c r="I40" s="467"/>
      <c r="J40" s="467"/>
      <c r="K40" s="467"/>
      <c r="L40" s="467"/>
      <c r="M40" s="467"/>
      <c r="N40" s="467"/>
      <c r="O40" s="467"/>
      <c r="P40" s="467"/>
      <c r="Q40" s="467"/>
    </row>
  </sheetData>
  <sheetProtection algorithmName="SHA-512" hashValue="OTo1VgVt1N+fQ7xNnQGM4BdhvnLj4XTBFrxPfAmfaHMGDqBVzQ/2FllDkweIrj50Lv02p21B5PV6d/GrVojQdQ==" saltValue="bybasDaLKA3Qr0h2vV7iyw==" spinCount="100000" sheet="1" objects="1" scenarios="1" autoFilter="0"/>
  <customSheetViews>
    <customSheetView guid="{9FCFC836-1CA5-48BF-958D-24D2EA94B219}" showGridLines="0" fitToPage="1">
      <selection activeCell="D38" sqref="D38"/>
      <pageMargins left="0" right="0" top="0" bottom="0" header="0" footer="0"/>
      <pageSetup orientation="landscape" r:id="rId1"/>
      <headerFooter alignWithMargins="0">
        <oddFooter>&amp;R&amp;A</oddFooter>
      </headerFooter>
    </customSheetView>
    <customSheetView guid="{B08879A4-635B-4C39-9937-AC7883D562FC}" showGridLines="0" fitToPage="1">
      <selection activeCell="D38" sqref="D38"/>
      <pageMargins left="0" right="0" top="0" bottom="0" header="0" footer="0"/>
      <pageSetup orientation="landscape" r:id="rId2"/>
      <headerFooter alignWithMargins="0">
        <oddFooter>&amp;R&amp;A</oddFooter>
      </headerFooter>
    </customSheetView>
  </customSheetViews>
  <mergeCells count="30">
    <mergeCell ref="A29:Q29"/>
    <mergeCell ref="A30:R30"/>
    <mergeCell ref="S12:U12"/>
    <mergeCell ref="A13:E13"/>
    <mergeCell ref="A14:E14"/>
    <mergeCell ref="A15:E15"/>
    <mergeCell ref="A16:E16"/>
    <mergeCell ref="A17:E17"/>
    <mergeCell ref="A18:E18"/>
    <mergeCell ref="C19:E19"/>
    <mergeCell ref="A22:G22"/>
    <mergeCell ref="A23:G23"/>
    <mergeCell ref="A24:G24"/>
    <mergeCell ref="A25:G25"/>
    <mergeCell ref="A26:G26"/>
    <mergeCell ref="A27:G27"/>
    <mergeCell ref="C20:E20"/>
    <mergeCell ref="D7:E7"/>
    <mergeCell ref="L7:Q7"/>
    <mergeCell ref="L8:Q8"/>
    <mergeCell ref="A11:E11"/>
    <mergeCell ref="O11:Q11"/>
    <mergeCell ref="A12:E12"/>
    <mergeCell ref="O12:Q12"/>
    <mergeCell ref="L6:Q6"/>
    <mergeCell ref="A1:Q1"/>
    <mergeCell ref="R1:R3"/>
    <mergeCell ref="A2:Q2"/>
    <mergeCell ref="A3:Q3"/>
    <mergeCell ref="L5:Q5"/>
  </mergeCells>
  <conditionalFormatting sqref="R1:R3">
    <cfRule type="cellIs" dxfId="120" priority="1" stopIfTrue="1" operator="equal">
      <formula>"na"</formula>
    </cfRule>
  </conditionalFormatting>
  <dataValidations count="3">
    <dataValidation type="decimal" operator="lessThanOrEqual" allowBlank="1" showErrorMessage="1" errorTitle="Invalid Data" error="Amount Must Be Negative" promptTitle="Negative Message" prompt="Must Enter a Negative Number" sqref="I23:I26" xr:uid="{00000000-0002-0000-1600-000000000000}">
      <formula1>0</formula1>
    </dataValidation>
    <dataValidation type="list" allowBlank="1" sqref="A14:E18" xr:uid="{00000000-0002-0000-1600-000001000000}">
      <formula1>Derivative</formula1>
    </dataValidation>
    <dataValidation type="decimal" operator="greaterThanOrEqual" allowBlank="1" showErrorMessage="1" errorTitle="Invalid Data" error="Exclude Derivatives with Negative Fair Values (See Note 1)" sqref="I14:I20" xr:uid="{00000000-0002-0000-1600-000002000000}">
      <formula1>0</formula1>
    </dataValidation>
  </dataValidations>
  <hyperlinks>
    <hyperlink ref="A1:Q1" location="Index!A1" display="Index!A1" xr:uid="{00000000-0004-0000-1600-000000000000}"/>
  </hyperlinks>
  <pageMargins left="0.6" right="0.6" top="0.5" bottom="0.5" header="0.3" footer="0.3"/>
  <pageSetup scale="85" orientation="landscape" r:id="rId3"/>
  <ignoredErrors>
    <ignoredError sqref="A33 A36 A4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L103"/>
  <sheetViews>
    <sheetView showGridLines="0" topLeftCell="B1" zoomScaleNormal="100" zoomScaleSheetLayoutView="100" workbookViewId="0">
      <selection activeCell="P8" sqref="P8"/>
    </sheetView>
  </sheetViews>
  <sheetFormatPr defaultRowHeight="12.75" x14ac:dyDescent="0.2"/>
  <cols>
    <col min="1" max="1" width="0" hidden="1" customWidth="1"/>
    <col min="3" max="3" width="8.42578125" customWidth="1"/>
    <col min="6" max="6" width="3.42578125" customWidth="1"/>
    <col min="7" max="7" width="13.42578125" customWidth="1"/>
    <col min="8" max="8" width="12.5703125" customWidth="1"/>
    <col min="10" max="10" width="13.42578125" customWidth="1"/>
    <col min="11" max="11" width="9.5703125" customWidth="1"/>
    <col min="12" max="12" width="4.5703125" customWidth="1"/>
  </cols>
  <sheetData>
    <row r="1" spans="2:12" ht="15" customHeight="1" x14ac:dyDescent="0.25">
      <c r="B1" s="2455" t="str">
        <f>+Index!$A$1</f>
        <v xml:space="preserve">                                                               Office of the State Controller                                                                </v>
      </c>
      <c r="C1" s="2455"/>
      <c r="D1" s="2455"/>
      <c r="E1" s="2455"/>
      <c r="F1" s="2455"/>
      <c r="G1" s="2455"/>
      <c r="H1" s="2455"/>
      <c r="I1" s="2455"/>
      <c r="J1" s="2455"/>
      <c r="K1" s="2455"/>
      <c r="L1" s="2456" t="str">
        <f>IF(Index!$B$46="na","NA","")</f>
        <v/>
      </c>
    </row>
    <row r="2" spans="2:12" ht="15" customHeight="1" x14ac:dyDescent="0.25">
      <c r="B2" s="2439" t="str">
        <f>+Index!$A$2</f>
        <v>2023 ACFR Worksheets</v>
      </c>
      <c r="C2" s="2439"/>
      <c r="D2" s="2439"/>
      <c r="E2" s="2439"/>
      <c r="F2" s="2439"/>
      <c r="G2" s="2439"/>
      <c r="H2" s="2439"/>
      <c r="I2" s="2439"/>
      <c r="J2" s="2439"/>
      <c r="K2" s="2439"/>
      <c r="L2" s="2456"/>
    </row>
    <row r="3" spans="2:12" ht="15" customHeight="1" x14ac:dyDescent="0.25">
      <c r="B3" s="2439" t="s">
        <v>1422</v>
      </c>
      <c r="C3" s="2439"/>
      <c r="D3" s="2439"/>
      <c r="E3" s="2439"/>
      <c r="F3" s="2439"/>
      <c r="G3" s="2439"/>
      <c r="H3" s="2439"/>
      <c r="I3" s="2439"/>
      <c r="J3" s="2439"/>
      <c r="K3" s="2439"/>
      <c r="L3" s="2456"/>
    </row>
    <row r="4" spans="2:12" ht="15" customHeight="1" x14ac:dyDescent="0.3">
      <c r="H4" s="9" t="s">
        <v>50</v>
      </c>
    </row>
    <row r="5" spans="2:12" ht="15" customHeight="1" x14ac:dyDescent="0.25">
      <c r="B5" s="1808"/>
      <c r="C5" s="2304"/>
      <c r="D5" s="2618"/>
      <c r="E5" s="2618"/>
      <c r="G5" s="1809" t="s">
        <v>317</v>
      </c>
      <c r="H5" s="2492" t="str">
        <f>+Index!$E$10</f>
        <v>01</v>
      </c>
      <c r="I5" s="2492"/>
      <c r="J5" s="2492"/>
      <c r="K5" s="2492"/>
    </row>
    <row r="6" spans="2:12" ht="15" customHeight="1" x14ac:dyDescent="0.2">
      <c r="G6" s="1809" t="s">
        <v>318</v>
      </c>
      <c r="H6" s="2545" t="str">
        <f>+Index!$E$11</f>
        <v>North Carolina General Assembly</v>
      </c>
      <c r="I6" s="2545"/>
      <c r="J6" s="2545"/>
      <c r="K6" s="2545"/>
    </row>
    <row r="7" spans="2:12" ht="15" customHeight="1" x14ac:dyDescent="0.25">
      <c r="B7" s="1808" t="s">
        <v>568</v>
      </c>
      <c r="C7" s="2304"/>
      <c r="D7" s="2619" t="s">
        <v>754</v>
      </c>
      <c r="E7" s="2619"/>
      <c r="G7" s="1809" t="s">
        <v>319</v>
      </c>
      <c r="H7" s="2546" t="str">
        <f>CONCATENATE(Index!$E$12," ",Index!$E$14)</f>
        <v xml:space="preserve"> </v>
      </c>
      <c r="I7" s="2546"/>
      <c r="J7" s="2546"/>
      <c r="K7" s="2546"/>
    </row>
    <row r="8" spans="2:12" ht="15" customHeight="1" x14ac:dyDescent="0.25">
      <c r="B8" s="1808"/>
      <c r="C8" s="2304"/>
      <c r="D8" s="2272"/>
      <c r="E8" s="2272"/>
      <c r="G8" s="1809" t="s">
        <v>71</v>
      </c>
      <c r="H8" s="2546">
        <f>+Index!$E$13</f>
        <v>0</v>
      </c>
      <c r="I8" s="2546"/>
      <c r="J8" s="2546"/>
      <c r="K8" s="2546"/>
    </row>
    <row r="9" spans="2:12" ht="7.5" customHeight="1" thickBot="1" x14ac:dyDescent="0.3">
      <c r="B9" s="3"/>
      <c r="C9" s="3"/>
      <c r="D9" s="3"/>
      <c r="E9" s="3"/>
      <c r="F9" s="3"/>
      <c r="G9" s="3"/>
      <c r="H9" s="3"/>
      <c r="I9" s="3"/>
      <c r="J9" s="3"/>
      <c r="K9" s="3"/>
    </row>
    <row r="10" spans="2:12" s="10" customFormat="1" ht="15" customHeight="1" x14ac:dyDescent="0.2">
      <c r="B10" s="85"/>
      <c r="C10" s="85"/>
      <c r="D10" s="85"/>
      <c r="E10" s="85"/>
      <c r="F10" s="85"/>
      <c r="G10" s="85"/>
      <c r="H10" s="85"/>
      <c r="I10" s="85"/>
      <c r="J10" s="85"/>
      <c r="K10" s="85"/>
      <c r="L10" s="159"/>
    </row>
    <row r="11" spans="2:12" s="10" customFormat="1" ht="15" customHeight="1" x14ac:dyDescent="0.2">
      <c r="B11" s="1" t="s">
        <v>1423</v>
      </c>
      <c r="C11" s="159"/>
      <c r="D11" s="159"/>
      <c r="E11" s="159"/>
      <c r="F11" s="159"/>
      <c r="G11" s="159"/>
      <c r="H11" s="159"/>
      <c r="I11" s="159"/>
      <c r="J11" s="159"/>
      <c r="K11" s="159"/>
      <c r="L11" s="159"/>
    </row>
    <row r="12" spans="2:12" s="10" customFormat="1" ht="15" customHeight="1" x14ac:dyDescent="0.2">
      <c r="B12" s="1" t="s">
        <v>1424</v>
      </c>
      <c r="C12" s="159"/>
      <c r="D12" s="159"/>
      <c r="E12" s="159"/>
      <c r="F12" s="159"/>
      <c r="G12" s="159"/>
      <c r="H12" s="159"/>
      <c r="I12" s="159"/>
      <c r="J12" s="159"/>
      <c r="K12" s="159"/>
      <c r="L12" s="159"/>
    </row>
    <row r="13" spans="2:12" s="10" customFormat="1" ht="15" customHeight="1" x14ac:dyDescent="0.2">
      <c r="B13" s="1" t="s">
        <v>1425</v>
      </c>
      <c r="C13" s="159"/>
      <c r="D13" s="159"/>
      <c r="E13" s="159"/>
      <c r="F13" s="159"/>
      <c r="G13" s="159"/>
      <c r="H13" s="159"/>
      <c r="I13" s="159"/>
      <c r="J13" s="159"/>
      <c r="K13" s="159"/>
      <c r="L13" s="159"/>
    </row>
    <row r="14" spans="2:12" s="10" customFormat="1" ht="15" customHeight="1" x14ac:dyDescent="0.2">
      <c r="B14" s="159"/>
      <c r="C14" s="159"/>
      <c r="D14" s="159"/>
      <c r="E14" s="159"/>
      <c r="F14" s="159"/>
      <c r="G14" s="159"/>
      <c r="H14" s="159"/>
      <c r="I14" s="159"/>
      <c r="J14" s="159"/>
      <c r="K14" s="159"/>
      <c r="L14" s="159"/>
    </row>
    <row r="15" spans="2:12" s="10" customFormat="1" ht="15" customHeight="1" x14ac:dyDescent="0.2">
      <c r="B15" s="159" t="s">
        <v>1426</v>
      </c>
      <c r="C15" s="159"/>
      <c r="D15" s="159"/>
      <c r="E15" s="159"/>
      <c r="F15" s="159"/>
      <c r="G15" s="159"/>
      <c r="H15" s="159"/>
      <c r="I15" s="159"/>
      <c r="J15" s="159"/>
      <c r="K15" s="159"/>
      <c r="L15" s="159"/>
    </row>
    <row r="16" spans="2:12" s="10" customFormat="1" ht="15" customHeight="1" x14ac:dyDescent="0.2">
      <c r="B16" s="159" t="s">
        <v>1427</v>
      </c>
      <c r="C16" s="159"/>
      <c r="D16" s="159"/>
      <c r="E16" s="159"/>
      <c r="F16" s="159"/>
      <c r="G16" s="159"/>
      <c r="H16" s="159"/>
      <c r="I16" s="159"/>
      <c r="J16" s="159"/>
      <c r="K16" s="159"/>
      <c r="L16" s="159"/>
    </row>
    <row r="17" spans="2:10" s="10" customFormat="1" ht="15" customHeight="1" x14ac:dyDescent="0.2">
      <c r="B17" s="159" t="s">
        <v>1428</v>
      </c>
      <c r="C17" s="159"/>
      <c r="D17" s="159"/>
      <c r="E17" s="159"/>
      <c r="F17" s="159"/>
      <c r="G17" s="159"/>
      <c r="H17" s="159"/>
      <c r="I17" s="159"/>
      <c r="J17" s="159"/>
    </row>
    <row r="18" spans="2:10" s="10" customFormat="1" ht="15" customHeight="1" x14ac:dyDescent="0.2">
      <c r="B18" s="1359" t="s">
        <v>1429</v>
      </c>
      <c r="C18" s="159"/>
      <c r="D18" s="159"/>
      <c r="E18" s="159"/>
      <c r="F18" s="159"/>
      <c r="G18" s="159"/>
      <c r="H18" s="159"/>
      <c r="I18" s="159"/>
      <c r="J18" s="159"/>
    </row>
    <row r="19" spans="2:10" s="10" customFormat="1" ht="15" customHeight="1" x14ac:dyDescent="0.2">
      <c r="B19" s="159" t="s">
        <v>1430</v>
      </c>
      <c r="C19" s="159"/>
      <c r="D19" s="159"/>
      <c r="E19" s="159"/>
      <c r="F19" s="1"/>
      <c r="G19" s="159"/>
      <c r="H19" s="159"/>
      <c r="I19" s="159"/>
      <c r="J19" s="159"/>
    </row>
    <row r="20" spans="2:10" s="10" customFormat="1" ht="15" customHeight="1" x14ac:dyDescent="0.2">
      <c r="B20" s="159"/>
      <c r="C20" s="159"/>
      <c r="D20" s="159"/>
      <c r="E20" s="159"/>
      <c r="F20" s="159"/>
      <c r="G20" s="159"/>
      <c r="H20" s="159"/>
      <c r="I20" s="159"/>
      <c r="J20" s="159"/>
    </row>
    <row r="21" spans="2:10" s="10" customFormat="1" ht="15" customHeight="1" x14ac:dyDescent="0.2">
      <c r="B21" s="2503" t="s">
        <v>1431</v>
      </c>
      <c r="C21" s="2503"/>
      <c r="D21" s="2503"/>
      <c r="E21" s="2503"/>
      <c r="F21" s="2503"/>
      <c r="G21" s="2503"/>
      <c r="H21" s="2503"/>
      <c r="I21" s="2503"/>
      <c r="J21" s="2503"/>
    </row>
    <row r="22" spans="2:10" s="10" customFormat="1" ht="15" customHeight="1" x14ac:dyDescent="0.2">
      <c r="B22" s="159" t="s">
        <v>1432</v>
      </c>
      <c r="C22" s="159"/>
      <c r="D22" s="159"/>
      <c r="E22" s="159"/>
      <c r="F22" s="159"/>
      <c r="G22" s="159"/>
      <c r="H22" s="159"/>
      <c r="I22" s="159"/>
      <c r="J22" s="159"/>
    </row>
    <row r="23" spans="2:10" s="10" customFormat="1" ht="15" customHeight="1" x14ac:dyDescent="0.2">
      <c r="B23" s="159" t="s">
        <v>1433</v>
      </c>
      <c r="C23" s="159"/>
      <c r="D23" s="159"/>
      <c r="E23" s="159"/>
      <c r="F23" s="159"/>
      <c r="G23" s="159"/>
      <c r="H23" s="159"/>
      <c r="I23" s="159"/>
      <c r="J23" s="159"/>
    </row>
    <row r="24" spans="2:10" s="10" customFormat="1" ht="15" customHeight="1" x14ac:dyDescent="0.2">
      <c r="B24" s="159"/>
      <c r="C24" s="159"/>
      <c r="D24" s="159"/>
      <c r="E24" s="159"/>
      <c r="F24" s="159"/>
      <c r="G24" s="159"/>
      <c r="H24" s="159"/>
      <c r="I24" s="159"/>
      <c r="J24" s="159"/>
    </row>
    <row r="25" spans="2:10" s="10" customFormat="1" ht="15" customHeight="1" x14ac:dyDescent="0.2">
      <c r="B25" s="159" t="s">
        <v>1434</v>
      </c>
      <c r="C25" s="159"/>
      <c r="D25" s="159"/>
      <c r="E25" s="159"/>
      <c r="F25" s="159"/>
      <c r="G25" s="159"/>
      <c r="H25" s="159"/>
      <c r="I25" s="159"/>
      <c r="J25" s="159"/>
    </row>
    <row r="26" spans="2:10" s="10" customFormat="1" ht="15" customHeight="1" x14ac:dyDescent="0.2">
      <c r="B26" s="159" t="s">
        <v>1435</v>
      </c>
      <c r="C26" s="159"/>
      <c r="D26" s="159"/>
      <c r="E26" s="159"/>
      <c r="F26" s="159"/>
      <c r="G26" s="159"/>
      <c r="H26" s="159"/>
      <c r="I26" s="159"/>
      <c r="J26" s="159"/>
    </row>
    <row r="27" spans="2:10" s="10" customFormat="1" ht="15" customHeight="1" x14ac:dyDescent="0.2">
      <c r="B27" s="159"/>
      <c r="C27" s="159"/>
      <c r="D27" s="159"/>
      <c r="E27" s="159"/>
      <c r="F27" s="159"/>
      <c r="G27" s="159"/>
      <c r="H27" s="159"/>
      <c r="I27" s="159"/>
      <c r="J27" s="159"/>
    </row>
    <row r="28" spans="2:10" s="10" customFormat="1" ht="15" customHeight="1" x14ac:dyDescent="0.2">
      <c r="B28" s="1" t="s">
        <v>1436</v>
      </c>
      <c r="C28" s="159"/>
      <c r="D28" s="159"/>
      <c r="E28" s="159"/>
      <c r="F28" s="159"/>
      <c r="G28" s="159"/>
      <c r="H28" s="159"/>
      <c r="I28" s="159"/>
      <c r="J28" s="159"/>
    </row>
    <row r="29" spans="2:10" s="10" customFormat="1" ht="15" customHeight="1" x14ac:dyDescent="0.2">
      <c r="B29" s="159" t="s">
        <v>1437</v>
      </c>
      <c r="C29" s="159"/>
      <c r="D29" s="159"/>
      <c r="E29" s="159"/>
      <c r="F29" s="159"/>
      <c r="G29" s="159"/>
      <c r="H29" s="159"/>
      <c r="I29" s="159"/>
      <c r="J29" s="159"/>
    </row>
    <row r="30" spans="2:10" s="10" customFormat="1" ht="15" customHeight="1" x14ac:dyDescent="0.2">
      <c r="B30" s="159"/>
      <c r="C30" s="159"/>
      <c r="D30" s="159"/>
      <c r="E30" s="159" t="s">
        <v>506</v>
      </c>
      <c r="F30" s="2539"/>
      <c r="G30" s="2539"/>
      <c r="H30" s="2002" t="s">
        <v>498</v>
      </c>
      <c r="I30" s="2539"/>
      <c r="J30" s="2539"/>
    </row>
    <row r="31" spans="2:10" s="10" customFormat="1" ht="15" customHeight="1" x14ac:dyDescent="0.2">
      <c r="B31" s="2616" t="str">
        <f>IF(ISTEXT(F30), "Response for Yes needed", " ")</f>
        <v xml:space="preserve"> </v>
      </c>
      <c r="C31" s="2383"/>
      <c r="D31" s="2383"/>
      <c r="E31" s="159"/>
      <c r="F31" s="159"/>
      <c r="G31" s="1"/>
      <c r="H31" s="159"/>
      <c r="I31" s="2614" t="str">
        <f>IF(AND(ISBLANK(F30),ISBLANK(I30))=TRUE,"Answer Missing"," ")</f>
        <v>Answer Missing</v>
      </c>
      <c r="J31" s="2615"/>
    </row>
    <row r="32" spans="2:10" s="10" customFormat="1" ht="15" customHeight="1" x14ac:dyDescent="0.2">
      <c r="B32" s="159" t="s">
        <v>1438</v>
      </c>
      <c r="C32" s="159"/>
      <c r="D32" s="159"/>
      <c r="E32" s="159"/>
      <c r="F32" s="159"/>
      <c r="G32" s="1"/>
      <c r="H32" s="159"/>
      <c r="I32" s="1"/>
      <c r="J32" s="159"/>
    </row>
    <row r="33" spans="2:11" s="10" customFormat="1" ht="15" customHeight="1" x14ac:dyDescent="0.2">
      <c r="B33" s="159" t="s">
        <v>1439</v>
      </c>
      <c r="C33" s="159"/>
      <c r="D33" s="159"/>
      <c r="E33" s="159"/>
      <c r="F33" s="159"/>
      <c r="G33" s="159"/>
      <c r="H33" s="159"/>
      <c r="I33" s="159"/>
      <c r="J33" s="159"/>
      <c r="K33" s="159"/>
    </row>
    <row r="34" spans="2:11" s="10" customFormat="1" ht="15" customHeight="1" x14ac:dyDescent="0.2">
      <c r="B34" s="159"/>
      <c r="C34" s="159" t="s">
        <v>1440</v>
      </c>
      <c r="D34" s="159"/>
      <c r="E34" s="2564"/>
      <c r="F34" s="2564"/>
      <c r="G34" s="2564"/>
      <c r="H34" s="2564"/>
      <c r="I34" s="2564"/>
      <c r="J34" s="2564"/>
      <c r="K34" s="2564"/>
    </row>
    <row r="35" spans="2:11" s="10" customFormat="1" ht="15" customHeight="1" x14ac:dyDescent="0.2">
      <c r="B35" s="159"/>
      <c r="C35" s="159" t="s">
        <v>1441</v>
      </c>
      <c r="D35" s="159"/>
      <c r="E35" s="2548"/>
      <c r="F35" s="2548"/>
      <c r="G35" s="2548"/>
      <c r="H35" s="2548"/>
      <c r="I35" s="2548"/>
      <c r="J35" s="2548"/>
      <c r="K35" s="2548"/>
    </row>
    <row r="36" spans="2:11" s="10" customFormat="1" ht="15" customHeight="1" x14ac:dyDescent="0.2">
      <c r="B36" s="83"/>
      <c r="C36" s="83"/>
      <c r="D36" s="83"/>
      <c r="E36" s="83"/>
      <c r="F36" s="83"/>
      <c r="G36" s="83"/>
      <c r="H36" s="83"/>
      <c r="I36" s="83"/>
      <c r="J36" s="83"/>
      <c r="K36" s="83"/>
    </row>
    <row r="37" spans="2:11" s="10" customFormat="1" ht="15" customHeight="1" x14ac:dyDescent="0.2">
      <c r="B37" s="2503" t="s">
        <v>1442</v>
      </c>
      <c r="C37" s="2503"/>
      <c r="D37" s="2503"/>
      <c r="E37" s="2503"/>
      <c r="F37" s="2503"/>
      <c r="G37" s="2503"/>
      <c r="H37" s="2503"/>
      <c r="I37" s="2503"/>
      <c r="J37" s="2503"/>
      <c r="K37" s="159"/>
    </row>
    <row r="38" spans="2:11" s="10" customFormat="1" ht="15" customHeight="1" x14ac:dyDescent="0.2">
      <c r="B38" s="159" t="s">
        <v>1443</v>
      </c>
      <c r="C38" s="159"/>
      <c r="D38" s="159"/>
      <c r="E38" s="159"/>
      <c r="F38" s="159"/>
      <c r="G38" s="159"/>
      <c r="H38" s="159"/>
      <c r="I38" s="159"/>
      <c r="J38" s="159"/>
      <c r="K38" s="159"/>
    </row>
    <row r="39" spans="2:11" s="10" customFormat="1" ht="15" customHeight="1" x14ac:dyDescent="0.2">
      <c r="B39" s="159"/>
      <c r="C39" s="159"/>
      <c r="D39" s="159"/>
      <c r="E39" s="159" t="s">
        <v>506</v>
      </c>
      <c r="F39" s="2539"/>
      <c r="G39" s="2539"/>
      <c r="H39" s="2002" t="s">
        <v>498</v>
      </c>
      <c r="I39" s="2539"/>
      <c r="J39" s="2539"/>
      <c r="K39" s="159"/>
    </row>
    <row r="40" spans="2:11" s="10" customFormat="1" ht="15" customHeight="1" x14ac:dyDescent="0.2">
      <c r="B40" s="2616" t="str">
        <f>IF(ISTEXT(F39), "Response for Yes needed", " ")</f>
        <v xml:space="preserve"> </v>
      </c>
      <c r="C40" s="2383"/>
      <c r="D40" s="2383"/>
      <c r="E40" s="159"/>
      <c r="F40" s="159"/>
      <c r="G40" s="1"/>
      <c r="H40" s="159"/>
      <c r="I40" s="2614" t="str">
        <f>IF(AND(ISBLANK(F39),ISBLANK(I39))=TRUE,"Answer Missing"," ")</f>
        <v>Answer Missing</v>
      </c>
      <c r="J40" s="2615"/>
      <c r="K40" s="159"/>
    </row>
    <row r="41" spans="2:11" s="10" customFormat="1" ht="15" customHeight="1" x14ac:dyDescent="0.2">
      <c r="B41" s="159" t="s">
        <v>1444</v>
      </c>
      <c r="C41" s="159"/>
      <c r="D41" s="159"/>
      <c r="E41" s="159"/>
      <c r="F41" s="159"/>
      <c r="G41" s="1"/>
      <c r="H41" s="159"/>
      <c r="I41" s="1"/>
      <c r="J41" s="159"/>
      <c r="K41" s="159"/>
    </row>
    <row r="42" spans="2:11" s="10" customFormat="1" ht="15" customHeight="1" x14ac:dyDescent="0.2">
      <c r="B42" s="159" t="s">
        <v>1445</v>
      </c>
      <c r="C42" s="159"/>
      <c r="D42" s="159"/>
      <c r="E42" s="159"/>
      <c r="F42" s="159"/>
      <c r="G42" s="1"/>
      <c r="H42" s="159"/>
      <c r="I42" s="1"/>
      <c r="J42" s="159"/>
      <c r="K42" s="159"/>
    </row>
    <row r="43" spans="2:11" s="10" customFormat="1" ht="15" customHeight="1" x14ac:dyDescent="0.2">
      <c r="B43" s="2538" t="s">
        <v>1446</v>
      </c>
      <c r="C43" s="2538"/>
      <c r="D43" s="2564"/>
      <c r="E43" s="2564"/>
      <c r="F43" s="2564"/>
      <c r="G43" s="2564"/>
      <c r="H43" s="2002" t="s">
        <v>1447</v>
      </c>
      <c r="I43" s="2617"/>
      <c r="J43" s="2617"/>
      <c r="K43" s="2617"/>
    </row>
    <row r="44" spans="2:11" s="10" customFormat="1" ht="15" customHeight="1" x14ac:dyDescent="0.2">
      <c r="B44" s="83"/>
      <c r="C44" s="83"/>
      <c r="D44" s="83"/>
      <c r="E44" s="83"/>
      <c r="F44" s="83"/>
      <c r="G44" s="83"/>
      <c r="H44" s="83"/>
      <c r="I44" s="83"/>
      <c r="J44" s="83"/>
      <c r="K44" s="83"/>
    </row>
    <row r="45" spans="2:11" s="10" customFormat="1" ht="15" customHeight="1" x14ac:dyDescent="0.2">
      <c r="B45" s="2503" t="s">
        <v>1448</v>
      </c>
      <c r="C45" s="2503"/>
      <c r="D45" s="2503"/>
      <c r="E45" s="2503"/>
      <c r="F45" s="2503"/>
      <c r="G45" s="2503"/>
      <c r="H45" s="2503"/>
      <c r="I45" s="2503"/>
      <c r="J45" s="2503"/>
      <c r="K45" s="159"/>
    </row>
    <row r="46" spans="2:11" s="10" customFormat="1" ht="15" customHeight="1" x14ac:dyDescent="0.2">
      <c r="B46" s="159" t="s">
        <v>1449</v>
      </c>
      <c r="C46" s="159"/>
      <c r="D46" s="159"/>
      <c r="E46" s="159"/>
      <c r="F46" s="159"/>
      <c r="G46" s="1"/>
      <c r="H46" s="159"/>
      <c r="I46" s="1"/>
      <c r="J46" s="159"/>
      <c r="K46" s="159"/>
    </row>
    <row r="47" spans="2:11" s="10" customFormat="1" ht="15" customHeight="1" x14ac:dyDescent="0.2">
      <c r="B47" s="159" t="s">
        <v>1450</v>
      </c>
      <c r="C47" s="159"/>
      <c r="D47" s="159"/>
      <c r="E47" s="159"/>
      <c r="F47" s="159"/>
      <c r="G47" s="1"/>
      <c r="H47" s="159"/>
      <c r="I47" s="1"/>
      <c r="J47" s="159"/>
      <c r="K47" s="159"/>
    </row>
    <row r="48" spans="2:11" s="10" customFormat="1" ht="15" customHeight="1" x14ac:dyDescent="0.2">
      <c r="B48" s="2538"/>
      <c r="C48" s="2538"/>
      <c r="D48" s="2332"/>
      <c r="E48" s="2332"/>
      <c r="F48" s="2332"/>
      <c r="G48" s="1205"/>
      <c r="H48" s="2332"/>
      <c r="I48" s="1205"/>
      <c r="J48" s="2332"/>
      <c r="K48" s="2332"/>
    </row>
    <row r="49" spans="1:11" s="10" customFormat="1" ht="15" customHeight="1" x14ac:dyDescent="0.2">
      <c r="A49" s="159"/>
      <c r="B49" s="1"/>
      <c r="C49" s="1"/>
      <c r="D49" s="1"/>
      <c r="E49" s="1"/>
      <c r="F49" s="1"/>
      <c r="G49" s="1"/>
      <c r="H49" s="1"/>
      <c r="I49" s="1"/>
      <c r="J49" s="1"/>
      <c r="K49" s="1"/>
    </row>
    <row r="50" spans="1:11" s="10" customFormat="1" ht="15" customHeight="1" x14ac:dyDescent="0.2">
      <c r="A50" s="159"/>
      <c r="B50" s="1" t="s">
        <v>1451</v>
      </c>
      <c r="C50" s="1572"/>
      <c r="D50" s="1"/>
      <c r="E50" s="1"/>
      <c r="F50" s="1"/>
      <c r="G50" s="1"/>
      <c r="H50" s="1"/>
      <c r="I50" s="1"/>
      <c r="J50" s="1"/>
      <c r="K50" s="1"/>
    </row>
    <row r="51" spans="1:11" s="10" customFormat="1" ht="15" customHeight="1" x14ac:dyDescent="0.2">
      <c r="A51" s="159"/>
      <c r="B51" s="159" t="s">
        <v>1452</v>
      </c>
      <c r="C51" s="159"/>
      <c r="D51" s="159"/>
      <c r="E51" s="159"/>
      <c r="F51" s="159"/>
      <c r="G51" s="159"/>
      <c r="H51" s="159"/>
      <c r="I51" s="159"/>
      <c r="J51" s="159"/>
      <c r="K51" s="159" t="s">
        <v>1453</v>
      </c>
    </row>
    <row r="52" spans="1:11" s="10" customFormat="1" ht="15" customHeight="1" x14ac:dyDescent="0.2">
      <c r="A52" s="159"/>
      <c r="B52" s="159" t="s">
        <v>1454</v>
      </c>
      <c r="C52" s="159"/>
      <c r="D52" s="159"/>
      <c r="E52" s="159"/>
      <c r="F52" s="159"/>
      <c r="G52" s="159"/>
      <c r="H52" s="159"/>
      <c r="I52" s="159"/>
      <c r="J52" s="159"/>
      <c r="K52" s="2242"/>
    </row>
    <row r="53" spans="1:11" s="10" customFormat="1" ht="15" customHeight="1" x14ac:dyDescent="0.2">
      <c r="A53" s="159"/>
      <c r="B53" s="159" t="s">
        <v>1455</v>
      </c>
      <c r="C53" s="159"/>
      <c r="D53" s="159"/>
      <c r="E53" s="159"/>
      <c r="F53" s="159"/>
      <c r="G53" s="159"/>
      <c r="H53" s="159"/>
      <c r="I53" s="159"/>
      <c r="J53" s="159"/>
      <c r="K53" s="1090"/>
    </row>
    <row r="54" spans="1:11" s="10" customFormat="1" ht="15" customHeight="1" x14ac:dyDescent="0.2">
      <c r="A54" s="159"/>
      <c r="B54" s="159" t="s">
        <v>1456</v>
      </c>
      <c r="C54" s="159"/>
      <c r="D54" s="159"/>
      <c r="E54" s="159"/>
      <c r="F54" s="159"/>
      <c r="G54" s="159"/>
      <c r="H54" s="159"/>
      <c r="I54" s="159"/>
      <c r="J54" s="2440" t="str">
        <f>IF(AND(ISBLANK(K52),ISBLANK(K53))=TRUE,"Answer Missing"," ")</f>
        <v>Answer Missing</v>
      </c>
      <c r="K54" s="2383"/>
    </row>
    <row r="55" spans="1:11" s="10" customFormat="1" ht="15" customHeight="1" x14ac:dyDescent="0.2">
      <c r="A55" s="159"/>
      <c r="B55" s="159"/>
      <c r="C55" s="159"/>
      <c r="D55" s="159"/>
      <c r="E55" s="159"/>
      <c r="F55" s="159"/>
      <c r="G55" s="159"/>
      <c r="H55" s="159"/>
      <c r="I55" s="159"/>
      <c r="J55" s="159"/>
      <c r="K55" s="159"/>
    </row>
    <row r="56" spans="1:11" s="10" customFormat="1" ht="15" customHeight="1" x14ac:dyDescent="0.2">
      <c r="A56" s="159"/>
      <c r="B56" s="159"/>
      <c r="C56" s="159"/>
      <c r="D56" s="159"/>
      <c r="E56" s="159"/>
      <c r="F56" s="159"/>
      <c r="G56" s="159"/>
      <c r="H56" s="159"/>
      <c r="I56" s="159"/>
      <c r="J56" s="159"/>
      <c r="K56" s="159"/>
    </row>
    <row r="57" spans="1:11" s="10" customFormat="1" ht="15" x14ac:dyDescent="0.2">
      <c r="A57" s="445" t="str">
        <f ca="1">MID(CELL("filename",B1),FIND("]",CELL("filename",B1))+1,256)</f>
        <v>345</v>
      </c>
      <c r="B57" s="445" t="s">
        <v>636</v>
      </c>
      <c r="C57" s="159"/>
      <c r="D57" s="445"/>
      <c r="E57" s="159"/>
      <c r="F57" s="159"/>
      <c r="G57" s="159"/>
      <c r="H57" s="159"/>
      <c r="I57" s="159"/>
      <c r="J57" s="159"/>
      <c r="K57" s="159"/>
    </row>
    <row r="58" spans="1:11" s="10" customFormat="1" ht="15" x14ac:dyDescent="0.2">
      <c r="A58" s="445" t="s">
        <v>380</v>
      </c>
      <c r="B58" s="445" t="str">
        <f t="shared" ref="B58:B67" ca="1" si="0">IF(ISNA(INDEX(ErrorTable,MATCH($A$57&amp;$A58&amp;FALSE,ErrorKey,0),6)),"",INDEX(ErrorTable,MATCH($A$57&amp;$A58&amp;FALSE,ErrorKey,0),6))</f>
        <v>All questions have not been answered.</v>
      </c>
      <c r="C58" s="159"/>
      <c r="D58" s="445"/>
      <c r="E58" s="159"/>
      <c r="F58" s="159"/>
      <c r="G58" s="159"/>
      <c r="H58" s="159"/>
      <c r="I58" s="159"/>
      <c r="J58" s="159"/>
      <c r="K58" s="159"/>
    </row>
    <row r="59" spans="1:11" s="10" customFormat="1" ht="15" x14ac:dyDescent="0.2">
      <c r="A59" s="445" t="s">
        <v>381</v>
      </c>
      <c r="B59" s="445" t="str">
        <f t="shared" ca="1" si="0"/>
        <v/>
      </c>
      <c r="C59" s="159"/>
      <c r="D59" s="445"/>
      <c r="E59" s="159"/>
      <c r="F59" s="159"/>
      <c r="G59" s="159"/>
      <c r="H59" s="159"/>
      <c r="I59" s="159"/>
      <c r="J59" s="159"/>
      <c r="K59" s="159"/>
    </row>
    <row r="60" spans="1:11" s="10" customFormat="1" ht="15" x14ac:dyDescent="0.2">
      <c r="A60" s="445" t="s">
        <v>382</v>
      </c>
      <c r="B60" s="445" t="str">
        <f t="shared" ca="1" si="0"/>
        <v/>
      </c>
      <c r="C60" s="159"/>
      <c r="D60" s="445"/>
      <c r="E60" s="159"/>
      <c r="F60" s="159"/>
      <c r="G60" s="159"/>
      <c r="H60" s="159"/>
      <c r="I60" s="159"/>
      <c r="J60" s="159"/>
      <c r="K60" s="159"/>
    </row>
    <row r="61" spans="1:11" s="10" customFormat="1" ht="15" x14ac:dyDescent="0.2">
      <c r="A61" s="445" t="s">
        <v>383</v>
      </c>
      <c r="B61" s="445" t="str">
        <f t="shared" ca="1" si="0"/>
        <v/>
      </c>
      <c r="C61" s="159"/>
      <c r="D61" s="445"/>
      <c r="E61" s="159"/>
      <c r="F61" s="159"/>
      <c r="G61" s="159"/>
      <c r="H61" s="159"/>
      <c r="I61" s="159"/>
      <c r="J61" s="159"/>
      <c r="K61" s="159"/>
    </row>
    <row r="62" spans="1:11" s="10" customFormat="1" ht="15" x14ac:dyDescent="0.2">
      <c r="A62" s="445" t="s">
        <v>384</v>
      </c>
      <c r="B62" s="445" t="str">
        <f t="shared" ca="1" si="0"/>
        <v/>
      </c>
      <c r="C62" s="159"/>
      <c r="D62" s="445"/>
      <c r="E62" s="159"/>
      <c r="F62" s="159"/>
      <c r="G62" s="159"/>
      <c r="H62" s="159"/>
      <c r="I62" s="159"/>
      <c r="J62" s="159"/>
      <c r="K62" s="159"/>
    </row>
    <row r="63" spans="1:11" s="10" customFormat="1" ht="15" x14ac:dyDescent="0.2">
      <c r="A63" s="445" t="s">
        <v>385</v>
      </c>
      <c r="B63" s="445" t="str">
        <f t="shared" ca="1" si="0"/>
        <v/>
      </c>
      <c r="C63" s="159"/>
      <c r="D63" s="445"/>
      <c r="E63" s="159"/>
      <c r="F63" s="159"/>
      <c r="G63" s="159"/>
      <c r="H63" s="159"/>
      <c r="I63" s="159"/>
      <c r="J63" s="159"/>
      <c r="K63" s="159"/>
    </row>
    <row r="64" spans="1:11" s="10" customFormat="1" ht="15" x14ac:dyDescent="0.2">
      <c r="A64" s="445" t="s">
        <v>386</v>
      </c>
      <c r="B64" s="445" t="str">
        <f t="shared" ca="1" si="0"/>
        <v/>
      </c>
      <c r="C64" s="159"/>
      <c r="D64" s="445"/>
      <c r="E64" s="159"/>
      <c r="F64" s="159"/>
      <c r="G64" s="159"/>
      <c r="H64" s="159"/>
      <c r="I64" s="159"/>
      <c r="J64" s="159"/>
      <c r="K64" s="159"/>
    </row>
    <row r="65" spans="1:4" s="10" customFormat="1" ht="16.350000000000001" customHeight="1" x14ac:dyDescent="0.2">
      <c r="A65" s="445" t="s">
        <v>387</v>
      </c>
      <c r="B65" s="445" t="str">
        <f t="shared" ca="1" si="0"/>
        <v/>
      </c>
      <c r="C65" s="159"/>
      <c r="D65" s="445"/>
    </row>
    <row r="66" spans="1:4" s="10" customFormat="1" ht="15" x14ac:dyDescent="0.2">
      <c r="A66" s="445" t="s">
        <v>388</v>
      </c>
      <c r="B66" s="445" t="str">
        <f t="shared" ca="1" si="0"/>
        <v/>
      </c>
      <c r="C66" s="159"/>
      <c r="D66" s="445"/>
    </row>
    <row r="67" spans="1:4" s="10" customFormat="1" ht="15" x14ac:dyDescent="0.2">
      <c r="A67" s="445" t="s">
        <v>389</v>
      </c>
      <c r="B67" s="445" t="str">
        <f t="shared" ca="1" si="0"/>
        <v/>
      </c>
      <c r="C67" s="159"/>
      <c r="D67" s="445"/>
    </row>
    <row r="68" spans="1:4" s="10" customFormat="1" ht="10.35" customHeight="1" x14ac:dyDescent="0.2">
      <c r="A68" s="159"/>
      <c r="B68" s="159"/>
      <c r="C68" s="159"/>
      <c r="D68" s="159"/>
    </row>
    <row r="69" spans="1:4" s="10" customFormat="1" x14ac:dyDescent="0.2">
      <c r="A69" s="159"/>
      <c r="B69" s="159"/>
      <c r="C69" s="159"/>
      <c r="D69" s="159"/>
    </row>
    <row r="70" spans="1:4" s="10" customFormat="1" x14ac:dyDescent="0.2">
      <c r="A70" s="159"/>
      <c r="B70" s="159"/>
      <c r="C70" s="159"/>
      <c r="D70" s="159"/>
    </row>
    <row r="71" spans="1:4" s="10" customFormat="1" ht="6" customHeight="1" x14ac:dyDescent="0.2">
      <c r="A71" s="159"/>
      <c r="B71" s="159"/>
      <c r="C71" s="159"/>
      <c r="D71" s="159"/>
    </row>
    <row r="72" spans="1:4" s="10" customFormat="1" ht="12.75" customHeight="1" x14ac:dyDescent="0.2">
      <c r="A72" s="159"/>
      <c r="B72" s="159"/>
      <c r="C72" s="159"/>
      <c r="D72" s="159"/>
    </row>
    <row r="73" spans="1:4" s="10" customFormat="1" x14ac:dyDescent="0.2">
      <c r="A73" s="159"/>
      <c r="B73" s="159"/>
      <c r="C73" s="159"/>
      <c r="D73" s="159"/>
    </row>
    <row r="76" spans="1:4" ht="10.35" customHeight="1" x14ac:dyDescent="0.2"/>
    <row r="77" spans="1:4" ht="12.75" customHeight="1" x14ac:dyDescent="0.2"/>
    <row r="79" spans="1:4" ht="16.350000000000001" customHeight="1" x14ac:dyDescent="0.2"/>
    <row r="80" spans="1:4" ht="6" customHeight="1" x14ac:dyDescent="0.2"/>
    <row r="82" ht="6" customHeight="1" x14ac:dyDescent="0.2"/>
    <row r="83" ht="10.35" customHeight="1" x14ac:dyDescent="0.2"/>
    <row r="84" ht="10.35" customHeight="1" x14ac:dyDescent="0.2"/>
    <row r="85" ht="10.35" customHeight="1" x14ac:dyDescent="0.2"/>
    <row r="86" ht="10.35" customHeight="1" x14ac:dyDescent="0.2"/>
    <row r="87" ht="10.35" customHeight="1" x14ac:dyDescent="0.2"/>
    <row r="88" ht="10.35" customHeight="1" x14ac:dyDescent="0.2"/>
    <row r="89" ht="10.35" customHeight="1" x14ac:dyDescent="0.2"/>
    <row r="90" ht="10.35" customHeight="1" x14ac:dyDescent="0.2"/>
    <row r="91" ht="10.35" customHeight="1" x14ac:dyDescent="0.2"/>
    <row r="92" ht="6" customHeight="1" x14ac:dyDescent="0.2"/>
    <row r="93" ht="10.35" customHeight="1" x14ac:dyDescent="0.2"/>
    <row r="94" ht="10.35" customHeight="1" x14ac:dyDescent="0.2"/>
    <row r="95" ht="10.35" customHeight="1" x14ac:dyDescent="0.2"/>
    <row r="96" ht="10.35" customHeight="1" x14ac:dyDescent="0.2"/>
    <row r="97" ht="10.35" customHeight="1" x14ac:dyDescent="0.2"/>
    <row r="98" ht="6" customHeight="1" x14ac:dyDescent="0.2"/>
    <row r="99" ht="10.35" customHeight="1" x14ac:dyDescent="0.2"/>
    <row r="100" ht="6" customHeight="1" x14ac:dyDescent="0.2"/>
    <row r="103" ht="10.35" customHeight="1" x14ac:dyDescent="0.2"/>
  </sheetData>
  <sheetProtection algorithmName="SHA-512" hashValue="bOX6NIiSlQr3Fpda0jgYI/tR4zODK+/hM1UQvNdNChcZ6V8zPYq15vVH6uL2olnuAYwM5doX4Q0T4OVDO2u7wQ==" saltValue="xo8fBX/amvitTwaiMlq9Tg==" spinCount="100000" sheet="1" objects="1" scenarios="1" autoFilter="0"/>
  <customSheetViews>
    <customSheetView guid="{9FCFC836-1CA5-48BF-958D-24D2EA94B219}" showGridLines="0" fitToPage="1" hiddenColumns="1" topLeftCell="B1">
      <selection activeCell="B12" sqref="B12"/>
      <pageMargins left="0" right="0" top="0" bottom="0" header="0" footer="0"/>
      <pageSetup scale="91" orientation="portrait" r:id="rId1"/>
      <headerFooter alignWithMargins="0">
        <oddFooter>&amp;R&amp;A</oddFooter>
      </headerFooter>
    </customSheetView>
    <customSheetView guid="{BEA4BE86-04D1-4C96-9358-7A260B9D2B2D}" showGridLines="0" fitToPage="1" showRuler="0">
      <selection activeCell="A12" sqref="A12"/>
      <pageMargins left="0" right="0" top="0" bottom="0" header="0" footer="0"/>
      <pageSetup scale="92" orientation="portrait" r:id="rId2"/>
      <headerFooter alignWithMargins="0">
        <oddFooter>&amp;R&amp;A</oddFooter>
      </headerFooter>
    </customSheetView>
    <customSheetView guid="{1250FD07-FF56-4A9D-AF9E-C27124A7EBE9}" showGridLines="0" fitToPage="1" showRuler="0">
      <selection activeCell="A12" sqref="A12"/>
      <pageMargins left="0" right="0" top="0" bottom="0" header="0" footer="0"/>
      <pageSetup scale="92" orientation="portrait"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ageSetup scale="91" orientation="portrait" r:id="rId4"/>
      <headerFooter alignWithMargins="0">
        <oddFooter>&amp;R&amp;A</oddFooter>
      </headerFooter>
    </customSheetView>
  </customSheetViews>
  <mergeCells count="28">
    <mergeCell ref="D7:E7"/>
    <mergeCell ref="H6:K6"/>
    <mergeCell ref="B21:J21"/>
    <mergeCell ref="H7:K7"/>
    <mergeCell ref="I30:J30"/>
    <mergeCell ref="H8:K8"/>
    <mergeCell ref="F30:G30"/>
    <mergeCell ref="L1:L3"/>
    <mergeCell ref="B1:K1"/>
    <mergeCell ref="B2:K2"/>
    <mergeCell ref="B3:K3"/>
    <mergeCell ref="H5:K5"/>
    <mergeCell ref="D5:E5"/>
    <mergeCell ref="J54:K54"/>
    <mergeCell ref="I40:J40"/>
    <mergeCell ref="I31:J31"/>
    <mergeCell ref="B31:D31"/>
    <mergeCell ref="B40:D40"/>
    <mergeCell ref="B48:C48"/>
    <mergeCell ref="B45:J45"/>
    <mergeCell ref="E35:K35"/>
    <mergeCell ref="B43:C43"/>
    <mergeCell ref="I39:J39"/>
    <mergeCell ref="I43:K43"/>
    <mergeCell ref="B37:J37"/>
    <mergeCell ref="E34:K34"/>
    <mergeCell ref="D43:G43"/>
    <mergeCell ref="F39:G39"/>
  </mergeCells>
  <phoneticPr fontId="16" type="noConversion"/>
  <conditionalFormatting sqref="B31">
    <cfRule type="containsText" dxfId="119" priority="3" stopIfTrue="1" operator="containsText" text="Response for Yes needed">
      <formula>NOT(ISERROR(SEARCH("Response for Yes needed",B31)))</formula>
    </cfRule>
    <cfRule type="containsText" dxfId="118" priority="4" stopIfTrue="1" operator="containsText" text="Response for Yes needed">
      <formula>NOT(ISERROR(SEARCH("Response for Yes needed",B31)))</formula>
    </cfRule>
  </conditionalFormatting>
  <conditionalFormatting sqref="B40">
    <cfRule type="containsText" dxfId="117" priority="1" stopIfTrue="1" operator="containsText" text="Response for Yes needed">
      <formula>NOT(ISERROR(SEARCH("Response for Yes needed",B40)))</formula>
    </cfRule>
    <cfRule type="containsText" dxfId="116" priority="2" stopIfTrue="1" operator="containsText" text="Response for Yes needed">
      <formula>NOT(ISERROR(SEARCH("Response for Yes needed",B40)))</formula>
    </cfRule>
  </conditionalFormatting>
  <conditionalFormatting sqref="I31:J31">
    <cfRule type="containsText" dxfId="115" priority="6" stopIfTrue="1" operator="containsText" text="Answer Missing">
      <formula>NOT(ISERROR(SEARCH("Answer Missing",I31)))</formula>
    </cfRule>
  </conditionalFormatting>
  <conditionalFormatting sqref="I40:J40">
    <cfRule type="containsText" dxfId="114" priority="5" stopIfTrue="1" operator="containsText" text="Answer Missing">
      <formula>NOT(ISERROR(SEARCH("Answer Missing",I40)))</formula>
    </cfRule>
  </conditionalFormatting>
  <conditionalFormatting sqref="J54:K54">
    <cfRule type="containsText" dxfId="113" priority="7" stopIfTrue="1" operator="containsText" text="Answer Missing">
      <formula>NOT(ISERROR(SEARCH("Answer Missing",J54)))</formula>
    </cfRule>
  </conditionalFormatting>
  <conditionalFormatting sqref="L1:L3">
    <cfRule type="cellIs" dxfId="112" priority="8" stopIfTrue="1" operator="equal">
      <formula>"na"</formula>
    </cfRule>
  </conditionalFormatting>
  <hyperlinks>
    <hyperlink ref="B1:K1" location="Index!A1" display="Index!A1" xr:uid="{00000000-0004-0000-1700-000000000000}"/>
  </hyperlinks>
  <pageMargins left="0.6" right="0.6" top="0.5" bottom="0.5" header="0.3" footer="0.3"/>
  <pageSetup scale="85" orientation="portrait"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U140"/>
  <sheetViews>
    <sheetView showGridLines="0" zoomScaleNormal="100" workbookViewId="0">
      <selection activeCell="A2" sqref="A2:G2"/>
    </sheetView>
  </sheetViews>
  <sheetFormatPr defaultColWidth="16.5703125" defaultRowHeight="12.75" x14ac:dyDescent="0.2"/>
  <cols>
    <col min="1" max="1" width="11.42578125" style="27" customWidth="1"/>
    <col min="2" max="2" width="3.42578125" style="27" customWidth="1"/>
    <col min="3" max="3" width="13.5703125" style="27" customWidth="1"/>
    <col min="4" max="4" width="17.5703125" style="27" customWidth="1"/>
    <col min="5" max="5" width="23.140625" style="27" customWidth="1"/>
    <col min="6" max="6" width="1.5703125" style="27" customWidth="1"/>
    <col min="7" max="7" width="27.5703125" style="27" customWidth="1"/>
    <col min="8" max="8" width="4.5703125" style="27" customWidth="1"/>
    <col min="9" max="19" width="9.42578125" style="27" customWidth="1"/>
    <col min="20" max="16384" width="16.5703125" style="27"/>
  </cols>
  <sheetData>
    <row r="1" spans="1:21" s="408" customFormat="1" ht="15" customHeight="1" x14ac:dyDescent="0.25">
      <c r="A1" s="2455" t="str">
        <f>+Index!$A$1</f>
        <v xml:space="preserve">                                                               Office of the State Controller                                                                </v>
      </c>
      <c r="B1" s="2455"/>
      <c r="C1" s="2455"/>
      <c r="D1" s="2455"/>
      <c r="E1" s="2455"/>
      <c r="F1" s="2455"/>
      <c r="G1" s="2455"/>
      <c r="H1" s="2456" t="str">
        <f>IF(Index!$B$47="na","NA","")</f>
        <v/>
      </c>
      <c r="I1" s="407"/>
      <c r="J1" s="407"/>
      <c r="K1" s="407"/>
      <c r="L1" s="407"/>
      <c r="M1" s="1810"/>
      <c r="N1" s="1810"/>
      <c r="O1" s="1810"/>
      <c r="P1" s="1810"/>
      <c r="Q1" s="1810"/>
      <c r="R1" s="1810"/>
      <c r="S1" s="1810"/>
      <c r="T1" s="1810"/>
      <c r="U1" s="1810"/>
    </row>
    <row r="2" spans="1:21" s="408" customFormat="1" ht="15" customHeight="1" x14ac:dyDescent="0.3">
      <c r="A2" s="2622" t="str">
        <f>+Index!$A$2</f>
        <v>2023 ACFR Worksheets</v>
      </c>
      <c r="B2" s="2622"/>
      <c r="C2" s="2622"/>
      <c r="D2" s="2622"/>
      <c r="E2" s="2622"/>
      <c r="F2" s="2622"/>
      <c r="G2" s="2622"/>
      <c r="H2" s="2456"/>
      <c r="I2" s="407"/>
      <c r="J2" s="407"/>
      <c r="K2" s="407"/>
      <c r="L2" s="407"/>
      <c r="M2" s="1810"/>
      <c r="N2" s="1810"/>
      <c r="O2" s="1810"/>
      <c r="P2" s="1810"/>
      <c r="Q2" s="1810"/>
      <c r="R2" s="1810"/>
      <c r="S2" s="1810"/>
      <c r="T2" s="1810"/>
      <c r="U2" s="1810"/>
    </row>
    <row r="3" spans="1:21" s="408" customFormat="1" ht="15" customHeight="1" x14ac:dyDescent="0.3">
      <c r="A3" s="2622" t="s">
        <v>1457</v>
      </c>
      <c r="B3" s="2622"/>
      <c r="C3" s="2622"/>
      <c r="D3" s="2622"/>
      <c r="E3" s="2622"/>
      <c r="F3" s="2622"/>
      <c r="G3" s="2622"/>
      <c r="H3" s="2456"/>
      <c r="I3" s="407"/>
      <c r="J3" s="407"/>
      <c r="K3" s="407"/>
      <c r="L3" s="407"/>
      <c r="M3" s="1810"/>
      <c r="N3" s="1810"/>
      <c r="O3" s="1810"/>
      <c r="P3" s="1810"/>
      <c r="Q3" s="1810"/>
      <c r="R3" s="1810"/>
      <c r="S3" s="1810"/>
      <c r="T3" s="1810"/>
      <c r="U3" s="1810"/>
    </row>
    <row r="4" spans="1:21" s="410" customFormat="1" ht="15" customHeight="1" x14ac:dyDescent="0.3">
      <c r="A4" s="1811"/>
      <c r="B4" s="1811"/>
      <c r="C4" s="1811"/>
      <c r="D4" s="1811"/>
      <c r="F4" s="257"/>
      <c r="G4" s="257"/>
      <c r="H4" s="1811"/>
      <c r="I4" s="409"/>
      <c r="J4" s="409"/>
      <c r="K4" s="409"/>
      <c r="L4" s="409"/>
      <c r="M4" s="27"/>
      <c r="N4" s="27"/>
      <c r="O4" s="27"/>
      <c r="P4" s="27"/>
      <c r="Q4" s="27"/>
      <c r="R4" s="27"/>
      <c r="S4" s="27"/>
      <c r="T4" s="27"/>
      <c r="U4" s="27"/>
    </row>
    <row r="5" spans="1:21" s="86" customFormat="1" ht="15" customHeight="1" x14ac:dyDescent="0.2">
      <c r="A5" s="1694"/>
      <c r="B5" s="1695"/>
      <c r="C5" s="1696"/>
      <c r="D5" s="1695"/>
      <c r="E5" s="1697" t="s">
        <v>317</v>
      </c>
      <c r="F5" s="27"/>
      <c r="G5" s="1698" t="str">
        <f>+Index!$E$10</f>
        <v>01</v>
      </c>
      <c r="H5" s="1695"/>
      <c r="I5" s="87" t="s">
        <v>50</v>
      </c>
      <c r="J5" s="87"/>
      <c r="K5" s="87"/>
      <c r="L5" s="1695"/>
      <c r="M5" s="27"/>
      <c r="N5" s="27"/>
      <c r="O5" s="27"/>
      <c r="P5" s="27"/>
      <c r="Q5" s="27"/>
      <c r="R5" s="27"/>
      <c r="S5" s="27"/>
      <c r="T5" s="27"/>
      <c r="U5" s="27"/>
    </row>
    <row r="6" spans="1:21" s="86" customFormat="1" ht="15" customHeight="1" x14ac:dyDescent="0.2">
      <c r="A6" s="27"/>
      <c r="B6" s="27"/>
      <c r="C6" s="27"/>
      <c r="D6" s="27"/>
      <c r="E6" s="1697" t="s">
        <v>318</v>
      </c>
      <c r="F6" s="27"/>
      <c r="G6" s="1698" t="str">
        <f>+Index!$E$11</f>
        <v>North Carolina General Assembly</v>
      </c>
      <c r="H6" s="1696"/>
      <c r="I6" s="1696"/>
      <c r="J6" s="1696"/>
      <c r="K6" s="27"/>
      <c r="L6" s="27"/>
      <c r="M6" s="27"/>
      <c r="N6" s="27"/>
      <c r="O6" s="27"/>
      <c r="P6" s="27"/>
      <c r="Q6" s="27"/>
      <c r="R6" s="27"/>
      <c r="S6" s="27"/>
      <c r="T6" s="27"/>
      <c r="U6" s="27"/>
    </row>
    <row r="7" spans="1:21" s="86" customFormat="1" ht="15" customHeight="1" x14ac:dyDescent="0.25">
      <c r="A7" s="27" t="s">
        <v>568</v>
      </c>
      <c r="B7" s="27"/>
      <c r="C7" s="1812" t="s">
        <v>477</v>
      </c>
      <c r="D7" s="27"/>
      <c r="E7" s="1697" t="s">
        <v>319</v>
      </c>
      <c r="F7" s="27"/>
      <c r="G7" s="1699" t="str">
        <f>CONCATENATE(Index!$E$12," ",Index!$E$14)</f>
        <v xml:space="preserve"> </v>
      </c>
      <c r="H7" s="1696"/>
      <c r="I7" s="409"/>
      <c r="J7" s="409"/>
      <c r="K7" s="27"/>
      <c r="L7" s="27"/>
      <c r="M7" s="27"/>
      <c r="N7" s="27"/>
      <c r="O7" s="27"/>
      <c r="P7" s="27"/>
      <c r="Q7" s="27"/>
      <c r="R7" s="27"/>
      <c r="S7" s="27"/>
      <c r="T7" s="27"/>
      <c r="U7" s="27"/>
    </row>
    <row r="8" spans="1:21" s="86" customFormat="1" ht="15" customHeight="1" x14ac:dyDescent="0.25">
      <c r="A8" s="27"/>
      <c r="B8" s="27"/>
      <c r="C8" s="1696"/>
      <c r="D8" s="27"/>
      <c r="E8" s="1697" t="s">
        <v>71</v>
      </c>
      <c r="F8" s="27"/>
      <c r="G8" s="2245">
        <f>+Index!$E$13</f>
        <v>0</v>
      </c>
      <c r="H8" s="1696"/>
      <c r="I8" s="409"/>
      <c r="J8" s="409"/>
      <c r="K8" s="27"/>
      <c r="L8" s="27"/>
      <c r="M8" s="27"/>
      <c r="N8" s="27"/>
      <c r="O8" s="27"/>
      <c r="P8" s="27"/>
      <c r="Q8" s="27"/>
      <c r="R8" s="27"/>
      <c r="S8" s="27"/>
      <c r="T8" s="27"/>
      <c r="U8" s="27"/>
    </row>
    <row r="9" spans="1:21" s="86" customFormat="1" ht="6.75" customHeight="1" thickBot="1" x14ac:dyDescent="0.25">
      <c r="A9" s="1702"/>
      <c r="B9" s="1702"/>
      <c r="C9" s="1702"/>
      <c r="D9" s="1702"/>
      <c r="E9" s="1702"/>
      <c r="F9" s="1702"/>
      <c r="G9" s="1702"/>
      <c r="H9" s="27"/>
      <c r="I9" s="27"/>
      <c r="J9" s="27"/>
      <c r="K9" s="27"/>
      <c r="L9" s="27"/>
      <c r="M9" s="27"/>
      <c r="N9" s="27"/>
      <c r="O9" s="27"/>
      <c r="P9" s="27"/>
      <c r="Q9" s="27"/>
      <c r="R9" s="27"/>
      <c r="S9" s="27"/>
      <c r="T9" s="27"/>
      <c r="U9" s="27"/>
    </row>
    <row r="10" spans="1:21" s="86" customFormat="1" ht="12.75" customHeight="1" thickBot="1" x14ac:dyDescent="0.25">
      <c r="A10" s="27"/>
      <c r="B10" s="27"/>
      <c r="C10" s="27"/>
      <c r="D10" s="27"/>
      <c r="E10" s="27"/>
      <c r="F10" s="27"/>
      <c r="G10" s="27"/>
      <c r="H10" s="27"/>
      <c r="I10" s="27"/>
      <c r="J10" s="27"/>
      <c r="K10" s="27"/>
      <c r="L10" s="27"/>
      <c r="M10" s="27"/>
      <c r="N10" s="27"/>
      <c r="O10" s="27"/>
      <c r="P10" s="27"/>
      <c r="Q10" s="27"/>
      <c r="R10" s="27"/>
      <c r="S10" s="27"/>
      <c r="T10" s="27"/>
      <c r="U10" s="27"/>
    </row>
    <row r="11" spans="1:21" s="86" customFormat="1" ht="12.75" customHeight="1" thickTop="1" x14ac:dyDescent="0.2">
      <c r="A11" s="816" t="s">
        <v>1458</v>
      </c>
      <c r="B11" s="1813"/>
      <c r="C11" s="1813"/>
      <c r="D11" s="1813"/>
      <c r="E11" s="1814"/>
      <c r="F11" s="1814"/>
      <c r="G11" s="1815"/>
      <c r="H11" s="27"/>
      <c r="I11" s="27"/>
      <c r="J11" s="27"/>
      <c r="K11" s="27"/>
      <c r="L11" s="27"/>
      <c r="M11" s="27"/>
      <c r="N11" s="27"/>
      <c r="O11" s="27"/>
      <c r="P11" s="27"/>
      <c r="Q11" s="27"/>
      <c r="R11" s="27"/>
      <c r="S11" s="27"/>
      <c r="T11" s="27"/>
      <c r="U11" s="27"/>
    </row>
    <row r="12" spans="1:21" s="86" customFormat="1" ht="12.75" customHeight="1" x14ac:dyDescent="0.2">
      <c r="A12" s="817" t="s">
        <v>1459</v>
      </c>
      <c r="B12" s="1816"/>
      <c r="C12" s="1816"/>
      <c r="D12" s="1816"/>
      <c r="E12" s="1817"/>
      <c r="F12" s="1817"/>
      <c r="G12" s="1818"/>
      <c r="H12" s="27"/>
      <c r="I12" s="27"/>
      <c r="J12" s="27"/>
      <c r="K12" s="27"/>
      <c r="L12" s="27"/>
      <c r="M12" s="27"/>
      <c r="N12" s="27"/>
      <c r="O12" s="27"/>
      <c r="P12" s="27"/>
      <c r="Q12" s="27"/>
      <c r="R12" s="27"/>
      <c r="S12" s="27"/>
      <c r="T12" s="27"/>
      <c r="U12" s="27"/>
    </row>
    <row r="13" spans="1:21" s="86" customFormat="1" ht="12.75" customHeight="1" x14ac:dyDescent="0.2">
      <c r="A13" s="817" t="s">
        <v>1460</v>
      </c>
      <c r="B13" s="1816"/>
      <c r="C13" s="1816"/>
      <c r="D13" s="1816"/>
      <c r="E13" s="1817"/>
      <c r="F13" s="1817"/>
      <c r="G13" s="1818"/>
      <c r="H13" s="27"/>
      <c r="I13" s="27"/>
      <c r="J13" s="27"/>
      <c r="K13" s="27"/>
      <c r="L13" s="27"/>
      <c r="M13" s="27"/>
      <c r="N13" s="27"/>
      <c r="O13" s="27"/>
      <c r="P13" s="27"/>
      <c r="Q13" s="27"/>
      <c r="R13" s="27"/>
      <c r="S13" s="27"/>
      <c r="T13" s="27"/>
      <c r="U13" s="27"/>
    </row>
    <row r="14" spans="1:21" s="86" customFormat="1" ht="12.75" customHeight="1" x14ac:dyDescent="0.2">
      <c r="A14" s="817" t="s">
        <v>1461</v>
      </c>
      <c r="B14" s="1816"/>
      <c r="C14" s="1816"/>
      <c r="D14" s="1816"/>
      <c r="E14" s="1817"/>
      <c r="F14" s="1817"/>
      <c r="G14" s="1818"/>
      <c r="H14" s="27"/>
      <c r="I14" s="27"/>
      <c r="J14" s="27"/>
      <c r="K14" s="27"/>
      <c r="L14" s="27"/>
      <c r="M14" s="27"/>
      <c r="N14" s="27"/>
      <c r="O14" s="27"/>
      <c r="P14" s="27"/>
      <c r="Q14" s="27"/>
      <c r="R14" s="27"/>
      <c r="S14" s="27"/>
      <c r="T14" s="27"/>
      <c r="U14" s="27"/>
    </row>
    <row r="15" spans="1:21" s="86" customFormat="1" ht="12.75" customHeight="1" x14ac:dyDescent="0.2">
      <c r="A15" s="817" t="s">
        <v>1462</v>
      </c>
      <c r="B15" s="1816"/>
      <c r="C15" s="1816"/>
      <c r="D15" s="1816"/>
      <c r="E15" s="1817"/>
      <c r="F15" s="1817"/>
      <c r="G15" s="1818"/>
      <c r="H15" s="27"/>
      <c r="I15" s="27"/>
      <c r="J15" s="27"/>
      <c r="K15" s="27"/>
      <c r="L15" s="27"/>
      <c r="M15" s="27"/>
      <c r="N15" s="27"/>
      <c r="O15" s="27"/>
      <c r="P15" s="27"/>
      <c r="Q15" s="27"/>
      <c r="R15" s="27"/>
      <c r="S15" s="27"/>
      <c r="T15" s="27"/>
      <c r="U15" s="27"/>
    </row>
    <row r="16" spans="1:21" s="86" customFormat="1" ht="12.75" customHeight="1" x14ac:dyDescent="0.2">
      <c r="A16" s="817" t="s">
        <v>1463</v>
      </c>
      <c r="B16" s="1816"/>
      <c r="C16" s="1816"/>
      <c r="D16" s="1816"/>
      <c r="E16" s="1817"/>
      <c r="F16" s="1817"/>
      <c r="G16" s="1818"/>
      <c r="H16" s="27"/>
      <c r="I16" s="27"/>
      <c r="J16" s="27"/>
      <c r="K16" s="27"/>
      <c r="L16" s="27"/>
      <c r="M16" s="27"/>
      <c r="N16" s="27"/>
      <c r="O16" s="27"/>
      <c r="P16" s="27"/>
      <c r="Q16" s="27"/>
      <c r="R16" s="27"/>
      <c r="S16" s="27"/>
      <c r="T16" s="27"/>
      <c r="U16" s="27"/>
    </row>
    <row r="17" spans="1:8" s="86" customFormat="1" ht="12.75" customHeight="1" x14ac:dyDescent="0.2">
      <c r="A17" s="817"/>
      <c r="B17" s="1816"/>
      <c r="C17" s="1816"/>
      <c r="D17" s="1816"/>
      <c r="E17" s="1817"/>
      <c r="F17" s="1817"/>
      <c r="G17" s="1818"/>
      <c r="H17" s="27"/>
    </row>
    <row r="18" spans="1:8" s="86" customFormat="1" ht="12.75" customHeight="1" x14ac:dyDescent="0.2">
      <c r="A18" s="817" t="s">
        <v>1464</v>
      </c>
      <c r="B18" s="1816"/>
      <c r="C18" s="1816"/>
      <c r="D18" s="1816"/>
      <c r="E18" s="1817"/>
      <c r="F18" s="1817"/>
      <c r="G18" s="1818"/>
      <c r="H18" s="27"/>
    </row>
    <row r="19" spans="1:8" s="86" customFormat="1" ht="12.75" customHeight="1" thickBot="1" x14ac:dyDescent="0.25">
      <c r="A19" s="818" t="s">
        <v>1465</v>
      </c>
      <c r="B19" s="1819"/>
      <c r="C19" s="1819"/>
      <c r="D19" s="1819"/>
      <c r="E19" s="1819"/>
      <c r="F19" s="1819"/>
      <c r="G19" s="1820"/>
      <c r="H19" s="27"/>
    </row>
    <row r="20" spans="1:8" s="86" customFormat="1" ht="12.75" customHeight="1" thickTop="1" x14ac:dyDescent="0.2">
      <c r="A20" s="27"/>
      <c r="B20" s="27"/>
      <c r="C20" s="27"/>
      <c r="D20" s="27"/>
      <c r="E20" s="27"/>
      <c r="F20" s="27"/>
      <c r="G20" s="27"/>
      <c r="H20" s="27"/>
    </row>
    <row r="21" spans="1:8" s="86" customFormat="1" ht="15" customHeight="1" x14ac:dyDescent="0.25">
      <c r="A21" s="428" t="s">
        <v>1466</v>
      </c>
      <c r="B21" s="27"/>
      <c r="C21" s="27"/>
      <c r="D21" s="27"/>
      <c r="E21" s="27"/>
      <c r="F21" s="27"/>
      <c r="G21" s="27"/>
      <c r="H21" s="27"/>
    </row>
    <row r="22" spans="1:8" s="86" customFormat="1" ht="15" customHeight="1" x14ac:dyDescent="0.2">
      <c r="A22" s="27" t="s">
        <v>1467</v>
      </c>
      <c r="B22" s="27"/>
      <c r="C22" s="27"/>
      <c r="D22" s="27"/>
      <c r="E22" s="27"/>
      <c r="F22" s="27"/>
      <c r="G22" s="27"/>
      <c r="H22" s="27"/>
    </row>
    <row r="23" spans="1:8" s="86" customFormat="1" ht="15" customHeight="1" x14ac:dyDescent="0.2">
      <c r="A23" s="27" t="s">
        <v>1468</v>
      </c>
      <c r="B23" s="27"/>
      <c r="C23" s="27"/>
      <c r="D23" s="27"/>
      <c r="E23" s="27"/>
      <c r="F23" s="27"/>
      <c r="G23" s="27"/>
      <c r="H23" s="27"/>
    </row>
    <row r="24" spans="1:8" s="86" customFormat="1" ht="15" customHeight="1" x14ac:dyDescent="0.2">
      <c r="A24" s="27" t="s">
        <v>1469</v>
      </c>
      <c r="B24" s="27"/>
      <c r="C24" s="27"/>
      <c r="D24" s="27"/>
      <c r="E24" s="27"/>
      <c r="F24" s="27"/>
      <c r="G24" s="27"/>
      <c r="H24" s="27"/>
    </row>
    <row r="25" spans="1:8" s="86" customFormat="1" ht="15" customHeight="1" x14ac:dyDescent="0.2">
      <c r="A25" s="27"/>
      <c r="B25" s="27"/>
      <c r="C25" s="27"/>
      <c r="D25" s="27"/>
      <c r="E25" s="27"/>
      <c r="F25" s="27"/>
      <c r="G25" s="27"/>
      <c r="H25" s="27"/>
    </row>
    <row r="26" spans="1:8" s="86" customFormat="1" ht="15" customHeight="1" x14ac:dyDescent="0.2">
      <c r="A26" s="27" t="s">
        <v>1470</v>
      </c>
      <c r="B26" s="27"/>
      <c r="C26" s="27"/>
      <c r="D26" s="27"/>
      <c r="E26" s="27"/>
      <c r="F26" s="27"/>
      <c r="G26" s="27"/>
      <c r="H26" s="27"/>
    </row>
    <row r="27" spans="1:8" s="86" customFormat="1" ht="12" customHeight="1" x14ac:dyDescent="0.2">
      <c r="A27" s="27"/>
      <c r="B27" s="27"/>
      <c r="C27" s="27"/>
      <c r="D27" s="27"/>
      <c r="E27" s="27"/>
      <c r="F27" s="27"/>
      <c r="G27" s="27"/>
      <c r="H27" s="27"/>
    </row>
    <row r="28" spans="1:8" s="411" customFormat="1" ht="15" customHeight="1" x14ac:dyDescent="0.2">
      <c r="C28" s="411" t="s">
        <v>1471</v>
      </c>
    </row>
    <row r="29" spans="1:8" s="411" customFormat="1" ht="15" customHeight="1" x14ac:dyDescent="0.2">
      <c r="C29" s="411" t="s">
        <v>1472</v>
      </c>
    </row>
    <row r="30" spans="1:8" s="411" customFormat="1" ht="15" customHeight="1" x14ac:dyDescent="0.2">
      <c r="C30" s="411" t="s">
        <v>1473</v>
      </c>
    </row>
    <row r="31" spans="1:8" s="411" customFormat="1" ht="15" customHeight="1" x14ac:dyDescent="0.2">
      <c r="C31" s="411" t="s">
        <v>1474</v>
      </c>
    </row>
    <row r="32" spans="1:8" s="86" customFormat="1" ht="15" customHeight="1" thickBot="1" x14ac:dyDescent="0.25">
      <c r="A32" s="27"/>
      <c r="B32" s="27"/>
      <c r="C32" s="1821" t="s">
        <v>1475</v>
      </c>
      <c r="D32" s="1821"/>
      <c r="E32" s="1821"/>
      <c r="F32" s="27"/>
      <c r="G32" s="27"/>
      <c r="H32" s="378"/>
    </row>
    <row r="33" spans="1:21" s="86" customFormat="1" ht="12" customHeight="1" thickTop="1" x14ac:dyDescent="0.2">
      <c r="A33" s="27"/>
      <c r="B33" s="27"/>
      <c r="C33" s="27"/>
      <c r="D33" s="27"/>
      <c r="E33" s="378"/>
      <c r="F33" s="378"/>
      <c r="G33" s="378"/>
      <c r="H33" s="378"/>
      <c r="I33" s="27"/>
      <c r="J33" s="27"/>
      <c r="K33" s="27"/>
      <c r="L33" s="27"/>
      <c r="M33" s="27"/>
      <c r="N33" s="27"/>
      <c r="O33" s="27"/>
      <c r="P33" s="27"/>
      <c r="Q33" s="27"/>
      <c r="R33" s="27"/>
      <c r="S33" s="27"/>
      <c r="T33" s="27"/>
      <c r="U33" s="27"/>
    </row>
    <row r="34" spans="1:21" s="86" customFormat="1" ht="15" customHeight="1" x14ac:dyDescent="0.2">
      <c r="A34" s="27"/>
      <c r="B34" s="27"/>
      <c r="C34" s="27"/>
      <c r="D34" s="27"/>
      <c r="E34" s="27"/>
      <c r="F34" s="27"/>
      <c r="G34" s="27"/>
      <c r="H34" s="27"/>
      <c r="I34" s="27"/>
      <c r="J34" s="27"/>
      <c r="K34" s="27"/>
      <c r="L34" s="27"/>
      <c r="M34" s="27"/>
      <c r="N34" s="27"/>
      <c r="O34" s="27"/>
      <c r="P34" s="27"/>
      <c r="Q34" s="27"/>
      <c r="R34" s="27"/>
      <c r="S34" s="27"/>
      <c r="T34" s="27"/>
      <c r="U34" s="27"/>
    </row>
    <row r="35" spans="1:21" s="412" customFormat="1" ht="12" customHeight="1" x14ac:dyDescent="0.2">
      <c r="A35" s="27"/>
      <c r="B35" s="27"/>
      <c r="C35" s="27"/>
      <c r="D35" s="27"/>
      <c r="E35" s="27"/>
      <c r="F35" s="1822"/>
      <c r="G35" s="27"/>
      <c r="H35" s="27"/>
      <c r="I35" s="27"/>
      <c r="J35" s="27"/>
      <c r="K35" s="27"/>
      <c r="L35" s="27"/>
      <c r="M35" s="27"/>
      <c r="N35" s="27"/>
      <c r="O35" s="27"/>
      <c r="P35" s="27"/>
      <c r="Q35" s="27"/>
      <c r="R35" s="27"/>
      <c r="S35" s="27"/>
      <c r="T35" s="27"/>
      <c r="U35" s="27"/>
    </row>
    <row r="36" spans="1:21" s="412" customFormat="1" ht="38.25" x14ac:dyDescent="0.2">
      <c r="A36" s="27"/>
      <c r="B36" s="27"/>
      <c r="C36" s="27"/>
      <c r="D36" s="27"/>
      <c r="E36" s="27"/>
      <c r="F36" s="1822"/>
      <c r="G36" s="413" t="s">
        <v>1476</v>
      </c>
      <c r="H36" s="27"/>
      <c r="I36" s="27"/>
      <c r="J36" s="27"/>
      <c r="K36" s="27"/>
      <c r="L36" s="27"/>
      <c r="M36" s="27"/>
      <c r="N36" s="27"/>
      <c r="O36" s="27"/>
      <c r="P36" s="27"/>
      <c r="Q36" s="27"/>
      <c r="R36" s="27"/>
      <c r="S36" s="27"/>
      <c r="T36" s="27"/>
      <c r="U36" s="27"/>
    </row>
    <row r="37" spans="1:21" s="86" customFormat="1" ht="20.100000000000001" customHeight="1" x14ac:dyDescent="0.2">
      <c r="A37" s="27"/>
      <c r="B37" s="2623" t="s">
        <v>1477</v>
      </c>
      <c r="C37" s="2624"/>
      <c r="D37" s="2624"/>
      <c r="E37" s="2624"/>
      <c r="F37" s="27"/>
      <c r="G37" s="1823"/>
      <c r="H37" s="27"/>
      <c r="I37" s="27"/>
      <c r="J37" s="27"/>
      <c r="K37" s="27"/>
      <c r="L37" s="27"/>
      <c r="M37" s="27"/>
      <c r="N37" s="27"/>
      <c r="O37" s="27"/>
      <c r="P37" s="27"/>
      <c r="Q37" s="27"/>
      <c r="R37" s="27"/>
      <c r="S37" s="27"/>
      <c r="T37" s="27"/>
      <c r="U37" s="27"/>
    </row>
    <row r="38" spans="1:21" s="86" customFormat="1" ht="20.100000000000001" customHeight="1" thickBot="1" x14ac:dyDescent="0.25">
      <c r="A38" s="27"/>
      <c r="B38" s="2623" t="s">
        <v>1478</v>
      </c>
      <c r="C38" s="2624"/>
      <c r="D38" s="2624"/>
      <c r="E38" s="2624"/>
      <c r="F38" s="27"/>
      <c r="G38" s="1824"/>
      <c r="H38" s="27"/>
      <c r="I38" s="27"/>
      <c r="J38" s="27"/>
      <c r="K38" s="27"/>
      <c r="L38" s="27"/>
      <c r="M38" s="27"/>
      <c r="N38" s="27"/>
      <c r="O38" s="27"/>
      <c r="P38" s="27"/>
      <c r="Q38" s="27"/>
      <c r="R38" s="27"/>
      <c r="S38" s="27"/>
      <c r="T38" s="27"/>
      <c r="U38" s="27"/>
    </row>
    <row r="39" spans="1:21" s="86" customFormat="1" ht="25.35" customHeight="1" thickBot="1" x14ac:dyDescent="0.25">
      <c r="A39" s="27"/>
      <c r="B39" s="2620" t="s">
        <v>1479</v>
      </c>
      <c r="C39" s="2621"/>
      <c r="D39" s="2621"/>
      <c r="E39" s="2621"/>
      <c r="F39" s="27"/>
      <c r="G39" s="1825">
        <f>SUM(G37:G38)</f>
        <v>0</v>
      </c>
      <c r="H39" s="27"/>
      <c r="I39" s="27"/>
      <c r="J39" s="27"/>
      <c r="K39" s="27"/>
      <c r="L39" s="27"/>
      <c r="M39" s="27"/>
      <c r="N39" s="27"/>
      <c r="O39" s="27"/>
      <c r="P39" s="27"/>
      <c r="Q39" s="27"/>
      <c r="R39" s="27"/>
      <c r="S39" s="27"/>
      <c r="T39" s="27"/>
      <c r="U39" s="27"/>
    </row>
    <row r="40" spans="1:21" s="86" customFormat="1" ht="15" customHeight="1" thickTop="1" x14ac:dyDescent="0.2">
      <c r="A40" s="27"/>
      <c r="B40" s="27"/>
      <c r="C40" s="27"/>
      <c r="D40" s="27"/>
      <c r="E40" s="27"/>
      <c r="F40" s="27"/>
      <c r="G40" s="27"/>
      <c r="H40" s="27"/>
      <c r="I40" s="27"/>
      <c r="J40" s="27"/>
      <c r="K40" s="27"/>
      <c r="L40" s="27"/>
      <c r="M40" s="27"/>
      <c r="N40" s="27"/>
      <c r="O40" s="27"/>
      <c r="P40" s="27"/>
      <c r="Q40" s="27"/>
      <c r="R40" s="27"/>
      <c r="S40" s="27"/>
      <c r="T40" s="27"/>
      <c r="U40" s="27"/>
    </row>
    <row r="41" spans="1:21" s="86" customFormat="1" ht="15" customHeight="1" x14ac:dyDescent="0.2">
      <c r="A41" s="27"/>
      <c r="B41" s="27"/>
      <c r="C41" s="27"/>
      <c r="D41" s="27"/>
      <c r="E41" s="27"/>
      <c r="F41" s="27"/>
      <c r="G41" s="27"/>
      <c r="H41" s="27"/>
      <c r="I41" s="27"/>
      <c r="J41" s="27"/>
      <c r="K41" s="27"/>
      <c r="L41" s="27"/>
      <c r="M41" s="27"/>
      <c r="N41" s="27"/>
      <c r="O41" s="27"/>
      <c r="P41" s="27"/>
      <c r="Q41" s="27"/>
      <c r="R41" s="27"/>
      <c r="S41" s="27"/>
      <c r="T41" s="27"/>
      <c r="U41" s="27"/>
    </row>
    <row r="42" spans="1:21" s="415" customFormat="1" ht="15" customHeight="1" x14ac:dyDescent="0.2">
      <c r="C42" s="414"/>
      <c r="D42" s="414"/>
      <c r="F42" s="414"/>
      <c r="G42" s="414"/>
      <c r="H42" s="414"/>
      <c r="I42" s="414"/>
      <c r="J42" s="414"/>
      <c r="K42" s="414"/>
      <c r="L42" s="414"/>
      <c r="M42" s="414"/>
      <c r="N42" s="414"/>
      <c r="O42" s="414"/>
      <c r="P42" s="414"/>
      <c r="Q42" s="414"/>
      <c r="R42" s="414"/>
      <c r="S42" s="414"/>
      <c r="T42" s="414"/>
      <c r="U42" s="414"/>
    </row>
    <row r="43" spans="1:21" s="415" customFormat="1" ht="15" customHeight="1" x14ac:dyDescent="0.25">
      <c r="A43" s="428" t="s">
        <v>1480</v>
      </c>
      <c r="C43" s="414"/>
      <c r="D43" s="414"/>
      <c r="F43" s="414"/>
      <c r="G43" s="414"/>
      <c r="H43" s="414"/>
      <c r="I43" s="414"/>
      <c r="J43" s="414"/>
      <c r="K43" s="414"/>
      <c r="L43" s="414"/>
      <c r="M43" s="414"/>
      <c r="N43" s="414"/>
      <c r="O43" s="414"/>
      <c r="P43" s="414"/>
      <c r="Q43" s="414"/>
      <c r="R43" s="414"/>
      <c r="S43" s="414"/>
      <c r="T43" s="414"/>
      <c r="U43" s="414"/>
    </row>
    <row r="44" spans="1:21" s="415" customFormat="1" ht="15" customHeight="1" x14ac:dyDescent="0.2">
      <c r="C44" s="414"/>
      <c r="D44" s="414"/>
      <c r="F44" s="414"/>
      <c r="G44" s="414"/>
      <c r="H44" s="414"/>
      <c r="I44" s="414"/>
      <c r="J44" s="414"/>
      <c r="K44" s="414"/>
      <c r="L44" s="414"/>
      <c r="M44" s="414"/>
      <c r="N44" s="414"/>
      <c r="O44" s="414"/>
      <c r="P44" s="414"/>
      <c r="Q44" s="414"/>
      <c r="R44" s="414"/>
      <c r="S44" s="414"/>
      <c r="T44" s="414"/>
      <c r="U44" s="414"/>
    </row>
    <row r="45" spans="1:21" s="415" customFormat="1" ht="25.5" customHeight="1" x14ac:dyDescent="0.2">
      <c r="B45" s="27"/>
      <c r="C45" s="27"/>
      <c r="D45" s="27"/>
      <c r="E45" s="27"/>
      <c r="F45" s="1822"/>
      <c r="G45" s="413" t="s">
        <v>1481</v>
      </c>
      <c r="H45" s="414"/>
      <c r="I45" s="414"/>
      <c r="J45" s="414"/>
      <c r="K45" s="414"/>
      <c r="L45" s="414"/>
      <c r="M45" s="414"/>
      <c r="N45" s="414"/>
      <c r="O45" s="414"/>
      <c r="P45" s="414"/>
      <c r="Q45" s="414"/>
      <c r="R45" s="414"/>
      <c r="S45" s="414"/>
      <c r="T45" s="414"/>
      <c r="U45" s="414"/>
    </row>
    <row r="46" spans="1:21" s="415" customFormat="1" ht="15" customHeight="1" x14ac:dyDescent="0.2">
      <c r="B46" s="2623" t="s">
        <v>1482</v>
      </c>
      <c r="C46" s="2624"/>
      <c r="D46" s="2624"/>
      <c r="E46" s="2624"/>
      <c r="F46" s="27"/>
      <c r="G46" s="1823"/>
      <c r="H46" s="414"/>
      <c r="I46" s="414"/>
      <c r="J46" s="414"/>
      <c r="K46" s="414"/>
      <c r="L46" s="414"/>
      <c r="M46" s="414"/>
      <c r="N46" s="414"/>
      <c r="O46" s="414"/>
      <c r="P46" s="414"/>
      <c r="Q46" s="414"/>
      <c r="R46" s="414"/>
      <c r="S46" s="414"/>
      <c r="T46" s="414"/>
      <c r="U46" s="414"/>
    </row>
    <row r="47" spans="1:21" s="415" customFormat="1" ht="15" customHeight="1" x14ac:dyDescent="0.2">
      <c r="B47" s="1823"/>
      <c r="C47" s="1823"/>
      <c r="D47" s="1823"/>
      <c r="E47" s="1823"/>
      <c r="F47" s="27"/>
      <c r="G47" s="1823"/>
      <c r="H47" s="414"/>
      <c r="I47" s="414"/>
      <c r="J47" s="414"/>
      <c r="K47" s="414"/>
      <c r="L47" s="414"/>
      <c r="M47" s="414"/>
      <c r="N47" s="414"/>
      <c r="O47" s="414"/>
      <c r="P47" s="414"/>
      <c r="Q47" s="414"/>
      <c r="R47" s="414"/>
      <c r="S47" s="414"/>
      <c r="T47" s="414"/>
      <c r="U47" s="414"/>
    </row>
    <row r="48" spans="1:21" s="415" customFormat="1" ht="15" customHeight="1" thickBot="1" x14ac:dyDescent="0.25">
      <c r="B48" s="1823"/>
      <c r="C48" s="1823"/>
      <c r="D48" s="1823"/>
      <c r="E48" s="1823"/>
      <c r="F48" s="27"/>
      <c r="G48" s="1824"/>
      <c r="H48" s="414"/>
      <c r="I48" s="414"/>
      <c r="J48" s="414"/>
      <c r="K48" s="414"/>
      <c r="L48" s="414"/>
      <c r="M48" s="414"/>
      <c r="N48" s="414"/>
      <c r="O48" s="414"/>
      <c r="P48" s="414"/>
      <c r="Q48" s="414"/>
      <c r="R48" s="414"/>
      <c r="S48" s="414"/>
      <c r="T48" s="414"/>
      <c r="U48" s="414"/>
    </row>
    <row r="49" spans="1:21" s="415" customFormat="1" ht="25.5" customHeight="1" thickBot="1" x14ac:dyDescent="0.25">
      <c r="B49" s="2620" t="s">
        <v>1483</v>
      </c>
      <c r="C49" s="2621"/>
      <c r="D49" s="2621"/>
      <c r="E49" s="2621"/>
      <c r="F49" s="27"/>
      <c r="G49" s="1825">
        <f>SUM(G46:G48)</f>
        <v>0</v>
      </c>
      <c r="H49" s="414"/>
      <c r="I49" s="414"/>
      <c r="J49" s="414"/>
      <c r="K49" s="414"/>
      <c r="L49" s="414"/>
      <c r="M49" s="414"/>
      <c r="N49" s="414"/>
      <c r="O49" s="414"/>
      <c r="P49" s="414"/>
      <c r="Q49" s="414"/>
      <c r="R49" s="414"/>
      <c r="S49" s="414"/>
      <c r="T49" s="414"/>
      <c r="U49" s="414"/>
    </row>
    <row r="50" spans="1:21" s="415" customFormat="1" ht="15" customHeight="1" thickTop="1" x14ac:dyDescent="0.2">
      <c r="B50" s="389"/>
      <c r="C50" s="389"/>
      <c r="D50" s="27"/>
      <c r="E50" s="27"/>
      <c r="F50" s="27"/>
      <c r="G50" s="1824"/>
      <c r="H50" s="414"/>
      <c r="I50" s="414"/>
      <c r="J50" s="414"/>
      <c r="K50" s="414"/>
      <c r="L50" s="414"/>
      <c r="M50" s="414"/>
      <c r="N50" s="414"/>
      <c r="O50" s="414"/>
      <c r="P50" s="414"/>
      <c r="Q50" s="414"/>
      <c r="R50" s="414"/>
      <c r="S50" s="414"/>
      <c r="T50" s="414"/>
      <c r="U50" s="414"/>
    </row>
    <row r="51" spans="1:21" s="415" customFormat="1" ht="15" customHeight="1" x14ac:dyDescent="0.2">
      <c r="A51" s="27" t="s">
        <v>1484</v>
      </c>
      <c r="C51" s="414"/>
      <c r="D51" s="414"/>
      <c r="F51" s="414"/>
      <c r="G51" s="414"/>
      <c r="H51" s="414"/>
      <c r="I51" s="414"/>
      <c r="J51" s="414"/>
      <c r="K51" s="414"/>
      <c r="L51" s="414"/>
      <c r="M51" s="414"/>
      <c r="N51" s="414"/>
      <c r="O51" s="414"/>
      <c r="P51" s="414"/>
      <c r="Q51" s="414"/>
      <c r="R51" s="414"/>
      <c r="S51" s="414"/>
      <c r="T51" s="414"/>
      <c r="U51" s="414"/>
    </row>
    <row r="52" spans="1:21" s="415" customFormat="1" ht="15" customHeight="1" x14ac:dyDescent="0.2">
      <c r="A52" s="27" t="s">
        <v>1485</v>
      </c>
      <c r="C52" s="414"/>
      <c r="D52" s="414"/>
      <c r="F52" s="414"/>
      <c r="G52" s="414"/>
      <c r="H52" s="414"/>
      <c r="I52" s="414"/>
      <c r="J52" s="414"/>
      <c r="K52" s="414"/>
      <c r="L52" s="414"/>
      <c r="M52" s="414"/>
      <c r="N52" s="414"/>
      <c r="O52" s="414"/>
      <c r="P52" s="414"/>
      <c r="Q52" s="414"/>
      <c r="R52" s="414"/>
      <c r="S52" s="414"/>
      <c r="T52" s="414"/>
      <c r="U52" s="414"/>
    </row>
    <row r="53" spans="1:21" s="415" customFormat="1" ht="15" customHeight="1" x14ac:dyDescent="0.2">
      <c r="A53" s="27"/>
      <c r="C53" s="414"/>
      <c r="D53" s="414"/>
      <c r="F53" s="414"/>
      <c r="G53" s="414"/>
      <c r="H53" s="414"/>
      <c r="I53" s="414"/>
      <c r="J53" s="414"/>
      <c r="K53" s="414"/>
      <c r="L53" s="414"/>
      <c r="M53" s="414"/>
      <c r="N53" s="414"/>
      <c r="O53" s="414"/>
      <c r="P53" s="414"/>
      <c r="Q53" s="414"/>
      <c r="R53" s="414"/>
      <c r="S53" s="414"/>
      <c r="T53" s="414"/>
      <c r="U53" s="414"/>
    </row>
    <row r="54" spans="1:21" s="415" customFormat="1" ht="15" customHeight="1" x14ac:dyDescent="0.2">
      <c r="A54" s="27"/>
      <c r="E54" s="414"/>
      <c r="F54" s="414"/>
      <c r="H54" s="414"/>
      <c r="I54" s="414"/>
      <c r="J54" s="414"/>
      <c r="K54" s="414"/>
      <c r="L54" s="414"/>
      <c r="M54" s="414"/>
      <c r="N54" s="414"/>
      <c r="O54" s="414"/>
      <c r="P54" s="414"/>
      <c r="Q54" s="414"/>
      <c r="R54" s="414"/>
      <c r="S54" s="414"/>
      <c r="T54" s="414"/>
      <c r="U54" s="414"/>
    </row>
    <row r="55" spans="1:21" s="415" customFormat="1" ht="15" customHeight="1" x14ac:dyDescent="0.2">
      <c r="E55" s="414"/>
      <c r="F55" s="414"/>
      <c r="G55" s="414"/>
      <c r="H55" s="414"/>
      <c r="I55" s="414"/>
      <c r="J55" s="414"/>
      <c r="K55" s="414"/>
      <c r="L55" s="414"/>
      <c r="M55" s="414"/>
      <c r="N55" s="414"/>
      <c r="O55" s="414"/>
      <c r="P55" s="414"/>
      <c r="Q55" s="414"/>
      <c r="R55" s="414"/>
      <c r="S55" s="414"/>
      <c r="T55" s="414"/>
      <c r="U55" s="414"/>
    </row>
    <row r="56" spans="1:21" ht="15" customHeight="1" x14ac:dyDescent="0.2">
      <c r="E56" s="414"/>
      <c r="F56" s="414"/>
      <c r="G56" s="414"/>
      <c r="H56" s="414"/>
      <c r="I56" s="414"/>
      <c r="J56" s="414"/>
      <c r="K56" s="414"/>
      <c r="L56" s="414"/>
      <c r="M56" s="414"/>
      <c r="N56" s="414"/>
      <c r="O56" s="414"/>
      <c r="P56" s="414"/>
      <c r="Q56" s="414"/>
      <c r="R56" s="414"/>
      <c r="S56" s="414"/>
      <c r="T56" s="414"/>
      <c r="U56" s="414"/>
    </row>
    <row r="57" spans="1:21" ht="15" customHeight="1" x14ac:dyDescent="0.2">
      <c r="E57" s="414"/>
      <c r="F57" s="414"/>
      <c r="G57" s="414"/>
      <c r="H57" s="414"/>
      <c r="I57" s="414"/>
      <c r="J57" s="414"/>
      <c r="K57" s="414"/>
      <c r="L57" s="414"/>
      <c r="M57" s="414"/>
      <c r="N57" s="414"/>
      <c r="O57" s="414"/>
      <c r="P57" s="414"/>
      <c r="Q57" s="414"/>
      <c r="R57" s="414"/>
      <c r="S57" s="414"/>
      <c r="T57" s="414"/>
      <c r="U57" s="414"/>
    </row>
    <row r="58" spans="1:21" ht="15" customHeight="1" x14ac:dyDescent="0.2">
      <c r="M58" s="414"/>
      <c r="N58" s="414"/>
      <c r="O58" s="414"/>
      <c r="P58" s="414"/>
      <c r="Q58" s="414"/>
      <c r="R58" s="414"/>
      <c r="S58" s="414"/>
      <c r="T58" s="414"/>
      <c r="U58" s="414"/>
    </row>
    <row r="59" spans="1:21" ht="15" customHeight="1" x14ac:dyDescent="0.2">
      <c r="M59" s="414"/>
      <c r="N59" s="414"/>
      <c r="O59" s="414"/>
      <c r="P59" s="414"/>
      <c r="Q59" s="414"/>
      <c r="R59" s="414"/>
      <c r="S59" s="414"/>
      <c r="T59" s="414"/>
      <c r="U59" s="414"/>
    </row>
    <row r="60" spans="1:21" ht="15" customHeight="1" x14ac:dyDescent="0.2">
      <c r="M60" s="414"/>
      <c r="N60" s="414"/>
      <c r="O60" s="414"/>
      <c r="P60" s="414"/>
      <c r="Q60" s="414"/>
      <c r="R60" s="414"/>
      <c r="S60" s="414"/>
      <c r="T60" s="414"/>
      <c r="U60" s="414"/>
    </row>
    <row r="61" spans="1:21" ht="15" customHeight="1" x14ac:dyDescent="0.2">
      <c r="M61" s="414"/>
      <c r="N61" s="414"/>
      <c r="O61" s="414"/>
      <c r="P61" s="414"/>
      <c r="Q61" s="414"/>
      <c r="R61" s="414"/>
      <c r="S61" s="414"/>
      <c r="T61" s="414"/>
      <c r="U61" s="414"/>
    </row>
    <row r="62" spans="1:21" ht="15" customHeight="1" x14ac:dyDescent="0.2">
      <c r="M62" s="414"/>
      <c r="N62" s="414"/>
      <c r="O62" s="414"/>
      <c r="P62" s="414"/>
      <c r="Q62" s="414"/>
      <c r="R62" s="414"/>
      <c r="S62" s="414"/>
      <c r="T62" s="414"/>
      <c r="U62" s="414"/>
    </row>
    <row r="63" spans="1:21" ht="15" customHeight="1" x14ac:dyDescent="0.2">
      <c r="M63" s="414"/>
      <c r="N63" s="414"/>
      <c r="O63" s="414"/>
      <c r="P63" s="414"/>
      <c r="Q63" s="414"/>
      <c r="R63" s="414"/>
      <c r="S63" s="414"/>
      <c r="T63" s="414"/>
      <c r="U63" s="414"/>
    </row>
    <row r="64" spans="1:21" ht="15" customHeight="1" x14ac:dyDescent="0.2">
      <c r="M64" s="414"/>
      <c r="N64" s="414"/>
      <c r="O64" s="414"/>
      <c r="P64" s="414"/>
      <c r="Q64" s="414"/>
      <c r="R64" s="414"/>
      <c r="S64" s="414"/>
      <c r="T64" s="414"/>
      <c r="U64" s="414"/>
    </row>
    <row r="65" spans="13:21" ht="15" customHeight="1" x14ac:dyDescent="0.2">
      <c r="M65" s="414"/>
      <c r="N65" s="414"/>
      <c r="O65" s="414"/>
      <c r="P65" s="414"/>
      <c r="Q65" s="414"/>
      <c r="R65" s="414"/>
      <c r="S65" s="414"/>
      <c r="T65" s="414"/>
      <c r="U65" s="414"/>
    </row>
    <row r="66" spans="13:21" ht="15" customHeight="1" x14ac:dyDescent="0.2">
      <c r="M66" s="414"/>
      <c r="N66" s="414"/>
      <c r="O66" s="414"/>
      <c r="P66" s="414"/>
      <c r="Q66" s="414"/>
      <c r="R66" s="414"/>
      <c r="S66" s="414"/>
      <c r="T66" s="414"/>
      <c r="U66" s="414"/>
    </row>
    <row r="67" spans="13:21" ht="15" customHeight="1" x14ac:dyDescent="0.2">
      <c r="M67" s="414"/>
      <c r="N67" s="414"/>
      <c r="O67" s="414"/>
      <c r="P67" s="414"/>
      <c r="Q67" s="414"/>
      <c r="R67" s="414"/>
      <c r="S67" s="414"/>
      <c r="T67" s="414"/>
      <c r="U67" s="414"/>
    </row>
    <row r="68" spans="13:21" ht="15" customHeight="1" x14ac:dyDescent="0.2">
      <c r="M68" s="414"/>
      <c r="N68" s="414"/>
      <c r="O68" s="414"/>
      <c r="P68" s="414"/>
      <c r="Q68" s="414"/>
      <c r="R68" s="414"/>
      <c r="S68" s="414"/>
      <c r="T68" s="414"/>
      <c r="U68" s="414"/>
    </row>
    <row r="69" spans="13:21" ht="15" customHeight="1" x14ac:dyDescent="0.2">
      <c r="M69" s="414"/>
      <c r="N69" s="414"/>
      <c r="O69" s="414"/>
      <c r="P69" s="414"/>
      <c r="Q69" s="414"/>
      <c r="R69" s="414"/>
      <c r="S69" s="414"/>
      <c r="T69" s="414"/>
      <c r="U69" s="414"/>
    </row>
    <row r="70" spans="13:21" ht="15" customHeight="1" x14ac:dyDescent="0.2">
      <c r="M70" s="414"/>
      <c r="N70" s="414"/>
      <c r="O70" s="414"/>
      <c r="P70" s="414"/>
      <c r="Q70" s="414"/>
      <c r="R70" s="414"/>
      <c r="S70" s="414"/>
      <c r="T70" s="414"/>
      <c r="U70" s="414"/>
    </row>
    <row r="71" spans="13:21" ht="15" customHeight="1" x14ac:dyDescent="0.2">
      <c r="M71" s="414"/>
      <c r="N71" s="414"/>
      <c r="O71" s="414"/>
      <c r="P71" s="414"/>
      <c r="Q71" s="414"/>
      <c r="R71" s="414"/>
      <c r="S71" s="414"/>
      <c r="T71" s="414"/>
      <c r="U71" s="414"/>
    </row>
    <row r="72" spans="13:21" ht="15" customHeight="1" x14ac:dyDescent="0.2">
      <c r="M72" s="414"/>
      <c r="N72" s="414"/>
      <c r="O72" s="414"/>
      <c r="P72" s="414"/>
      <c r="Q72" s="414"/>
      <c r="R72" s="414"/>
      <c r="S72" s="414"/>
      <c r="T72" s="414"/>
      <c r="U72" s="414"/>
    </row>
    <row r="73" spans="13:21" ht="15" customHeight="1" x14ac:dyDescent="0.2">
      <c r="M73" s="414"/>
      <c r="N73" s="414"/>
      <c r="O73" s="414"/>
      <c r="P73" s="414"/>
      <c r="Q73" s="414"/>
      <c r="R73" s="414"/>
      <c r="S73" s="414"/>
      <c r="T73" s="414"/>
      <c r="U73" s="414"/>
    </row>
    <row r="74" spans="13:21" ht="15" customHeight="1" x14ac:dyDescent="0.2">
      <c r="M74" s="414"/>
      <c r="N74" s="414"/>
      <c r="O74" s="414"/>
      <c r="P74" s="414"/>
      <c r="Q74" s="414"/>
      <c r="R74" s="414"/>
      <c r="S74" s="414"/>
      <c r="T74" s="414"/>
      <c r="U74" s="414"/>
    </row>
    <row r="75" spans="13:21" ht="15" customHeight="1" x14ac:dyDescent="0.2">
      <c r="M75" s="414"/>
      <c r="N75" s="414"/>
      <c r="O75" s="414"/>
      <c r="P75" s="414"/>
      <c r="Q75" s="414"/>
      <c r="R75" s="414"/>
      <c r="S75" s="414"/>
      <c r="T75" s="414"/>
      <c r="U75" s="414"/>
    </row>
    <row r="76" spans="13:21" ht="15" customHeight="1" x14ac:dyDescent="0.2">
      <c r="M76" s="414"/>
      <c r="N76" s="414"/>
      <c r="O76" s="414"/>
      <c r="P76" s="414"/>
      <c r="Q76" s="414"/>
      <c r="R76" s="414"/>
      <c r="S76" s="414"/>
      <c r="T76" s="414"/>
      <c r="U76" s="414"/>
    </row>
    <row r="77" spans="13:21" ht="15" customHeight="1" x14ac:dyDescent="0.2">
      <c r="M77" s="414"/>
      <c r="N77" s="414"/>
      <c r="O77" s="414"/>
      <c r="P77" s="414"/>
      <c r="Q77" s="414"/>
      <c r="R77" s="414"/>
      <c r="S77" s="414"/>
      <c r="T77" s="414"/>
      <c r="U77" s="414"/>
    </row>
    <row r="78" spans="13:21" ht="15" customHeight="1" x14ac:dyDescent="0.2">
      <c r="M78" s="414"/>
      <c r="N78" s="414"/>
      <c r="O78" s="414"/>
      <c r="P78" s="414"/>
      <c r="Q78" s="414"/>
      <c r="R78" s="414"/>
      <c r="S78" s="414"/>
      <c r="T78" s="414"/>
      <c r="U78" s="414"/>
    </row>
    <row r="79" spans="13:21" ht="15" customHeight="1" x14ac:dyDescent="0.2">
      <c r="M79" s="414"/>
      <c r="N79" s="414"/>
      <c r="O79" s="414"/>
      <c r="P79" s="414"/>
      <c r="Q79" s="414"/>
      <c r="R79" s="414"/>
      <c r="S79" s="414"/>
      <c r="T79" s="414"/>
      <c r="U79" s="414"/>
    </row>
    <row r="80" spans="13:21" x14ac:dyDescent="0.2">
      <c r="M80" s="414"/>
      <c r="N80" s="414"/>
      <c r="O80" s="414"/>
      <c r="P80" s="414"/>
      <c r="Q80" s="414"/>
      <c r="R80" s="414"/>
      <c r="S80" s="414"/>
      <c r="T80" s="414"/>
      <c r="U80" s="414"/>
    </row>
    <row r="81" spans="13:21" x14ac:dyDescent="0.2">
      <c r="M81" s="414"/>
      <c r="N81" s="414"/>
      <c r="O81" s="414"/>
      <c r="P81" s="414"/>
      <c r="Q81" s="414"/>
      <c r="R81" s="414"/>
      <c r="S81" s="414"/>
      <c r="T81" s="414"/>
      <c r="U81" s="414"/>
    </row>
    <row r="82" spans="13:21" x14ac:dyDescent="0.2">
      <c r="M82" s="414"/>
      <c r="N82" s="414"/>
      <c r="O82" s="414"/>
      <c r="P82" s="414"/>
      <c r="Q82" s="414"/>
      <c r="R82" s="414"/>
      <c r="S82" s="414"/>
      <c r="T82" s="414"/>
      <c r="U82" s="414"/>
    </row>
    <row r="83" spans="13:21" x14ac:dyDescent="0.2">
      <c r="M83" s="414"/>
      <c r="N83" s="414"/>
      <c r="O83" s="414"/>
      <c r="P83" s="414"/>
      <c r="Q83" s="414"/>
      <c r="R83" s="414"/>
      <c r="S83" s="414"/>
      <c r="T83" s="414"/>
      <c r="U83" s="414"/>
    </row>
    <row r="84" spans="13:21" x14ac:dyDescent="0.2">
      <c r="M84" s="414"/>
      <c r="N84" s="414"/>
      <c r="O84" s="414"/>
      <c r="P84" s="414"/>
      <c r="Q84" s="414"/>
      <c r="R84" s="414"/>
      <c r="S84" s="414"/>
      <c r="T84" s="414"/>
      <c r="U84" s="414"/>
    </row>
    <row r="85" spans="13:21" x14ac:dyDescent="0.2">
      <c r="M85" s="414"/>
      <c r="N85" s="414"/>
      <c r="O85" s="414"/>
      <c r="P85" s="414"/>
      <c r="Q85" s="414"/>
      <c r="R85" s="414"/>
      <c r="S85" s="414"/>
      <c r="T85" s="414"/>
      <c r="U85" s="414"/>
    </row>
    <row r="86" spans="13:21" x14ac:dyDescent="0.2">
      <c r="M86" s="414"/>
      <c r="N86" s="414"/>
      <c r="O86" s="414"/>
      <c r="P86" s="414"/>
      <c r="Q86" s="414"/>
      <c r="R86" s="414"/>
      <c r="S86" s="414"/>
      <c r="T86" s="414"/>
      <c r="U86" s="414"/>
    </row>
    <row r="87" spans="13:21" x14ac:dyDescent="0.2">
      <c r="M87" s="414"/>
      <c r="N87" s="414"/>
      <c r="O87" s="414"/>
      <c r="P87" s="414"/>
      <c r="Q87" s="414"/>
      <c r="R87" s="414"/>
      <c r="S87" s="414"/>
      <c r="T87" s="414"/>
      <c r="U87" s="414"/>
    </row>
    <row r="88" spans="13:21" x14ac:dyDescent="0.2">
      <c r="M88" s="414"/>
      <c r="N88" s="414"/>
      <c r="O88" s="414"/>
      <c r="P88" s="414"/>
      <c r="Q88" s="414"/>
      <c r="R88" s="414"/>
      <c r="S88" s="414"/>
      <c r="T88" s="414"/>
      <c r="U88" s="414"/>
    </row>
    <row r="89" spans="13:21" x14ac:dyDescent="0.2">
      <c r="M89" s="414"/>
      <c r="N89" s="414"/>
      <c r="O89" s="414"/>
      <c r="P89" s="414"/>
      <c r="Q89" s="414"/>
      <c r="R89" s="414"/>
      <c r="S89" s="414"/>
      <c r="T89" s="414"/>
      <c r="U89" s="414"/>
    </row>
    <row r="90" spans="13:21" x14ac:dyDescent="0.2">
      <c r="M90" s="414"/>
      <c r="N90" s="414"/>
      <c r="O90" s="414"/>
      <c r="P90" s="414"/>
      <c r="Q90" s="414"/>
      <c r="R90" s="414"/>
      <c r="S90" s="414"/>
      <c r="T90" s="414"/>
      <c r="U90" s="414"/>
    </row>
    <row r="91" spans="13:21" x14ac:dyDescent="0.2">
      <c r="M91" s="414"/>
      <c r="N91" s="414"/>
      <c r="O91" s="414"/>
      <c r="P91" s="414"/>
      <c r="Q91" s="414"/>
      <c r="R91" s="414"/>
      <c r="S91" s="414"/>
      <c r="T91" s="414"/>
      <c r="U91" s="414"/>
    </row>
    <row r="92" spans="13:21" x14ac:dyDescent="0.2">
      <c r="M92" s="414"/>
      <c r="N92" s="414"/>
      <c r="O92" s="414"/>
      <c r="P92" s="414"/>
      <c r="Q92" s="414"/>
      <c r="R92" s="414"/>
      <c r="S92" s="414"/>
      <c r="T92" s="414"/>
      <c r="U92" s="414"/>
    </row>
    <row r="93" spans="13:21" x14ac:dyDescent="0.2">
      <c r="M93" s="414"/>
      <c r="N93" s="414"/>
      <c r="O93" s="414"/>
      <c r="P93" s="414"/>
      <c r="Q93" s="414"/>
      <c r="R93" s="414"/>
      <c r="S93" s="414"/>
      <c r="T93" s="414"/>
      <c r="U93" s="414"/>
    </row>
    <row r="94" spans="13:21" x14ac:dyDescent="0.2">
      <c r="M94" s="414"/>
      <c r="N94" s="414"/>
      <c r="O94" s="414"/>
      <c r="P94" s="414"/>
      <c r="Q94" s="414"/>
      <c r="R94" s="414"/>
      <c r="S94" s="414"/>
      <c r="T94" s="414"/>
      <c r="U94" s="414"/>
    </row>
    <row r="95" spans="13:21" x14ac:dyDescent="0.2">
      <c r="M95" s="414"/>
      <c r="N95" s="414"/>
      <c r="O95" s="414"/>
      <c r="P95" s="414"/>
      <c r="Q95" s="414"/>
      <c r="R95" s="414"/>
      <c r="S95" s="414"/>
      <c r="T95" s="414"/>
      <c r="U95" s="414"/>
    </row>
    <row r="96" spans="13:21" x14ac:dyDescent="0.2">
      <c r="M96" s="414"/>
      <c r="N96" s="414"/>
      <c r="O96" s="414"/>
      <c r="P96" s="414"/>
      <c r="Q96" s="414"/>
      <c r="R96" s="414"/>
      <c r="S96" s="414"/>
      <c r="T96" s="414"/>
      <c r="U96" s="414"/>
    </row>
    <row r="97" spans="13:21" x14ac:dyDescent="0.2">
      <c r="M97" s="414"/>
      <c r="N97" s="414"/>
      <c r="O97" s="414"/>
      <c r="P97" s="414"/>
      <c r="Q97" s="414"/>
      <c r="R97" s="414"/>
      <c r="S97" s="414"/>
      <c r="T97" s="414"/>
      <c r="U97" s="414"/>
    </row>
    <row r="98" spans="13:21" x14ac:dyDescent="0.2">
      <c r="M98" s="414"/>
      <c r="N98" s="414"/>
      <c r="O98" s="414"/>
      <c r="P98" s="414"/>
      <c r="Q98" s="414"/>
      <c r="R98" s="414"/>
      <c r="S98" s="414"/>
      <c r="T98" s="414"/>
      <c r="U98" s="414"/>
    </row>
    <row r="99" spans="13:21" x14ac:dyDescent="0.2">
      <c r="M99" s="414"/>
      <c r="N99" s="414"/>
      <c r="O99" s="414"/>
      <c r="P99" s="414"/>
      <c r="Q99" s="414"/>
      <c r="R99" s="414"/>
      <c r="S99" s="414"/>
      <c r="T99" s="414"/>
      <c r="U99" s="414"/>
    </row>
    <row r="100" spans="13:21" x14ac:dyDescent="0.2">
      <c r="M100" s="414"/>
      <c r="N100" s="414"/>
      <c r="O100" s="414"/>
      <c r="P100" s="414"/>
      <c r="Q100" s="414"/>
      <c r="R100" s="414"/>
      <c r="S100" s="414"/>
      <c r="T100" s="414"/>
      <c r="U100" s="414"/>
    </row>
    <row r="101" spans="13:21" x14ac:dyDescent="0.2">
      <c r="M101" s="414"/>
      <c r="N101" s="414"/>
      <c r="O101" s="414"/>
      <c r="P101" s="414"/>
      <c r="Q101" s="414"/>
      <c r="R101" s="414"/>
      <c r="S101" s="414"/>
      <c r="T101" s="414"/>
      <c r="U101" s="414"/>
    </row>
    <row r="102" spans="13:21" x14ac:dyDescent="0.2">
      <c r="M102" s="414"/>
      <c r="N102" s="414"/>
      <c r="O102" s="414"/>
      <c r="P102" s="414"/>
      <c r="Q102" s="414"/>
      <c r="R102" s="414"/>
      <c r="S102" s="414"/>
      <c r="T102" s="414"/>
      <c r="U102" s="414"/>
    </row>
    <row r="103" spans="13:21" x14ac:dyDescent="0.2">
      <c r="M103" s="414"/>
      <c r="N103" s="414"/>
      <c r="O103" s="414"/>
      <c r="P103" s="414"/>
      <c r="Q103" s="414"/>
      <c r="R103" s="414"/>
      <c r="S103" s="414"/>
      <c r="T103" s="414"/>
      <c r="U103" s="414"/>
    </row>
    <row r="104" spans="13:21" x14ac:dyDescent="0.2">
      <c r="M104" s="414"/>
      <c r="N104" s="414"/>
      <c r="O104" s="414"/>
      <c r="P104" s="414"/>
      <c r="Q104" s="414"/>
      <c r="R104" s="414"/>
      <c r="S104" s="414"/>
      <c r="T104" s="414"/>
      <c r="U104" s="414"/>
    </row>
    <row r="105" spans="13:21" x14ac:dyDescent="0.2">
      <c r="M105" s="414"/>
      <c r="N105" s="414"/>
      <c r="O105" s="414"/>
      <c r="P105" s="414"/>
      <c r="Q105" s="414"/>
      <c r="R105" s="414"/>
      <c r="S105" s="414"/>
      <c r="T105" s="414"/>
      <c r="U105" s="414"/>
    </row>
    <row r="106" spans="13:21" x14ac:dyDescent="0.2">
      <c r="M106" s="414"/>
      <c r="N106" s="414"/>
      <c r="O106" s="414"/>
      <c r="P106" s="414"/>
      <c r="Q106" s="414"/>
      <c r="R106" s="414"/>
      <c r="S106" s="414"/>
      <c r="T106" s="414"/>
      <c r="U106" s="414"/>
    </row>
    <row r="107" spans="13:21" x14ac:dyDescent="0.2">
      <c r="M107" s="414"/>
      <c r="N107" s="414"/>
      <c r="O107" s="414"/>
      <c r="P107" s="414"/>
      <c r="Q107" s="414"/>
      <c r="R107" s="414"/>
      <c r="S107" s="414"/>
      <c r="T107" s="414"/>
      <c r="U107" s="414"/>
    </row>
    <row r="108" spans="13:21" x14ac:dyDescent="0.2">
      <c r="M108" s="414"/>
      <c r="N108" s="414"/>
      <c r="O108" s="414"/>
      <c r="P108" s="414"/>
      <c r="Q108" s="414"/>
      <c r="R108" s="414"/>
      <c r="S108" s="414"/>
      <c r="T108" s="414"/>
      <c r="U108" s="414"/>
    </row>
    <row r="109" spans="13:21" x14ac:dyDescent="0.2">
      <c r="M109" s="414"/>
      <c r="N109" s="414"/>
      <c r="O109" s="414"/>
      <c r="P109" s="414"/>
      <c r="Q109" s="414"/>
      <c r="R109" s="414"/>
      <c r="S109" s="414"/>
      <c r="T109" s="414"/>
      <c r="U109" s="414"/>
    </row>
    <row r="110" spans="13:21" x14ac:dyDescent="0.2">
      <c r="M110" s="414"/>
      <c r="N110" s="414"/>
      <c r="O110" s="414"/>
      <c r="P110" s="414"/>
      <c r="Q110" s="414"/>
      <c r="R110" s="414"/>
      <c r="S110" s="414"/>
      <c r="T110" s="414"/>
      <c r="U110" s="414"/>
    </row>
    <row r="111" spans="13:21" x14ac:dyDescent="0.2">
      <c r="M111" s="414"/>
      <c r="N111" s="414"/>
      <c r="O111" s="414"/>
      <c r="P111" s="414"/>
      <c r="Q111" s="414"/>
      <c r="R111" s="414"/>
      <c r="S111" s="414"/>
      <c r="T111" s="414"/>
      <c r="U111" s="414"/>
    </row>
    <row r="112" spans="13:21" x14ac:dyDescent="0.2">
      <c r="M112" s="414"/>
      <c r="N112" s="414"/>
      <c r="O112" s="414"/>
      <c r="P112" s="414"/>
      <c r="Q112" s="414"/>
      <c r="R112" s="414"/>
      <c r="S112" s="414"/>
      <c r="T112" s="414"/>
      <c r="U112" s="414"/>
    </row>
    <row r="113" spans="13:21" x14ac:dyDescent="0.2">
      <c r="M113" s="414"/>
      <c r="N113" s="414"/>
      <c r="O113" s="414"/>
      <c r="P113" s="414"/>
      <c r="Q113" s="414"/>
      <c r="R113" s="414"/>
      <c r="S113" s="414"/>
      <c r="T113" s="414"/>
      <c r="U113" s="414"/>
    </row>
    <row r="114" spans="13:21" x14ac:dyDescent="0.2">
      <c r="M114" s="414"/>
      <c r="N114" s="414"/>
      <c r="O114" s="414"/>
      <c r="P114" s="414"/>
      <c r="Q114" s="414"/>
      <c r="R114" s="414"/>
      <c r="S114" s="414"/>
      <c r="T114" s="414"/>
      <c r="U114" s="414"/>
    </row>
    <row r="115" spans="13:21" x14ac:dyDescent="0.2">
      <c r="M115" s="414"/>
      <c r="N115" s="414"/>
      <c r="O115" s="414"/>
      <c r="P115" s="414"/>
      <c r="Q115" s="414"/>
      <c r="R115" s="414"/>
      <c r="S115" s="414"/>
      <c r="T115" s="414"/>
      <c r="U115" s="414"/>
    </row>
    <row r="116" spans="13:21" x14ac:dyDescent="0.2">
      <c r="M116" s="414"/>
      <c r="N116" s="414"/>
      <c r="O116" s="414"/>
      <c r="P116" s="414"/>
      <c r="Q116" s="414"/>
      <c r="R116" s="414"/>
      <c r="S116" s="414"/>
      <c r="T116" s="414"/>
      <c r="U116" s="414"/>
    </row>
    <row r="117" spans="13:21" x14ac:dyDescent="0.2">
      <c r="M117" s="414"/>
      <c r="N117" s="414"/>
      <c r="O117" s="414"/>
      <c r="P117" s="414"/>
      <c r="Q117" s="414"/>
      <c r="R117" s="414"/>
      <c r="S117" s="414"/>
      <c r="T117" s="414"/>
      <c r="U117" s="414"/>
    </row>
    <row r="118" spans="13:21" x14ac:dyDescent="0.2">
      <c r="M118" s="414"/>
      <c r="N118" s="414"/>
      <c r="O118" s="414"/>
      <c r="P118" s="414"/>
      <c r="Q118" s="414"/>
      <c r="R118" s="414"/>
      <c r="S118" s="414"/>
      <c r="T118" s="414"/>
      <c r="U118" s="414"/>
    </row>
    <row r="119" spans="13:21" x14ac:dyDescent="0.2">
      <c r="M119" s="414"/>
      <c r="N119" s="414"/>
      <c r="O119" s="414"/>
      <c r="P119" s="414"/>
      <c r="Q119" s="414"/>
      <c r="R119" s="414"/>
      <c r="S119" s="414"/>
      <c r="T119" s="414"/>
      <c r="U119" s="414"/>
    </row>
    <row r="120" spans="13:21" x14ac:dyDescent="0.2">
      <c r="M120" s="414"/>
      <c r="N120" s="414"/>
      <c r="O120" s="414"/>
      <c r="P120" s="414"/>
      <c r="Q120" s="414"/>
      <c r="R120" s="414"/>
      <c r="S120" s="414"/>
      <c r="T120" s="414"/>
      <c r="U120" s="414"/>
    </row>
    <row r="121" spans="13:21" x14ac:dyDescent="0.2">
      <c r="M121" s="414"/>
      <c r="N121" s="414"/>
      <c r="O121" s="414"/>
      <c r="P121" s="414"/>
      <c r="Q121" s="414"/>
      <c r="R121" s="414"/>
      <c r="S121" s="414"/>
      <c r="T121" s="414"/>
      <c r="U121" s="414"/>
    </row>
    <row r="122" spans="13:21" x14ac:dyDescent="0.2">
      <c r="M122" s="414"/>
      <c r="N122" s="414"/>
      <c r="O122" s="414"/>
      <c r="P122" s="414"/>
      <c r="Q122" s="414"/>
      <c r="R122" s="414"/>
      <c r="S122" s="414"/>
      <c r="T122" s="414"/>
      <c r="U122" s="414"/>
    </row>
    <row r="123" spans="13:21" x14ac:dyDescent="0.2">
      <c r="M123" s="414"/>
      <c r="N123" s="414"/>
      <c r="O123" s="414"/>
      <c r="P123" s="414"/>
      <c r="Q123" s="414"/>
      <c r="R123" s="414"/>
      <c r="S123" s="414"/>
      <c r="T123" s="414"/>
      <c r="U123" s="414"/>
    </row>
    <row r="124" spans="13:21" x14ac:dyDescent="0.2">
      <c r="M124" s="414"/>
      <c r="N124" s="414"/>
      <c r="O124" s="414"/>
      <c r="P124" s="414"/>
      <c r="Q124" s="414"/>
      <c r="R124" s="414"/>
      <c r="S124" s="414"/>
      <c r="T124" s="414"/>
      <c r="U124" s="414"/>
    </row>
    <row r="125" spans="13:21" x14ac:dyDescent="0.2">
      <c r="M125" s="414"/>
      <c r="N125" s="414"/>
      <c r="O125" s="414"/>
      <c r="P125" s="414"/>
      <c r="Q125" s="414"/>
      <c r="R125" s="414"/>
      <c r="S125" s="414"/>
      <c r="T125" s="414"/>
      <c r="U125" s="414"/>
    </row>
    <row r="126" spans="13:21" x14ac:dyDescent="0.2">
      <c r="M126" s="414"/>
      <c r="N126" s="414"/>
      <c r="O126" s="414"/>
      <c r="P126" s="414"/>
      <c r="Q126" s="414"/>
      <c r="R126" s="414"/>
      <c r="S126" s="414"/>
      <c r="T126" s="414"/>
      <c r="U126" s="414"/>
    </row>
    <row r="127" spans="13:21" x14ac:dyDescent="0.2">
      <c r="M127" s="414"/>
      <c r="N127" s="414"/>
      <c r="O127" s="414"/>
      <c r="P127" s="414"/>
      <c r="Q127" s="414"/>
      <c r="R127" s="414"/>
      <c r="S127" s="414"/>
      <c r="T127" s="414"/>
      <c r="U127" s="414"/>
    </row>
    <row r="128" spans="13:21" x14ac:dyDescent="0.2">
      <c r="M128" s="414"/>
      <c r="N128" s="414"/>
      <c r="O128" s="414"/>
      <c r="P128" s="414"/>
      <c r="Q128" s="414"/>
      <c r="R128" s="414"/>
      <c r="S128" s="414"/>
      <c r="T128" s="414"/>
      <c r="U128" s="414"/>
    </row>
    <row r="129" spans="13:21" x14ac:dyDescent="0.2">
      <c r="M129" s="414"/>
      <c r="N129" s="414"/>
      <c r="O129" s="414"/>
      <c r="P129" s="414"/>
      <c r="Q129" s="414"/>
      <c r="R129" s="414"/>
      <c r="S129" s="414"/>
      <c r="T129" s="414"/>
      <c r="U129" s="414"/>
    </row>
    <row r="130" spans="13:21" x14ac:dyDescent="0.2">
      <c r="M130" s="414"/>
      <c r="N130" s="414"/>
      <c r="O130" s="414"/>
      <c r="P130" s="414"/>
      <c r="Q130" s="414"/>
      <c r="R130" s="414"/>
      <c r="S130" s="414"/>
      <c r="T130" s="414"/>
      <c r="U130" s="414"/>
    </row>
    <row r="131" spans="13:21" x14ac:dyDescent="0.2">
      <c r="M131" s="414"/>
      <c r="N131" s="414"/>
      <c r="O131" s="414"/>
      <c r="P131" s="414"/>
      <c r="Q131" s="414"/>
      <c r="R131" s="414"/>
      <c r="S131" s="414"/>
      <c r="T131" s="414"/>
      <c r="U131" s="414"/>
    </row>
    <row r="132" spans="13:21" x14ac:dyDescent="0.2">
      <c r="M132" s="414"/>
      <c r="N132" s="414"/>
      <c r="O132" s="414"/>
      <c r="P132" s="414"/>
      <c r="Q132" s="414"/>
      <c r="R132" s="414"/>
      <c r="S132" s="414"/>
      <c r="T132" s="414"/>
      <c r="U132" s="414"/>
    </row>
    <row r="133" spans="13:21" x14ac:dyDescent="0.2">
      <c r="M133" s="414"/>
      <c r="N133" s="414"/>
      <c r="O133" s="414"/>
      <c r="P133" s="414"/>
      <c r="Q133" s="414"/>
      <c r="R133" s="414"/>
      <c r="S133" s="414"/>
      <c r="T133" s="414"/>
      <c r="U133" s="414"/>
    </row>
    <row r="134" spans="13:21" x14ac:dyDescent="0.2">
      <c r="M134" s="414"/>
      <c r="N134" s="414"/>
      <c r="O134" s="414"/>
      <c r="P134" s="414"/>
      <c r="Q134" s="414"/>
      <c r="R134" s="414"/>
      <c r="S134" s="414"/>
      <c r="T134" s="414"/>
      <c r="U134" s="414"/>
    </row>
    <row r="135" spans="13:21" x14ac:dyDescent="0.2">
      <c r="M135" s="414"/>
      <c r="N135" s="414"/>
      <c r="O135" s="414"/>
      <c r="P135" s="414"/>
      <c r="Q135" s="414"/>
      <c r="R135" s="414"/>
      <c r="S135" s="414"/>
      <c r="T135" s="414"/>
      <c r="U135" s="414"/>
    </row>
    <row r="136" spans="13:21" x14ac:dyDescent="0.2">
      <c r="M136" s="414"/>
      <c r="N136" s="414"/>
      <c r="O136" s="414"/>
      <c r="P136" s="414"/>
      <c r="Q136" s="414"/>
      <c r="R136" s="414"/>
      <c r="S136" s="414"/>
      <c r="T136" s="414"/>
      <c r="U136" s="414"/>
    </row>
    <row r="137" spans="13:21" x14ac:dyDescent="0.2">
      <c r="M137" s="414"/>
      <c r="N137" s="414"/>
      <c r="O137" s="414"/>
      <c r="P137" s="414"/>
      <c r="Q137" s="414"/>
      <c r="R137" s="414"/>
      <c r="S137" s="414"/>
      <c r="T137" s="414"/>
      <c r="U137" s="414"/>
    </row>
    <row r="138" spans="13:21" x14ac:dyDescent="0.2">
      <c r="M138" s="414"/>
      <c r="N138" s="414"/>
      <c r="O138" s="414"/>
      <c r="P138" s="414"/>
      <c r="Q138" s="414"/>
      <c r="R138" s="414"/>
      <c r="S138" s="414"/>
      <c r="T138" s="414"/>
      <c r="U138" s="414"/>
    </row>
    <row r="139" spans="13:21" x14ac:dyDescent="0.2">
      <c r="M139" s="414"/>
      <c r="N139" s="414"/>
      <c r="O139" s="414"/>
      <c r="P139" s="414"/>
      <c r="Q139" s="414"/>
      <c r="R139" s="414"/>
      <c r="S139" s="414"/>
      <c r="T139" s="414"/>
      <c r="U139" s="414"/>
    </row>
    <row r="140" spans="13:21" x14ac:dyDescent="0.2">
      <c r="M140" s="414"/>
      <c r="N140" s="414"/>
      <c r="O140" s="414"/>
      <c r="P140" s="414"/>
      <c r="Q140" s="414"/>
      <c r="R140" s="414"/>
      <c r="S140" s="414"/>
      <c r="T140" s="414"/>
      <c r="U140" s="414"/>
    </row>
  </sheetData>
  <sheetProtection algorithmName="SHA-512" hashValue="ezEBK0N/6c8W2YNkz9EvLk+diLx3kbWFhjYyFRlq7TZuMxYp/Jlu5NbiqK7iUpMW4FqDsSKsmb//fd5Q/IZzsA==" saltValue="M9LOhcordN0AHQBOE+2GZg==" spinCount="100000" sheet="1" objects="1" scenarios="1" autoFilter="0"/>
  <customSheetViews>
    <customSheetView guid="{9FCFC836-1CA5-48BF-958D-24D2EA94B219}" showGridLines="0" fitToPage="1">
      <selection activeCell="A47" sqref="A47:IV47"/>
      <pageMargins left="0" right="0" top="0" bottom="0" header="0" footer="0"/>
      <printOptions horizontalCentered="1"/>
      <pageSetup orientation="portrait" r:id="rId1"/>
      <headerFooter alignWithMargins="0">
        <oddFooter>&amp;R&amp;A</oddFooter>
      </headerFooter>
    </customSheetView>
    <customSheetView guid="{BEA4BE86-04D1-4C96-9358-7A260B9D2B2D}" showGridLines="0" fitToPage="1" showRuler="0">
      <selection sqref="A1:J3"/>
      <pageMargins left="0" right="0" top="0" bottom="0" header="0" footer="0"/>
      <printOptions horizontalCentered="1"/>
      <pageSetup orientation="portrait" horizontalDpi="300" verticalDpi="300" r:id="rId2"/>
      <headerFooter alignWithMargins="0">
        <oddFooter>&amp;R&amp;A</oddFooter>
      </headerFooter>
    </customSheetView>
    <customSheetView guid="{1250FD07-FF56-4A9D-AF9E-C27124A7EBE9}" showGridLines="0" fitToPage="1" showRuler="0">
      <selection sqref="A1:J3"/>
      <pageMargins left="0" right="0" top="0" bottom="0" header="0" footer="0"/>
      <printOptions horizontalCentered="1"/>
      <pageSetup orientation="portrait" horizontalDpi="300" verticalDpi="300" r:id="rId3"/>
      <headerFooter alignWithMargins="0">
        <oddFooter>&amp;R&amp;A</oddFooter>
      </headerFooter>
    </customSheetView>
    <customSheetView guid="{B08879A4-635B-4C39-9937-AC7883D562FC}" showGridLines="0" fitToPage="1">
      <selection activeCell="A47" sqref="A47:IV47"/>
      <pageMargins left="0" right="0" top="0" bottom="0" header="0" footer="0"/>
      <printOptions horizontalCentered="1"/>
      <pageSetup orientation="portrait" r:id="rId4"/>
      <headerFooter alignWithMargins="0">
        <oddFooter>&amp;R&amp;A</oddFooter>
      </headerFooter>
    </customSheetView>
  </customSheetViews>
  <mergeCells count="9">
    <mergeCell ref="B39:E39"/>
    <mergeCell ref="B49:E49"/>
    <mergeCell ref="H1:H3"/>
    <mergeCell ref="A1:G1"/>
    <mergeCell ref="A3:G3"/>
    <mergeCell ref="A2:G2"/>
    <mergeCell ref="B37:E37"/>
    <mergeCell ref="B38:E38"/>
    <mergeCell ref="B46:E46"/>
  </mergeCells>
  <phoneticPr fontId="16" type="noConversion"/>
  <conditionalFormatting sqref="H1:H3">
    <cfRule type="cellIs" dxfId="111" priority="1" stopIfTrue="1" operator="equal">
      <formula>"na"</formula>
    </cfRule>
  </conditionalFormatting>
  <hyperlinks>
    <hyperlink ref="A1:G1" location="Index!A1" display="Index!A1" xr:uid="{00000000-0004-0000-1800-000000000000}"/>
  </hyperlinks>
  <pageMargins left="0.6" right="0.6" top="0.5" bottom="0.5" header="0.3" footer="0.3"/>
  <pageSetup scale="85" orientation="portrait"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M104"/>
  <sheetViews>
    <sheetView showGridLines="0" topLeftCell="B1" zoomScaleNormal="100" workbookViewId="0">
      <selection activeCell="P27" sqref="P27"/>
    </sheetView>
  </sheetViews>
  <sheetFormatPr defaultColWidth="9.42578125" defaultRowHeight="12.75" x14ac:dyDescent="0.2"/>
  <cols>
    <col min="1" max="1" width="9.42578125" hidden="1" customWidth="1"/>
    <col min="3" max="3" width="8.42578125" customWidth="1"/>
    <col min="6" max="7" width="3.5703125" customWidth="1"/>
    <col min="8" max="8" width="1.5703125" customWidth="1"/>
    <col min="9" max="9" width="13.42578125" customWidth="1"/>
    <col min="10" max="10" width="12.5703125" customWidth="1"/>
    <col min="12" max="12" width="9.5703125" customWidth="1"/>
    <col min="13" max="13" width="4.5703125" customWidth="1"/>
  </cols>
  <sheetData>
    <row r="1" spans="2:13" s="88" customFormat="1" ht="15" customHeight="1" x14ac:dyDescent="0.25">
      <c r="B1" s="2455" t="str">
        <f>+Index!$A$1</f>
        <v xml:space="preserve">                                                               Office of the State Controller                                                                </v>
      </c>
      <c r="C1" s="2455"/>
      <c r="D1" s="2455"/>
      <c r="E1" s="2455"/>
      <c r="F1" s="2455"/>
      <c r="G1" s="2455"/>
      <c r="H1" s="2455"/>
      <c r="I1" s="2455"/>
      <c r="J1" s="2455"/>
      <c r="K1" s="2455"/>
      <c r="L1" s="2455"/>
      <c r="M1" s="2456" t="str">
        <f>IF(Index!$B$48="na","NA","")</f>
        <v/>
      </c>
    </row>
    <row r="2" spans="2:13" s="88" customFormat="1" ht="15" customHeight="1" x14ac:dyDescent="0.25">
      <c r="B2" s="2439" t="str">
        <f>+Index!$A$2</f>
        <v>2023 ACFR Worksheets</v>
      </c>
      <c r="C2" s="2626"/>
      <c r="D2" s="2626"/>
      <c r="E2" s="2626"/>
      <c r="F2" s="2626"/>
      <c r="G2" s="2626"/>
      <c r="H2" s="2626"/>
      <c r="I2" s="2626"/>
      <c r="J2" s="2626"/>
      <c r="K2" s="2626"/>
      <c r="L2" s="2626"/>
      <c r="M2" s="2456"/>
    </row>
    <row r="3" spans="2:13" s="88" customFormat="1" ht="15" customHeight="1" x14ac:dyDescent="0.25">
      <c r="B3" s="2439" t="s">
        <v>1486</v>
      </c>
      <c r="C3" s="2626"/>
      <c r="D3" s="2626"/>
      <c r="E3" s="2626"/>
      <c r="F3" s="2626"/>
      <c r="G3" s="2626"/>
      <c r="H3" s="2626"/>
      <c r="I3" s="2626"/>
      <c r="J3" s="2626"/>
      <c r="K3" s="2626"/>
      <c r="L3" s="2626"/>
      <c r="M3" s="2456"/>
    </row>
    <row r="4" spans="2:13" s="10" customFormat="1" ht="15" customHeight="1" x14ac:dyDescent="0.2">
      <c r="B4" s="159"/>
      <c r="C4" s="159"/>
      <c r="D4" s="159"/>
      <c r="E4" s="159"/>
      <c r="F4" s="159"/>
      <c r="G4" s="159"/>
      <c r="H4" s="159"/>
      <c r="I4" s="159"/>
      <c r="J4" s="1" t="s">
        <v>50</v>
      </c>
      <c r="K4" s="159"/>
      <c r="L4" s="159"/>
      <c r="M4" s="159"/>
    </row>
    <row r="5" spans="2:13" s="10" customFormat="1" ht="15" customHeight="1" x14ac:dyDescent="0.2">
      <c r="B5" s="1808"/>
      <c r="C5" s="85"/>
      <c r="D5" s="2618"/>
      <c r="E5" s="2618"/>
      <c r="F5" s="2272"/>
      <c r="G5" s="2272"/>
      <c r="H5" s="159"/>
      <c r="I5" s="1809" t="s">
        <v>317</v>
      </c>
      <c r="J5" s="2492" t="str">
        <f>+Index!$E$10</f>
        <v>01</v>
      </c>
      <c r="K5" s="2492"/>
      <c r="L5" s="2492"/>
      <c r="M5" s="159"/>
    </row>
    <row r="6" spans="2:13" s="10" customFormat="1" ht="15" customHeight="1" x14ac:dyDescent="0.2">
      <c r="B6" s="159"/>
      <c r="C6" s="159"/>
      <c r="D6" s="159"/>
      <c r="E6" s="159"/>
      <c r="F6" s="159"/>
      <c r="G6" s="159"/>
      <c r="H6" s="159"/>
      <c r="I6" s="1809" t="s">
        <v>318</v>
      </c>
      <c r="J6" s="2545" t="str">
        <f>+Index!$E$11</f>
        <v>North Carolina General Assembly</v>
      </c>
      <c r="K6" s="2545"/>
      <c r="L6" s="2545"/>
      <c r="M6" s="159"/>
    </row>
    <row r="7" spans="2:13" s="10" customFormat="1" ht="15" customHeight="1" x14ac:dyDescent="0.2">
      <c r="B7" s="1808" t="s">
        <v>568</v>
      </c>
      <c r="C7" s="85"/>
      <c r="D7" s="2619" t="s">
        <v>754</v>
      </c>
      <c r="E7" s="2619"/>
      <c r="F7" s="1808"/>
      <c r="G7" s="1808"/>
      <c r="H7" s="159"/>
      <c r="I7" s="1809" t="s">
        <v>319</v>
      </c>
      <c r="J7" s="2546" t="str">
        <f>CONCATENATE(Index!$E$12," ",Index!$E$14)</f>
        <v xml:space="preserve"> </v>
      </c>
      <c r="K7" s="2546"/>
      <c r="L7" s="2546"/>
      <c r="M7" s="159"/>
    </row>
    <row r="8" spans="2:13" s="10" customFormat="1" ht="15" customHeight="1" x14ac:dyDescent="0.2">
      <c r="B8" s="1808"/>
      <c r="C8" s="85"/>
      <c r="D8" s="2272"/>
      <c r="E8" s="2272"/>
      <c r="F8" s="1808"/>
      <c r="G8" s="1808"/>
      <c r="H8" s="159"/>
      <c r="I8" s="1809" t="s">
        <v>71</v>
      </c>
      <c r="J8" s="2546">
        <f>+Index!$E$13</f>
        <v>0</v>
      </c>
      <c r="K8" s="2546"/>
      <c r="L8" s="2546"/>
      <c r="M8" s="159"/>
    </row>
    <row r="9" spans="2:13" s="10" customFormat="1" ht="6.75" customHeight="1" thickBot="1" x14ac:dyDescent="0.25">
      <c r="B9" s="300"/>
      <c r="C9" s="300"/>
      <c r="D9" s="300"/>
      <c r="E9" s="300"/>
      <c r="F9" s="300"/>
      <c r="G9" s="300"/>
      <c r="H9" s="1826"/>
      <c r="I9" s="300"/>
      <c r="J9" s="300"/>
      <c r="K9" s="300"/>
      <c r="L9" s="300"/>
      <c r="M9" s="159"/>
    </row>
    <row r="10" spans="2:13" s="10" customFormat="1" ht="12" customHeight="1" x14ac:dyDescent="0.2">
      <c r="B10" s="85"/>
      <c r="C10" s="85"/>
      <c r="D10" s="85"/>
      <c r="E10" s="85"/>
      <c r="F10" s="85"/>
      <c r="G10" s="85"/>
      <c r="H10" s="159"/>
      <c r="I10" s="85"/>
      <c r="J10" s="85"/>
      <c r="K10" s="85"/>
      <c r="L10" s="85"/>
      <c r="M10" s="159"/>
    </row>
    <row r="11" spans="2:13" s="10" customFormat="1" ht="15" customHeight="1" x14ac:dyDescent="0.25">
      <c r="B11" s="428" t="s">
        <v>1487</v>
      </c>
      <c r="C11" s="159"/>
      <c r="D11" s="159"/>
      <c r="E11" s="159"/>
      <c r="F11" s="159"/>
      <c r="G11" s="159"/>
      <c r="H11" s="159"/>
      <c r="I11" s="159"/>
      <c r="J11" s="159"/>
      <c r="K11" s="159"/>
      <c r="L11" s="159"/>
      <c r="M11" s="159"/>
    </row>
    <row r="12" spans="2:13" s="10" customFormat="1" ht="15" customHeight="1" x14ac:dyDescent="0.2">
      <c r="B12" s="159" t="s">
        <v>1488</v>
      </c>
      <c r="C12" s="159"/>
      <c r="D12" s="159"/>
      <c r="E12" s="159"/>
      <c r="F12" s="159"/>
      <c r="G12" s="159"/>
      <c r="H12" s="159"/>
      <c r="I12" s="159"/>
      <c r="J12" s="159"/>
      <c r="K12" s="159"/>
      <c r="L12" s="159"/>
      <c r="M12" s="159"/>
    </row>
    <row r="13" spans="2:13" s="10" customFormat="1" ht="15" customHeight="1" x14ac:dyDescent="0.2">
      <c r="B13" s="159" t="s">
        <v>1489</v>
      </c>
      <c r="C13" s="159"/>
      <c r="D13" s="159"/>
      <c r="E13" s="159"/>
      <c r="F13" s="159"/>
      <c r="G13" s="159"/>
      <c r="H13" s="159"/>
      <c r="I13" s="159"/>
      <c r="J13" s="159"/>
      <c r="K13" s="159"/>
      <c r="L13" s="159"/>
      <c r="M13" s="159"/>
    </row>
    <row r="14" spans="2:13" s="10" customFormat="1" ht="12" customHeight="1" x14ac:dyDescent="0.2">
      <c r="B14" s="159"/>
      <c r="C14" s="159"/>
      <c r="D14" s="159"/>
      <c r="E14" s="159"/>
      <c r="F14" s="159"/>
      <c r="G14" s="159"/>
      <c r="H14" s="159"/>
      <c r="I14" s="159"/>
      <c r="J14" s="159"/>
      <c r="K14" s="159"/>
      <c r="L14" s="159"/>
      <c r="M14" s="159"/>
    </row>
    <row r="15" spans="2:13" s="10" customFormat="1" ht="15" customHeight="1" x14ac:dyDescent="0.2">
      <c r="B15" s="11" t="s">
        <v>1490</v>
      </c>
      <c r="C15" s="159"/>
      <c r="D15" s="159"/>
      <c r="E15" s="159"/>
      <c r="F15" s="159"/>
      <c r="G15" s="159"/>
      <c r="H15" s="159"/>
      <c r="I15" s="159"/>
      <c r="J15" s="159"/>
      <c r="K15" s="159"/>
      <c r="L15" s="159"/>
      <c r="M15" s="159"/>
    </row>
    <row r="16" spans="2:13" s="10" customFormat="1" ht="15" customHeight="1" x14ac:dyDescent="0.2">
      <c r="B16" s="11" t="s">
        <v>1491</v>
      </c>
      <c r="C16" s="159"/>
      <c r="D16" s="159"/>
      <c r="E16" s="159"/>
      <c r="F16" s="159"/>
      <c r="G16" s="159"/>
      <c r="H16" s="159"/>
      <c r="I16" s="159"/>
      <c r="J16" s="159"/>
      <c r="K16" s="159"/>
      <c r="L16" s="159"/>
      <c r="M16" s="159"/>
    </row>
    <row r="17" spans="2:9" s="10" customFormat="1" ht="15" customHeight="1" x14ac:dyDescent="0.2">
      <c r="B17" s="11" t="s">
        <v>1492</v>
      </c>
      <c r="C17" s="159"/>
      <c r="D17" s="159"/>
      <c r="E17" s="159"/>
      <c r="F17" s="159"/>
      <c r="G17" s="159"/>
      <c r="H17" s="159"/>
      <c r="I17" s="159"/>
    </row>
    <row r="18" spans="2:9" s="10" customFormat="1" ht="12" customHeight="1" x14ac:dyDescent="0.2">
      <c r="B18" s="11"/>
      <c r="C18" s="159"/>
      <c r="D18" s="159"/>
      <c r="E18" s="159"/>
      <c r="F18" s="159"/>
      <c r="G18" s="159"/>
      <c r="H18" s="159"/>
      <c r="I18" s="159"/>
    </row>
    <row r="19" spans="2:9" s="10" customFormat="1" ht="15" customHeight="1" x14ac:dyDescent="0.2">
      <c r="B19" s="159" t="s">
        <v>1493</v>
      </c>
      <c r="C19" s="159"/>
      <c r="D19" s="159"/>
      <c r="E19" s="159"/>
      <c r="F19" s="159"/>
      <c r="G19" s="159"/>
      <c r="H19" s="159"/>
      <c r="I19" s="159"/>
    </row>
    <row r="20" spans="2:9" s="10" customFormat="1" ht="15" customHeight="1" x14ac:dyDescent="0.2">
      <c r="B20" s="159" t="s">
        <v>1494</v>
      </c>
      <c r="C20" s="159"/>
      <c r="D20" s="159"/>
      <c r="E20" s="159"/>
      <c r="F20" s="159"/>
      <c r="G20" s="159"/>
      <c r="H20" s="159"/>
      <c r="I20" s="159"/>
    </row>
    <row r="21" spans="2:9" s="10" customFormat="1" ht="12" customHeight="1" x14ac:dyDescent="0.2">
      <c r="B21" s="159"/>
      <c r="C21" s="159"/>
      <c r="D21" s="159"/>
      <c r="E21" s="159"/>
      <c r="F21" s="159"/>
      <c r="G21" s="159"/>
      <c r="H21" s="159"/>
      <c r="I21" s="159"/>
    </row>
    <row r="22" spans="2:9" s="10" customFormat="1" ht="15" customHeight="1" x14ac:dyDescent="0.2">
      <c r="B22" s="159" t="s">
        <v>1495</v>
      </c>
      <c r="C22" s="159"/>
      <c r="D22" s="159"/>
      <c r="E22" s="159"/>
      <c r="F22" s="159"/>
      <c r="G22" s="159"/>
      <c r="H22" s="159"/>
      <c r="I22" s="159"/>
    </row>
    <row r="23" spans="2:9" s="10" customFormat="1" ht="15" customHeight="1" x14ac:dyDescent="0.2">
      <c r="B23" s="1" t="s">
        <v>1496</v>
      </c>
      <c r="C23" s="159"/>
      <c r="D23" s="159"/>
      <c r="E23" s="159"/>
      <c r="F23" s="159"/>
      <c r="G23" s="159"/>
      <c r="H23" s="159"/>
      <c r="I23" s="159"/>
    </row>
    <row r="24" spans="2:9" s="10" customFormat="1" ht="12" customHeight="1" x14ac:dyDescent="0.2">
      <c r="B24" s="1"/>
      <c r="C24" s="159"/>
      <c r="D24" s="159"/>
      <c r="E24" s="159"/>
      <c r="F24" s="159"/>
      <c r="G24" s="159"/>
      <c r="H24" s="159"/>
      <c r="I24" s="159"/>
    </row>
    <row r="25" spans="2:9" s="10" customFormat="1" ht="15" customHeight="1" x14ac:dyDescent="0.2">
      <c r="B25" s="1" t="s">
        <v>1436</v>
      </c>
      <c r="C25" s="159"/>
      <c r="D25" s="159"/>
      <c r="E25" s="159"/>
      <c r="F25" s="159"/>
      <c r="G25" s="159"/>
      <c r="H25" s="159"/>
      <c r="I25" s="159"/>
    </row>
    <row r="26" spans="2:9" s="10" customFormat="1" ht="15" customHeight="1" x14ac:dyDescent="0.2">
      <c r="B26" s="159" t="s">
        <v>1497</v>
      </c>
      <c r="C26" s="159"/>
      <c r="D26" s="159"/>
      <c r="E26" s="159"/>
      <c r="F26" s="159"/>
      <c r="G26" s="159"/>
      <c r="H26" s="159"/>
      <c r="I26" s="159"/>
    </row>
    <row r="27" spans="2:9" s="10" customFormat="1" ht="15" customHeight="1" x14ac:dyDescent="0.2">
      <c r="B27" s="159" t="s">
        <v>1498</v>
      </c>
      <c r="C27" s="159"/>
      <c r="D27" s="159"/>
      <c r="E27" s="159"/>
      <c r="F27" s="159"/>
      <c r="G27" s="159"/>
      <c r="H27" s="159"/>
      <c r="I27" s="159"/>
    </row>
    <row r="28" spans="2:9" s="10" customFormat="1" ht="12" customHeight="1" x14ac:dyDescent="0.2">
      <c r="B28" s="159"/>
      <c r="C28" s="159"/>
      <c r="D28" s="159"/>
      <c r="E28" s="159"/>
      <c r="F28" s="159"/>
      <c r="G28" s="159"/>
      <c r="H28" s="159"/>
      <c r="I28" s="159"/>
    </row>
    <row r="29" spans="2:9" s="10" customFormat="1" ht="15" customHeight="1" x14ac:dyDescent="0.2">
      <c r="B29" s="2246" t="s">
        <v>506</v>
      </c>
      <c r="C29" s="2242"/>
      <c r="D29" s="2246" t="s">
        <v>498</v>
      </c>
      <c r="E29" s="2242"/>
      <c r="F29" s="159"/>
      <c r="G29" s="2440" t="str">
        <f>IF(AND(ISBLANK(C29),ISBLANK(E29))=TRUE,"Answer Missing"," ")</f>
        <v>Answer Missing</v>
      </c>
      <c r="H29" s="2383"/>
      <c r="I29" s="2383"/>
    </row>
    <row r="30" spans="2:9" s="10" customFormat="1" ht="12" customHeight="1" x14ac:dyDescent="0.2">
      <c r="B30" s="159"/>
      <c r="C30" s="159"/>
      <c r="D30" s="159"/>
      <c r="E30" s="159"/>
      <c r="F30" s="159"/>
      <c r="G30" s="159"/>
      <c r="H30" s="159"/>
      <c r="I30" s="159"/>
    </row>
    <row r="31" spans="2:9" s="10" customFormat="1" ht="15" customHeight="1" x14ac:dyDescent="0.2">
      <c r="B31" s="1" t="s">
        <v>1499</v>
      </c>
      <c r="C31" s="1"/>
      <c r="D31" s="159"/>
      <c r="E31" s="159"/>
      <c r="F31" s="159"/>
      <c r="G31" s="159"/>
      <c r="H31" s="159"/>
      <c r="I31" s="159"/>
    </row>
    <row r="32" spans="2:9" s="10" customFormat="1" ht="15" customHeight="1" x14ac:dyDescent="0.2">
      <c r="B32" s="159" t="s">
        <v>1500</v>
      </c>
      <c r="C32" s="159"/>
      <c r="D32" s="159"/>
      <c r="E32" s="159"/>
      <c r="F32" s="159"/>
      <c r="G32" s="159"/>
      <c r="H32" s="159"/>
      <c r="I32" s="159"/>
    </row>
    <row r="33" spans="2:12" s="10" customFormat="1" ht="15" customHeight="1" x14ac:dyDescent="0.2">
      <c r="B33" s="159"/>
      <c r="C33" s="159"/>
      <c r="D33" s="159"/>
      <c r="E33" s="159"/>
      <c r="F33" s="159"/>
      <c r="G33" s="159"/>
      <c r="H33" s="159"/>
      <c r="I33" s="159"/>
      <c r="J33" s="159"/>
      <c r="K33" s="159"/>
      <c r="L33" s="159"/>
    </row>
    <row r="34" spans="2:12" s="10" customFormat="1" ht="15" customHeight="1" x14ac:dyDescent="0.2">
      <c r="B34" s="159"/>
      <c r="C34" s="159"/>
      <c r="D34" s="159"/>
      <c r="E34" s="159"/>
      <c r="F34" s="159"/>
      <c r="G34" s="159"/>
      <c r="H34" s="159"/>
      <c r="I34" s="159"/>
      <c r="J34" s="159"/>
      <c r="K34" s="159"/>
      <c r="L34" s="159"/>
    </row>
    <row r="35" spans="2:12" s="10" customFormat="1" ht="15" customHeight="1" x14ac:dyDescent="0.25">
      <c r="B35" s="428" t="s">
        <v>1501</v>
      </c>
      <c r="C35" s="159"/>
      <c r="D35" s="159"/>
      <c r="E35" s="159"/>
      <c r="F35" s="159"/>
      <c r="G35" s="159"/>
      <c r="H35" s="159"/>
      <c r="I35" s="159"/>
      <c r="J35" s="159"/>
      <c r="K35" s="159"/>
      <c r="L35" s="159"/>
    </row>
    <row r="36" spans="2:12" s="10" customFormat="1" ht="15" customHeight="1" x14ac:dyDescent="0.2">
      <c r="B36" s="159" t="s">
        <v>1502</v>
      </c>
      <c r="C36" s="159"/>
      <c r="D36" s="159"/>
      <c r="E36" s="159"/>
      <c r="F36" s="159"/>
      <c r="G36" s="159"/>
      <c r="H36" s="159"/>
      <c r="I36" s="159"/>
      <c r="J36" s="159"/>
      <c r="K36" s="159"/>
      <c r="L36" s="159"/>
    </row>
    <row r="37" spans="2:12" s="10" customFormat="1" ht="15" customHeight="1" x14ac:dyDescent="0.2">
      <c r="B37" s="2" t="s">
        <v>1503</v>
      </c>
      <c r="C37" s="159"/>
      <c r="D37" s="159"/>
      <c r="E37" s="159"/>
      <c r="F37" s="159"/>
      <c r="G37" s="159"/>
      <c r="H37" s="159"/>
      <c r="I37" s="159"/>
      <c r="J37" s="159"/>
      <c r="K37" s="159"/>
      <c r="L37" s="159"/>
    </row>
    <row r="38" spans="2:12" s="10" customFormat="1" ht="15" customHeight="1" x14ac:dyDescent="0.2">
      <c r="B38" s="159" t="s">
        <v>1504</v>
      </c>
      <c r="C38" s="159"/>
      <c r="D38" s="159"/>
      <c r="E38" s="159"/>
      <c r="F38" s="159"/>
      <c r="G38" s="159"/>
      <c r="H38" s="159"/>
      <c r="I38" s="159"/>
      <c r="J38" s="159"/>
      <c r="K38" s="159"/>
      <c r="L38" s="159"/>
    </row>
    <row r="39" spans="2:12" s="10" customFormat="1" ht="15" customHeight="1" x14ac:dyDescent="0.2">
      <c r="B39" s="159" t="s">
        <v>1505</v>
      </c>
      <c r="C39" s="159"/>
      <c r="D39" s="159"/>
      <c r="E39" s="159"/>
      <c r="F39" s="159"/>
      <c r="G39" s="159"/>
      <c r="H39" s="159"/>
      <c r="I39" s="159"/>
      <c r="J39" s="159"/>
      <c r="K39" s="159"/>
      <c r="L39" s="159"/>
    </row>
    <row r="40" spans="2:12" s="10" customFormat="1" ht="15" customHeight="1" x14ac:dyDescent="0.2">
      <c r="B40" s="159" t="s">
        <v>1506</v>
      </c>
      <c r="C40" s="159"/>
      <c r="D40" s="159"/>
      <c r="E40" s="159"/>
      <c r="F40" s="159"/>
      <c r="G40" s="159"/>
      <c r="H40" s="159"/>
      <c r="I40" s="159"/>
      <c r="J40" s="159"/>
      <c r="K40" s="159"/>
      <c r="L40" s="159"/>
    </row>
    <row r="41" spans="2:12" s="10" customFormat="1" ht="15" customHeight="1" x14ac:dyDescent="0.2">
      <c r="B41" s="159"/>
      <c r="C41" s="159"/>
      <c r="D41" s="159"/>
      <c r="E41" s="159"/>
      <c r="F41" s="159"/>
      <c r="G41" s="159"/>
      <c r="H41" s="159"/>
      <c r="I41" s="159"/>
      <c r="J41" s="159"/>
      <c r="K41" s="159"/>
      <c r="L41" s="159"/>
    </row>
    <row r="42" spans="2:12" s="10" customFormat="1" ht="15" customHeight="1" x14ac:dyDescent="0.2">
      <c r="B42" s="1" t="s">
        <v>1436</v>
      </c>
      <c r="C42" s="159"/>
      <c r="D42" s="159"/>
      <c r="E42" s="159"/>
      <c r="F42" s="159"/>
      <c r="G42" s="159"/>
      <c r="H42" s="159"/>
      <c r="I42" s="159"/>
      <c r="J42" s="159"/>
      <c r="K42" s="159"/>
      <c r="L42" s="159"/>
    </row>
    <row r="43" spans="2:12" s="10" customFormat="1" ht="15" customHeight="1" x14ac:dyDescent="0.2">
      <c r="B43" s="159" t="s">
        <v>1507</v>
      </c>
      <c r="C43" s="159"/>
      <c r="D43" s="159"/>
      <c r="E43" s="159"/>
      <c r="F43" s="159"/>
      <c r="G43" s="159"/>
      <c r="H43" s="159"/>
      <c r="I43" s="2246" t="s">
        <v>506</v>
      </c>
      <c r="J43" s="2242"/>
      <c r="K43" s="2246" t="s">
        <v>498</v>
      </c>
      <c r="L43" s="2242"/>
    </row>
    <row r="44" spans="2:12" s="10" customFormat="1" ht="15" customHeight="1" x14ac:dyDescent="0.2">
      <c r="B44" s="159"/>
      <c r="C44" s="159"/>
      <c r="D44" s="159"/>
      <c r="E44" s="159"/>
      <c r="F44" s="159"/>
      <c r="G44" s="159"/>
      <c r="H44" s="159"/>
      <c r="I44" s="159"/>
      <c r="J44" s="159"/>
      <c r="K44" s="2440" t="str">
        <f>IF(AND(ISBLANK(J43),ISBLANK(L43))=TRUE,"Answer Missing"," ")</f>
        <v>Answer Missing</v>
      </c>
      <c r="L44" s="2625"/>
    </row>
    <row r="45" spans="2:12" s="10" customFormat="1" ht="15" customHeight="1" x14ac:dyDescent="0.2">
      <c r="B45" s="1" t="s">
        <v>1499</v>
      </c>
      <c r="C45" s="1"/>
      <c r="D45" s="159"/>
      <c r="E45" s="159"/>
      <c r="F45" s="159"/>
      <c r="G45" s="159"/>
      <c r="H45" s="159"/>
      <c r="I45" s="159"/>
      <c r="J45" s="159"/>
      <c r="K45" s="159"/>
      <c r="L45" s="159"/>
    </row>
    <row r="46" spans="2:12" s="10" customFormat="1" ht="15" customHeight="1" x14ac:dyDescent="0.2">
      <c r="B46" s="159" t="s">
        <v>1500</v>
      </c>
      <c r="C46" s="159"/>
      <c r="D46" s="159"/>
      <c r="E46" s="159"/>
      <c r="F46" s="159"/>
      <c r="G46" s="159"/>
      <c r="H46" s="159"/>
      <c r="I46" s="159"/>
      <c r="J46" s="159"/>
      <c r="K46" s="159"/>
      <c r="L46" s="159"/>
    </row>
    <row r="47" spans="2:12" s="10" customFormat="1" ht="15" customHeight="1" x14ac:dyDescent="0.2">
      <c r="B47" s="2560"/>
      <c r="C47" s="2560"/>
      <c r="D47" s="2560"/>
      <c r="E47" s="2560"/>
      <c r="F47" s="2560"/>
      <c r="G47" s="2560"/>
      <c r="H47" s="2560"/>
      <c r="I47" s="2560"/>
      <c r="J47" s="2560"/>
      <c r="K47" s="2560"/>
      <c r="L47" s="2560"/>
    </row>
    <row r="48" spans="2:12" s="10" customFormat="1" ht="15" customHeight="1" x14ac:dyDescent="0.2">
      <c r="B48" s="159"/>
      <c r="C48" s="159"/>
      <c r="D48" s="159"/>
      <c r="E48" s="159"/>
      <c r="F48" s="159"/>
      <c r="G48" s="159"/>
      <c r="H48" s="159"/>
      <c r="I48" s="159"/>
      <c r="J48" s="159"/>
      <c r="K48" s="159"/>
      <c r="L48" s="159"/>
    </row>
    <row r="49" spans="1:12" s="10" customFormat="1" ht="15" customHeight="1" x14ac:dyDescent="0.2">
      <c r="A49" s="159"/>
      <c r="B49" s="159"/>
      <c r="C49" s="159"/>
      <c r="D49" s="159"/>
      <c r="E49" s="159"/>
      <c r="F49" s="159"/>
      <c r="G49" s="159"/>
      <c r="H49" s="159"/>
      <c r="I49" s="159"/>
      <c r="J49" s="159"/>
      <c r="K49" s="159"/>
      <c r="L49" s="159"/>
    </row>
    <row r="50" spans="1:12" s="10" customFormat="1" ht="15" customHeight="1" x14ac:dyDescent="0.2">
      <c r="A50" s="159"/>
      <c r="B50" s="159"/>
      <c r="C50" s="159"/>
      <c r="D50" s="159"/>
      <c r="E50" s="159"/>
      <c r="F50" s="159"/>
      <c r="G50" s="159"/>
      <c r="H50" s="159"/>
      <c r="I50" s="159"/>
      <c r="J50" s="159"/>
      <c r="K50" s="159"/>
      <c r="L50" s="159"/>
    </row>
    <row r="51" spans="1:12" s="10" customFormat="1" ht="15" customHeight="1" x14ac:dyDescent="0.2">
      <c r="A51" s="1483" t="str">
        <f ca="1">MID(CELL("filename",A1),FIND("]",CELL("filename",A1))+1,256)</f>
        <v>355</v>
      </c>
      <c r="B51" s="445" t="s">
        <v>636</v>
      </c>
      <c r="C51" s="1483"/>
      <c r="D51" s="159"/>
      <c r="E51" s="159"/>
      <c r="F51" s="159"/>
      <c r="G51" s="159"/>
      <c r="H51" s="159"/>
      <c r="I51" s="159"/>
      <c r="J51" s="159"/>
      <c r="K51" s="159"/>
      <c r="L51" s="159"/>
    </row>
    <row r="52" spans="1:12" s="10" customFormat="1" ht="15" customHeight="1" x14ac:dyDescent="0.2">
      <c r="A52" s="1483" t="s">
        <v>380</v>
      </c>
      <c r="B52" s="445" t="str">
        <f ca="1">IF(ISNA(INDEX(ErrorTable,MATCH($A$51&amp;$A52&amp;FALSE,ErrorKey,0),6)),"",INDEX(ErrorTable,MATCH($A$51&amp;$A52&amp;FALSE,ErrorKey,0),6))</f>
        <v>All questions have not been answered.</v>
      </c>
      <c r="C52" s="1483"/>
      <c r="D52" s="159"/>
      <c r="E52" s="159"/>
      <c r="F52" s="159"/>
      <c r="G52" s="159"/>
      <c r="H52" s="159"/>
      <c r="I52" s="159"/>
      <c r="J52" s="159"/>
      <c r="K52" s="159"/>
      <c r="L52" s="159"/>
    </row>
    <row r="53" spans="1:12" s="10" customFormat="1" ht="15" customHeight="1" x14ac:dyDescent="0.2">
      <c r="A53" s="1483" t="s">
        <v>381</v>
      </c>
      <c r="B53" s="445" t="str">
        <f t="shared" ref="B53:B61" ca="1" si="0">IF(ISNA(INDEX(ErrorTable,MATCH($A$51&amp;$A53&amp;FALSE,ErrorKey,0),6)),"",INDEX(ErrorTable,MATCH($A$51&amp;$A53&amp;FALSE,ErrorKey,0),6))</f>
        <v/>
      </c>
      <c r="C53" s="1483"/>
      <c r="D53" s="159"/>
      <c r="E53" s="159"/>
      <c r="F53" s="159"/>
      <c r="G53" s="159"/>
      <c r="H53" s="159"/>
      <c r="I53" s="159"/>
      <c r="J53" s="159"/>
      <c r="K53" s="159"/>
      <c r="L53" s="159"/>
    </row>
    <row r="54" spans="1:12" s="10" customFormat="1" ht="15" customHeight="1" x14ac:dyDescent="0.2">
      <c r="A54" s="1483" t="s">
        <v>382</v>
      </c>
      <c r="B54" s="445" t="str">
        <f t="shared" ca="1" si="0"/>
        <v/>
      </c>
      <c r="C54" s="1483"/>
      <c r="D54" s="159"/>
      <c r="E54" s="159"/>
      <c r="F54" s="159"/>
      <c r="G54" s="159"/>
      <c r="H54" s="159"/>
      <c r="I54" s="159"/>
      <c r="J54" s="159"/>
      <c r="K54" s="159"/>
      <c r="L54" s="159"/>
    </row>
    <row r="55" spans="1:12" s="10" customFormat="1" ht="15" customHeight="1" x14ac:dyDescent="0.2">
      <c r="A55" s="1483" t="s">
        <v>383</v>
      </c>
      <c r="B55" s="445" t="str">
        <f t="shared" ca="1" si="0"/>
        <v/>
      </c>
      <c r="C55" s="1483"/>
      <c r="D55" s="159"/>
      <c r="E55" s="159"/>
      <c r="F55" s="159"/>
      <c r="G55" s="159"/>
      <c r="H55" s="159"/>
      <c r="I55" s="159"/>
      <c r="J55" s="159"/>
      <c r="K55" s="159"/>
      <c r="L55" s="159"/>
    </row>
    <row r="56" spans="1:12" s="10" customFormat="1" ht="15" customHeight="1" x14ac:dyDescent="0.2">
      <c r="A56" s="1483" t="s">
        <v>384</v>
      </c>
      <c r="B56" s="445" t="str">
        <f t="shared" ca="1" si="0"/>
        <v/>
      </c>
      <c r="C56" s="1483"/>
      <c r="D56" s="159"/>
      <c r="E56" s="159"/>
      <c r="F56" s="159"/>
      <c r="G56" s="159"/>
      <c r="H56" s="159"/>
      <c r="I56" s="159"/>
      <c r="J56" s="159"/>
      <c r="K56" s="159"/>
      <c r="L56" s="159"/>
    </row>
    <row r="57" spans="1:12" s="10" customFormat="1" ht="15" customHeight="1" x14ac:dyDescent="0.2">
      <c r="A57" s="1483" t="s">
        <v>385</v>
      </c>
      <c r="B57" s="445" t="str">
        <f t="shared" ca="1" si="0"/>
        <v/>
      </c>
      <c r="C57" s="1483"/>
      <c r="D57" s="159"/>
      <c r="E57" s="159"/>
      <c r="F57" s="159"/>
      <c r="G57" s="159"/>
      <c r="H57" s="159"/>
      <c r="I57" s="159"/>
      <c r="J57" s="159"/>
      <c r="K57" s="159"/>
      <c r="L57" s="159"/>
    </row>
    <row r="58" spans="1:12" s="10" customFormat="1" ht="15" customHeight="1" x14ac:dyDescent="0.2">
      <c r="A58" s="1483" t="s">
        <v>386</v>
      </c>
      <c r="B58" s="445" t="str">
        <f t="shared" ca="1" si="0"/>
        <v/>
      </c>
      <c r="C58" s="1483"/>
      <c r="D58" s="159"/>
      <c r="E58" s="159"/>
      <c r="F58" s="159"/>
      <c r="G58" s="159"/>
      <c r="H58" s="159"/>
      <c r="I58" s="159"/>
      <c r="J58" s="159"/>
      <c r="K58" s="159"/>
      <c r="L58" s="159"/>
    </row>
    <row r="59" spans="1:12" s="10" customFormat="1" ht="15" customHeight="1" x14ac:dyDescent="0.2">
      <c r="A59" s="1483" t="s">
        <v>387</v>
      </c>
      <c r="B59" s="445" t="str">
        <f t="shared" ca="1" si="0"/>
        <v/>
      </c>
      <c r="C59" s="1483"/>
      <c r="D59" s="159"/>
      <c r="E59" s="159"/>
      <c r="F59" s="159"/>
      <c r="G59" s="159"/>
      <c r="H59" s="159"/>
      <c r="I59" s="159"/>
      <c r="J59" s="159"/>
      <c r="K59" s="159"/>
      <c r="L59" s="159"/>
    </row>
    <row r="60" spans="1:12" s="10" customFormat="1" ht="15" customHeight="1" x14ac:dyDescent="0.2">
      <c r="A60" s="1483" t="s">
        <v>388</v>
      </c>
      <c r="B60" s="445" t="str">
        <f t="shared" ca="1" si="0"/>
        <v/>
      </c>
      <c r="C60" s="1483"/>
      <c r="D60" s="159"/>
      <c r="E60" s="159"/>
      <c r="F60" s="159"/>
      <c r="G60" s="159"/>
      <c r="H60" s="159"/>
      <c r="I60" s="159"/>
      <c r="J60" s="159"/>
      <c r="K60" s="159"/>
      <c r="L60" s="159"/>
    </row>
    <row r="61" spans="1:12" s="10" customFormat="1" ht="15" customHeight="1" x14ac:dyDescent="0.2">
      <c r="A61" s="1483" t="s">
        <v>389</v>
      </c>
      <c r="B61" s="445" t="str">
        <f t="shared" ca="1" si="0"/>
        <v/>
      </c>
      <c r="C61" s="1483"/>
      <c r="D61"/>
      <c r="E61"/>
      <c r="F61"/>
      <c r="G61"/>
      <c r="H61"/>
      <c r="I61"/>
      <c r="J61"/>
      <c r="K61"/>
      <c r="L61"/>
    </row>
    <row r="62" spans="1:12" s="10" customFormat="1" ht="15" customHeight="1" x14ac:dyDescent="0.2">
      <c r="A62"/>
      <c r="B62"/>
      <c r="C62"/>
      <c r="D62"/>
      <c r="E62"/>
      <c r="F62"/>
      <c r="G62"/>
      <c r="H62"/>
      <c r="I62"/>
      <c r="J62"/>
      <c r="K62"/>
      <c r="L62"/>
    </row>
    <row r="63" spans="1:12" s="10" customFormat="1" ht="15" customHeight="1" x14ac:dyDescent="0.2">
      <c r="A63"/>
      <c r="B63"/>
      <c r="C63"/>
      <c r="D63"/>
      <c r="E63"/>
      <c r="F63"/>
      <c r="G63"/>
      <c r="H63"/>
      <c r="I63"/>
      <c r="J63"/>
      <c r="K63"/>
      <c r="L63"/>
    </row>
    <row r="64" spans="1:12" s="10" customFormat="1" ht="15" customHeight="1" x14ac:dyDescent="0.2">
      <c r="A64"/>
      <c r="B64"/>
      <c r="C64"/>
      <c r="D64"/>
      <c r="E64"/>
      <c r="F64"/>
      <c r="G64"/>
      <c r="H64"/>
      <c r="I64"/>
      <c r="J64"/>
      <c r="K64"/>
      <c r="L64"/>
    </row>
    <row r="65" spans="1:12" s="10" customFormat="1" ht="15" customHeight="1" x14ac:dyDescent="0.2">
      <c r="A65"/>
      <c r="B65"/>
      <c r="C65"/>
      <c r="D65"/>
      <c r="E65"/>
      <c r="F65"/>
      <c r="G65"/>
      <c r="H65"/>
      <c r="I65"/>
      <c r="J65"/>
      <c r="K65"/>
      <c r="L65"/>
    </row>
    <row r="66" spans="1:12" ht="16.350000000000001" customHeight="1" x14ac:dyDescent="0.2"/>
    <row r="67" spans="1:12" ht="6" customHeight="1" x14ac:dyDescent="0.2"/>
    <row r="69" spans="1:12" ht="10.35" customHeight="1" x14ac:dyDescent="0.2"/>
    <row r="72" spans="1:12" ht="6" customHeight="1" x14ac:dyDescent="0.2"/>
    <row r="73" spans="1:12" ht="12.75" customHeight="1" x14ac:dyDescent="0.2"/>
    <row r="77" spans="1:12" ht="10.35" customHeight="1" x14ac:dyDescent="0.2"/>
    <row r="78" spans="1:12" ht="12.75" customHeight="1" x14ac:dyDescent="0.2"/>
    <row r="80" spans="1:12" ht="16.350000000000001" customHeight="1" x14ac:dyDescent="0.2"/>
    <row r="81" ht="6" customHeight="1" x14ac:dyDescent="0.2"/>
    <row r="83" ht="6" customHeight="1" x14ac:dyDescent="0.2"/>
    <row r="84" ht="10.35" customHeight="1" x14ac:dyDescent="0.2"/>
    <row r="85" ht="10.35" customHeight="1" x14ac:dyDescent="0.2"/>
    <row r="86" ht="10.35" customHeight="1" x14ac:dyDescent="0.2"/>
    <row r="87" ht="10.35" customHeight="1" x14ac:dyDescent="0.2"/>
    <row r="88" ht="10.35" customHeight="1" x14ac:dyDescent="0.2"/>
    <row r="89" ht="10.35" customHeight="1" x14ac:dyDescent="0.2"/>
    <row r="90" ht="10.35" customHeight="1" x14ac:dyDescent="0.2"/>
    <row r="91" ht="10.35" customHeight="1" x14ac:dyDescent="0.2"/>
    <row r="92" ht="10.35" customHeight="1" x14ac:dyDescent="0.2"/>
    <row r="93" ht="6" customHeight="1" x14ac:dyDescent="0.2"/>
    <row r="94" ht="10.35" customHeight="1" x14ac:dyDescent="0.2"/>
    <row r="95" ht="10.35" customHeight="1" x14ac:dyDescent="0.2"/>
    <row r="96" ht="10.35" customHeight="1" x14ac:dyDescent="0.2"/>
    <row r="97" ht="10.35" customHeight="1" x14ac:dyDescent="0.2"/>
    <row r="98" ht="10.35" customHeight="1" x14ac:dyDescent="0.2"/>
    <row r="99" ht="6" customHeight="1" x14ac:dyDescent="0.2"/>
    <row r="100" ht="10.35" customHeight="1" x14ac:dyDescent="0.2"/>
    <row r="101" ht="6" customHeight="1" x14ac:dyDescent="0.2"/>
    <row r="104" ht="10.35" customHeight="1" x14ac:dyDescent="0.2"/>
  </sheetData>
  <sheetProtection algorithmName="SHA-512" hashValue="It5g6nDyNpuViLwusjorWOYcJGxZTb5RXIjl2NCepxna1C5ur5MEuXGM69MkqeRH9Igs8RJuMa+o5U5ARl1VdQ==" saltValue="2tlYoSctE7ewavnJkJAg+g==" spinCount="100000" sheet="1" objects="1" scenarios="1" autoFilter="0"/>
  <customSheetViews>
    <customSheetView guid="{9FCFC836-1CA5-48BF-958D-24D2EA94B219}" showGridLines="0" fitToPage="1" hiddenColumns="1" topLeftCell="B1">
      <selection activeCell="B12" sqref="B12"/>
      <rowBreaks count="1" manualBreakCount="1">
        <brk id="47" max="16383" man="1"/>
      </rowBreaks>
      <pageMargins left="0" right="0" top="0" bottom="0" header="0" footer="0"/>
      <pageSetup orientation="portrait" r:id="rId1"/>
      <headerFooter alignWithMargins="0">
        <oddFooter>&amp;R&amp;A</oddFooter>
      </headerFooter>
    </customSheetView>
    <customSheetView guid="{BEA4BE86-04D1-4C96-9358-7A260B9D2B2D}" showGridLines="0" fitToPage="1" showRuler="0">
      <selection sqref="A1:K1"/>
      <rowBreaks count="1" manualBreakCount="1">
        <brk id="46" max="16383" man="1"/>
      </rowBreaks>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K1"/>
      <rowBreaks count="1" manualBreakCount="1">
        <brk id="46" max="16383" man="1"/>
      </rowBreaks>
      <pageMargins left="0" right="0" top="0" bottom="0" header="0" footer="0"/>
      <pageSetup orientation="portrait" r:id="rId3"/>
      <headerFooter alignWithMargins="0">
        <oddFooter>&amp;R&amp;A</oddFooter>
      </headerFooter>
    </customSheetView>
    <customSheetView guid="{B08879A4-635B-4C39-9937-AC7883D562FC}" showGridLines="0" fitToPage="1" hiddenColumns="1" topLeftCell="B1">
      <selection activeCell="B12" sqref="B12"/>
      <rowBreaks count="1" manualBreakCount="1">
        <brk id="47" max="16383" man="1"/>
      </rowBreaks>
      <pageMargins left="0" right="0" top="0" bottom="0" header="0" footer="0"/>
      <pageSetup orientation="portrait" r:id="rId4"/>
      <headerFooter alignWithMargins="0">
        <oddFooter>&amp;R&amp;A</oddFooter>
      </headerFooter>
    </customSheetView>
  </customSheetViews>
  <mergeCells count="13">
    <mergeCell ref="M1:M3"/>
    <mergeCell ref="G29:I29"/>
    <mergeCell ref="K44:L44"/>
    <mergeCell ref="B47:L47"/>
    <mergeCell ref="B1:L1"/>
    <mergeCell ref="B2:L2"/>
    <mergeCell ref="B3:L3"/>
    <mergeCell ref="J5:L5"/>
    <mergeCell ref="J6:L6"/>
    <mergeCell ref="J7:L7"/>
    <mergeCell ref="D5:E5"/>
    <mergeCell ref="D7:E7"/>
    <mergeCell ref="J8:L8"/>
  </mergeCells>
  <phoneticPr fontId="16" type="noConversion"/>
  <conditionalFormatting sqref="G29:I29">
    <cfRule type="containsText" dxfId="110" priority="1" stopIfTrue="1" operator="containsText" text="Answer Missing">
      <formula>NOT(ISERROR(SEARCH("Answer Missing",G29)))</formula>
    </cfRule>
  </conditionalFormatting>
  <conditionalFormatting sqref="K44:L44">
    <cfRule type="containsText" dxfId="109" priority="2" stopIfTrue="1" operator="containsText" text="Answer Missing">
      <formula>NOT(ISERROR(SEARCH("Answer Missing",K44)))</formula>
    </cfRule>
  </conditionalFormatting>
  <conditionalFormatting sqref="M1:M3">
    <cfRule type="cellIs" dxfId="108" priority="3" stopIfTrue="1" operator="equal">
      <formula>"na"</formula>
    </cfRule>
  </conditionalFormatting>
  <hyperlinks>
    <hyperlink ref="B1:L1" location="Index!A1" display="Index!A1" xr:uid="{00000000-0004-0000-1900-000000000000}"/>
  </hyperlinks>
  <pageMargins left="0.6" right="0.6" top="0.5" bottom="0.5" header="0.3" footer="0.3"/>
  <pageSetup orientation="portrait" r:id="rId5"/>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pageSetUpPr fitToPage="1"/>
  </sheetPr>
  <dimension ref="A1:L39"/>
  <sheetViews>
    <sheetView showGridLines="0" zoomScaleNormal="100" zoomScaleSheetLayoutView="100" workbookViewId="0">
      <selection activeCell="A2" sqref="A2:K2"/>
    </sheetView>
  </sheetViews>
  <sheetFormatPr defaultRowHeight="12.75" x14ac:dyDescent="0.2"/>
  <cols>
    <col min="1" max="1" width="9.42578125" customWidth="1"/>
    <col min="2" max="2" width="6.42578125" customWidth="1"/>
    <col min="3" max="3" width="10.5703125" customWidth="1"/>
    <col min="4" max="4" width="8" customWidth="1"/>
    <col min="5" max="5" width="6.5703125" customWidth="1"/>
    <col min="6" max="6" width="22.5703125" customWidth="1"/>
    <col min="7" max="7" width="2.42578125" customWidth="1"/>
    <col min="8" max="8" width="20" customWidth="1"/>
    <col min="9" max="9" width="2.42578125" customWidth="1"/>
    <col min="10" max="10" width="16.5703125" customWidth="1"/>
    <col min="11" max="11" width="2.42578125" customWidth="1"/>
    <col min="12" max="12" width="22.5703125" customWidth="1"/>
  </cols>
  <sheetData>
    <row r="1" spans="1:12" ht="15.75" x14ac:dyDescent="0.25">
      <c r="A1" s="2455" t="str">
        <f>+Index!$A$1</f>
        <v xml:space="preserve">                                                               Office of the State Controller                                                                </v>
      </c>
      <c r="B1" s="2455"/>
      <c r="C1" s="2455"/>
      <c r="D1" s="2455"/>
      <c r="E1" s="2455"/>
      <c r="F1" s="2455"/>
      <c r="G1" s="2455"/>
      <c r="H1" s="2455"/>
      <c r="I1" s="2455"/>
      <c r="J1" s="2455"/>
      <c r="K1" s="2455"/>
      <c r="L1" s="2456" t="str">
        <f>IF(Index!$B$50="na","NA","")</f>
        <v/>
      </c>
    </row>
    <row r="2" spans="1:12" ht="15.75" x14ac:dyDescent="0.25">
      <c r="A2" s="2439" t="str">
        <f>+Index!$A$2</f>
        <v>2023 ACFR Worksheets</v>
      </c>
      <c r="B2" s="2383"/>
      <c r="C2" s="2383"/>
      <c r="D2" s="2383"/>
      <c r="E2" s="2383"/>
      <c r="F2" s="2383"/>
      <c r="G2" s="2383"/>
      <c r="H2" s="2383"/>
      <c r="I2" s="2383"/>
      <c r="J2" s="2383"/>
      <c r="K2" s="2383"/>
      <c r="L2" s="2456"/>
    </row>
    <row r="3" spans="1:12" ht="15.75" x14ac:dyDescent="0.25">
      <c r="A3" s="2439" t="s">
        <v>1508</v>
      </c>
      <c r="B3" s="2383"/>
      <c r="C3" s="2383"/>
      <c r="D3" s="2383"/>
      <c r="E3" s="2383"/>
      <c r="F3" s="2383"/>
      <c r="G3" s="2383"/>
      <c r="H3" s="2383"/>
      <c r="I3" s="2383"/>
      <c r="J3" s="2383"/>
      <c r="K3" s="2383"/>
      <c r="L3" s="2456"/>
    </row>
    <row r="4" spans="1:12" x14ac:dyDescent="0.2">
      <c r="A4" s="159"/>
      <c r="B4" s="159"/>
      <c r="C4" s="159"/>
      <c r="D4" s="159"/>
      <c r="E4" s="159"/>
      <c r="F4" s="159"/>
      <c r="G4" s="159"/>
      <c r="H4" s="159"/>
      <c r="I4" s="2627" t="s">
        <v>494</v>
      </c>
      <c r="J4" s="2538"/>
      <c r="K4" s="2538"/>
      <c r="L4" s="2538"/>
    </row>
    <row r="5" spans="1:12" x14ac:dyDescent="0.2">
      <c r="A5" s="1808"/>
      <c r="B5" s="85"/>
      <c r="C5" s="2618"/>
      <c r="D5" s="2618"/>
      <c r="E5" s="2272"/>
      <c r="F5" s="2272"/>
      <c r="G5" s="159"/>
      <c r="H5" s="1809" t="s">
        <v>317</v>
      </c>
      <c r="J5" s="2619" t="str">
        <f>+Index!$E$10</f>
        <v>01</v>
      </c>
      <c r="K5" s="2565"/>
      <c r="L5" s="2565"/>
    </row>
    <row r="6" spans="1:12" x14ac:dyDescent="0.2">
      <c r="A6" s="159"/>
      <c r="B6" s="159"/>
      <c r="C6" s="159"/>
      <c r="D6" s="159"/>
      <c r="E6" s="159"/>
      <c r="F6" s="159"/>
      <c r="G6" s="159"/>
      <c r="H6" s="1809" t="s">
        <v>318</v>
      </c>
      <c r="J6" s="2628" t="str">
        <f>+Index!$E$11</f>
        <v>North Carolina General Assembly</v>
      </c>
      <c r="K6" s="2586"/>
      <c r="L6" s="2586"/>
    </row>
    <row r="7" spans="1:12" x14ac:dyDescent="0.2">
      <c r="A7" s="1808" t="s">
        <v>568</v>
      </c>
      <c r="B7" s="85"/>
      <c r="C7" s="2629"/>
      <c r="D7" s="2629"/>
      <c r="E7" s="1808"/>
      <c r="F7" s="1808"/>
      <c r="G7" s="159"/>
      <c r="H7" s="1809" t="s">
        <v>319</v>
      </c>
      <c r="J7" s="2630" t="str">
        <f>CONCATENATE(Index!$E$12, " ", Index!$E$14)</f>
        <v xml:space="preserve"> </v>
      </c>
      <c r="K7" s="2586"/>
      <c r="L7" s="2586"/>
    </row>
    <row r="8" spans="1:12" x14ac:dyDescent="0.2">
      <c r="A8" s="1808"/>
      <c r="B8" s="85"/>
      <c r="C8" s="2272"/>
      <c r="D8" s="2272"/>
      <c r="E8" s="1808"/>
      <c r="F8" s="1808"/>
      <c r="G8" s="159"/>
      <c r="H8" s="1809" t="s">
        <v>71</v>
      </c>
      <c r="J8" s="2631">
        <f>+Index!$E$13</f>
        <v>0</v>
      </c>
      <c r="K8" s="2565"/>
      <c r="L8" s="2565"/>
    </row>
    <row r="9" spans="1:12" ht="13.5" thickBot="1" x14ac:dyDescent="0.25">
      <c r="A9" s="300"/>
      <c r="B9" s="300"/>
      <c r="C9" s="300"/>
      <c r="D9" s="300"/>
      <c r="E9" s="300"/>
      <c r="F9" s="300"/>
      <c r="G9" s="1826"/>
      <c r="H9" s="300"/>
      <c r="I9" s="300"/>
      <c r="J9" s="300"/>
      <c r="K9" s="300"/>
      <c r="L9" s="300"/>
    </row>
    <row r="10" spans="1:12" ht="6" customHeight="1" x14ac:dyDescent="0.2">
      <c r="A10" s="85"/>
      <c r="B10" s="85"/>
      <c r="C10" s="85"/>
      <c r="D10" s="85"/>
      <c r="E10" s="85"/>
      <c r="F10" s="85"/>
      <c r="G10" s="159"/>
      <c r="H10" s="85"/>
      <c r="I10" s="85"/>
      <c r="J10" s="85"/>
      <c r="K10" s="85"/>
      <c r="L10" s="159"/>
    </row>
    <row r="11" spans="1:12" ht="14.1" customHeight="1" x14ac:dyDescent="0.2">
      <c r="A11" s="159" t="s">
        <v>1509</v>
      </c>
    </row>
    <row r="12" spans="1:12" ht="14.1" customHeight="1" x14ac:dyDescent="0.2">
      <c r="A12" s="159" t="s">
        <v>1510</v>
      </c>
    </row>
    <row r="13" spans="1:12" ht="14.1" customHeight="1" x14ac:dyDescent="0.2">
      <c r="A13" s="159" t="s">
        <v>1511</v>
      </c>
    </row>
    <row r="14" spans="1:12" ht="14.1" customHeight="1" x14ac:dyDescent="0.2">
      <c r="A14" s="159" t="s">
        <v>1512</v>
      </c>
    </row>
    <row r="15" spans="1:12" ht="10.35" customHeight="1" x14ac:dyDescent="0.2"/>
    <row r="16" spans="1:12" ht="14.1" customHeight="1" x14ac:dyDescent="0.2">
      <c r="A16" t="str">
        <f>"-    Resources restricted or designated for the acquisition/construction of the government's own capital assets"</f>
        <v>-    Resources restricted or designated for the acquisition/construction of the government's own capital assets</v>
      </c>
    </row>
    <row r="17" spans="1:12" ht="14.1" customHeight="1" x14ac:dyDescent="0.2">
      <c r="A17" t="str">
        <f>"-    Resources legally segregated for the payment of principal and interest only (as required by debt covenants) and"</f>
        <v>-    Resources legally segregated for the payment of principal and interest only (as required by debt covenants) and</v>
      </c>
    </row>
    <row r="18" spans="1:12" ht="14.1" customHeight="1" x14ac:dyDescent="0.2">
      <c r="A18" s="159" t="s">
        <v>1513</v>
      </c>
    </row>
    <row r="19" spans="1:12" ht="14.1" customHeight="1" x14ac:dyDescent="0.2">
      <c r="A19" t="str">
        <f>"-    Temporarily  invested debt proceeds"</f>
        <v>-    Temporarily  invested debt proceeds</v>
      </c>
      <c r="J19" s="692"/>
    </row>
    <row r="20" spans="1:12" ht="14.1" customHeight="1" x14ac:dyDescent="0.2">
      <c r="A20" t="str">
        <f>"-    Nonexpendable resources of permanent funds"</f>
        <v>-    Nonexpendable resources of permanent funds</v>
      </c>
    </row>
    <row r="21" spans="1:12" ht="10.35" customHeight="1" x14ac:dyDescent="0.2"/>
    <row r="22" spans="1:12" ht="14.1" customHeight="1" x14ac:dyDescent="0.2">
      <c r="A22" s="11" t="s">
        <v>1514</v>
      </c>
      <c r="H22" s="532" t="s">
        <v>1515</v>
      </c>
      <c r="J22" s="692" t="s">
        <v>1516</v>
      </c>
    </row>
    <row r="23" spans="1:12" ht="6" customHeight="1" thickBot="1" x14ac:dyDescent="0.25">
      <c r="A23" s="471"/>
      <c r="B23" s="472"/>
      <c r="C23" s="472"/>
      <c r="D23" s="472"/>
      <c r="E23" s="472"/>
      <c r="F23" s="472"/>
      <c r="G23" s="472"/>
      <c r="H23" s="472"/>
      <c r="I23" s="472"/>
      <c r="J23" s="472"/>
      <c r="K23" s="472"/>
      <c r="L23" s="472"/>
    </row>
    <row r="24" spans="1:12" ht="8.1" customHeight="1" x14ac:dyDescent="0.2"/>
    <row r="25" spans="1:12" ht="15" customHeight="1" x14ac:dyDescent="0.2">
      <c r="A25" s="376" t="s">
        <v>1517</v>
      </c>
      <c r="B25" s="187"/>
      <c r="C25" s="187"/>
      <c r="D25" s="187"/>
      <c r="E25" s="187"/>
      <c r="F25" s="187"/>
      <c r="G25" s="187"/>
      <c r="H25" s="187"/>
      <c r="I25" s="187"/>
      <c r="J25" s="187"/>
      <c r="K25" s="187"/>
      <c r="L25" s="187"/>
    </row>
    <row r="26" spans="1:12" ht="15" customHeight="1" x14ac:dyDescent="0.2">
      <c r="A26" s="376" t="s">
        <v>1518</v>
      </c>
      <c r="B26" s="187"/>
      <c r="C26" s="187"/>
      <c r="D26" s="187"/>
      <c r="E26" s="187"/>
      <c r="F26" s="187"/>
      <c r="G26" s="187"/>
      <c r="H26" s="187"/>
      <c r="I26" s="187"/>
      <c r="J26" s="187"/>
      <c r="K26" s="187"/>
      <c r="L26" s="187"/>
    </row>
    <row r="27" spans="1:12" ht="12.75" customHeight="1" x14ac:dyDescent="0.2">
      <c r="A27" s="1237" t="s">
        <v>1519</v>
      </c>
      <c r="B27" s="1238"/>
      <c r="C27" s="1238"/>
      <c r="D27" s="1238"/>
      <c r="E27" s="1238"/>
      <c r="F27" s="1238"/>
      <c r="G27" s="1238"/>
      <c r="H27" s="1238"/>
      <c r="I27" s="1238"/>
      <c r="J27" s="1238"/>
    </row>
    <row r="28" spans="1:12" ht="15" customHeight="1" x14ac:dyDescent="0.2">
      <c r="A28" s="505" t="s">
        <v>1520</v>
      </c>
    </row>
    <row r="29" spans="1:12" ht="8.1" customHeight="1" x14ac:dyDescent="0.2">
      <c r="A29" s="473"/>
    </row>
    <row r="30" spans="1:12" ht="15" customHeight="1" x14ac:dyDescent="0.2">
      <c r="A30" s="473" t="s">
        <v>1521</v>
      </c>
    </row>
    <row r="31" spans="1:12" ht="8.1" customHeight="1" x14ac:dyDescent="0.2">
      <c r="A31" s="473"/>
    </row>
    <row r="32" spans="1:12" ht="39" customHeight="1" x14ac:dyDescent="0.2">
      <c r="F32" s="358" t="s">
        <v>1522</v>
      </c>
      <c r="H32" s="358" t="s">
        <v>1523</v>
      </c>
      <c r="J32" s="358" t="s">
        <v>1524</v>
      </c>
      <c r="L32" s="358" t="s">
        <v>1525</v>
      </c>
    </row>
    <row r="33" spans="1:12" ht="18" customHeight="1" x14ac:dyDescent="0.2">
      <c r="A33" s="1" t="s">
        <v>1526</v>
      </c>
      <c r="F33" s="485"/>
      <c r="H33" s="485"/>
      <c r="J33" s="485"/>
      <c r="L33" s="485"/>
    </row>
    <row r="34" spans="1:12" ht="18" customHeight="1" x14ac:dyDescent="0.2">
      <c r="A34" s="1" t="s">
        <v>1527</v>
      </c>
      <c r="F34" s="485"/>
      <c r="H34" s="485"/>
      <c r="J34" s="485"/>
      <c r="L34" s="485"/>
    </row>
    <row r="35" spans="1:12" ht="18" customHeight="1" x14ac:dyDescent="0.2">
      <c r="A35" s="1" t="s">
        <v>1528</v>
      </c>
      <c r="F35" s="485"/>
      <c r="H35" s="485"/>
      <c r="J35" s="485"/>
      <c r="L35" s="485"/>
    </row>
    <row r="36" spans="1:12" ht="18" customHeight="1" x14ac:dyDescent="0.2">
      <c r="A36" s="1" t="s">
        <v>1529</v>
      </c>
      <c r="F36" s="485"/>
      <c r="H36" s="485"/>
      <c r="J36" s="485"/>
      <c r="L36" s="485"/>
    </row>
    <row r="37" spans="1:12" ht="18" customHeight="1" x14ac:dyDescent="0.2">
      <c r="A37" s="1" t="s">
        <v>1530</v>
      </c>
      <c r="F37" s="485"/>
      <c r="H37" s="485"/>
      <c r="J37" s="485"/>
      <c r="L37" s="485"/>
    </row>
    <row r="38" spans="1:12" ht="18" customHeight="1" x14ac:dyDescent="0.2">
      <c r="A38" s="1" t="s">
        <v>1531</v>
      </c>
    </row>
    <row r="39" spans="1:12" ht="15" customHeight="1" x14ac:dyDescent="0.2">
      <c r="A39" s="2251"/>
      <c r="B39" s="2210"/>
      <c r="C39" s="2210"/>
      <c r="D39" s="2210"/>
      <c r="F39" s="485"/>
      <c r="H39" s="485"/>
      <c r="J39" s="485"/>
      <c r="L39" s="485"/>
    </row>
  </sheetData>
  <sheetProtection algorithmName="SHA-512" hashValue="OmBpInnSXaD9rbreIprFJtUHbr4Y80Q4OxDcabopcSVjVLB5XVt2NJ9BVeUtLmrggC3j/QkWLJGG0Bt0ZUyVDQ==" saltValue="5S4jdoOR2d5aXyb66KVM9Q==" spinCount="100000" sheet="1" objects="1" scenarios="1" autoFilter="0"/>
  <customSheetViews>
    <customSheetView guid="{9FCFC836-1CA5-48BF-958D-24D2EA94B219}" showGridLines="0">
      <selection sqref="A1:K1"/>
      <pageMargins left="0" right="0" top="0" bottom="0" header="0" footer="0"/>
      <pageSetup orientation="landscape" r:id="rId1"/>
      <headerFooter>
        <oddFooter>&amp;R&amp;A</oddFooter>
      </headerFooter>
    </customSheetView>
    <customSheetView guid="{B08879A4-635B-4C39-9937-AC7883D562FC}" showGridLines="0">
      <selection sqref="A1:K1"/>
      <pageMargins left="0" right="0" top="0" bottom="0" header="0" footer="0"/>
      <pageSetup orientation="landscape" r:id="rId2"/>
      <headerFooter>
        <oddFooter>&amp;R&amp;A</oddFooter>
      </headerFooter>
    </customSheetView>
  </customSheetViews>
  <mergeCells count="11">
    <mergeCell ref="J5:L5"/>
    <mergeCell ref="J6:L6"/>
    <mergeCell ref="C7:D7"/>
    <mergeCell ref="J7:L7"/>
    <mergeCell ref="J8:L8"/>
    <mergeCell ref="C5:D5"/>
    <mergeCell ref="A1:K1"/>
    <mergeCell ref="L1:L3"/>
    <mergeCell ref="A2:K2"/>
    <mergeCell ref="A3:K3"/>
    <mergeCell ref="I4:L4"/>
  </mergeCells>
  <conditionalFormatting sqref="L1:L3">
    <cfRule type="cellIs" dxfId="107" priority="3" stopIfTrue="1" operator="equal">
      <formula>"na"</formula>
    </cfRule>
  </conditionalFormatting>
  <hyperlinks>
    <hyperlink ref="A1:K1" location="Index!A1" display="Index!A1" xr:uid="{00000000-0004-0000-1A00-000000000000}"/>
    <hyperlink ref="J22" r:id="rId3" xr:uid="{00000000-0004-0000-1A00-000001000000}"/>
  </hyperlinks>
  <pageMargins left="0.6" right="0.6" top="0.5" bottom="0.5" header="0.3" footer="0.3"/>
  <pageSetup scale="98" orientation="landscape"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pageSetUpPr fitToPage="1"/>
  </sheetPr>
  <dimension ref="A1:O21"/>
  <sheetViews>
    <sheetView showGridLines="0" zoomScaleNormal="100" zoomScaleSheetLayoutView="100" workbookViewId="0">
      <selection activeCell="A2" sqref="A2:I2"/>
    </sheetView>
  </sheetViews>
  <sheetFormatPr defaultColWidth="9.42578125" defaultRowHeight="10.5" x14ac:dyDescent="0.15"/>
  <cols>
    <col min="1" max="1" width="21.42578125" style="17" customWidth="1"/>
    <col min="2" max="2" width="1.42578125" style="17" customWidth="1"/>
    <col min="3" max="3" width="19.5703125" style="17" bestFit="1" customWidth="1"/>
    <col min="4" max="4" width="1.5703125" style="17" customWidth="1"/>
    <col min="5" max="5" width="19.5703125" style="17" customWidth="1"/>
    <col min="6" max="6" width="1.5703125" style="17" customWidth="1"/>
    <col min="7" max="7" width="20" style="17" customWidth="1"/>
    <col min="8" max="8" width="4" style="17" customWidth="1"/>
    <col min="9" max="9" width="17.5703125" style="17" customWidth="1"/>
    <col min="10" max="10" width="4.5703125" style="17" customWidth="1"/>
    <col min="11" max="11" width="3.42578125" style="17" customWidth="1"/>
    <col min="12" max="14" width="1.5703125" style="17" customWidth="1"/>
    <col min="15" max="15" width="4.5703125" style="17" customWidth="1"/>
    <col min="16" max="17" width="1.5703125" style="17" customWidth="1"/>
    <col min="18" max="16384" width="9.42578125" style="17"/>
  </cols>
  <sheetData>
    <row r="1" spans="1:15" s="16" customFormat="1" ht="25.15" customHeight="1" x14ac:dyDescent="0.25">
      <c r="A1" s="2455" t="str">
        <f>+Index!$A$1</f>
        <v xml:space="preserve">                                                               Office of the State Controller                                                                </v>
      </c>
      <c r="B1" s="2455"/>
      <c r="C1" s="2455"/>
      <c r="D1" s="2455"/>
      <c r="E1" s="2455"/>
      <c r="F1" s="2455"/>
      <c r="G1" s="2455"/>
      <c r="H1" s="2455"/>
      <c r="I1" s="2455"/>
      <c r="J1" s="881" t="str">
        <f>IF(Index!$B$51="na","NA","")</f>
        <v/>
      </c>
    </row>
    <row r="2" spans="1:15" s="16" customFormat="1" ht="15" customHeight="1" x14ac:dyDescent="0.25">
      <c r="A2" s="2633" t="str">
        <f>+Index!$A$2</f>
        <v>2023 ACFR Worksheets</v>
      </c>
      <c r="B2" s="2633"/>
      <c r="C2" s="2633"/>
      <c r="D2" s="2633"/>
      <c r="E2" s="2633"/>
      <c r="F2" s="2633"/>
      <c r="G2" s="2633"/>
      <c r="H2" s="2633"/>
      <c r="I2" s="2633"/>
      <c r="J2" s="881"/>
    </row>
    <row r="3" spans="1:15" s="16" customFormat="1" ht="15" customHeight="1" x14ac:dyDescent="0.25">
      <c r="A3" s="2634" t="s">
        <v>1532</v>
      </c>
      <c r="B3" s="2634"/>
      <c r="C3" s="2634"/>
      <c r="D3" s="2634"/>
      <c r="E3" s="2634"/>
      <c r="F3" s="2634"/>
      <c r="G3" s="2634"/>
      <c r="H3" s="2634"/>
      <c r="I3" s="2634"/>
      <c r="J3" s="881"/>
    </row>
    <row r="4" spans="1:15" s="18" customFormat="1" ht="15" customHeight="1" x14ac:dyDescent="0.2">
      <c r="E4" s="446" t="s">
        <v>1533</v>
      </c>
      <c r="G4" s="446"/>
      <c r="H4" s="446"/>
    </row>
    <row r="5" spans="1:15" s="18" customFormat="1" ht="6" customHeight="1" x14ac:dyDescent="0.2">
      <c r="D5" s="149"/>
      <c r="E5" s="149"/>
      <c r="G5" s="2635"/>
      <c r="H5" s="2635"/>
      <c r="I5" s="2635"/>
    </row>
    <row r="6" spans="1:15" s="18" customFormat="1" ht="15" customHeight="1" x14ac:dyDescent="0.2">
      <c r="A6" s="2326" t="s">
        <v>317</v>
      </c>
      <c r="B6" s="2326"/>
      <c r="C6" s="2325" t="str">
        <f>Index!$E$10</f>
        <v>01</v>
      </c>
      <c r="D6" s="149"/>
      <c r="E6" s="149"/>
      <c r="F6" s="19" t="s">
        <v>318</v>
      </c>
      <c r="G6" s="2636" t="str">
        <f>+Index!$E$11</f>
        <v>North Carolina General Assembly</v>
      </c>
      <c r="H6" s="2636"/>
      <c r="I6" s="2636"/>
    </row>
    <row r="7" spans="1:15" s="18" customFormat="1" ht="15" customHeight="1" x14ac:dyDescent="0.2">
      <c r="D7" s="149"/>
      <c r="E7" s="149"/>
      <c r="F7" s="19" t="s">
        <v>319</v>
      </c>
      <c r="G7" s="2632" t="str">
        <f>CONCATENATE(Index!$E$12," ",Index!$E$14)</f>
        <v xml:space="preserve"> </v>
      </c>
      <c r="H7" s="2632"/>
      <c r="I7" s="2632"/>
    </row>
    <row r="8" spans="1:15" s="18" customFormat="1" ht="15" customHeight="1" x14ac:dyDescent="0.2">
      <c r="C8" s="444"/>
      <c r="D8" s="149"/>
      <c r="E8" s="149"/>
      <c r="F8" s="19" t="s">
        <v>71</v>
      </c>
      <c r="G8" s="2632">
        <f>+Index!$E$13</f>
        <v>0</v>
      </c>
      <c r="H8" s="2632"/>
      <c r="I8" s="2632"/>
    </row>
    <row r="9" spans="1:15" s="18" customFormat="1" ht="6" customHeight="1" thickBot="1" x14ac:dyDescent="0.25">
      <c r="A9" s="84"/>
      <c r="B9" s="84"/>
      <c r="C9" s="84"/>
      <c r="D9" s="84"/>
      <c r="E9" s="84"/>
      <c r="F9" s="84"/>
      <c r="G9" s="84"/>
      <c r="H9" s="84"/>
      <c r="I9" s="84"/>
    </row>
    <row r="10" spans="1:15" s="18" customFormat="1" ht="5.25" customHeight="1" x14ac:dyDescent="0.2"/>
    <row r="11" spans="1:15" s="18" customFormat="1" ht="15.75" customHeight="1" x14ac:dyDescent="0.2">
      <c r="A11" s="489" t="s">
        <v>1534</v>
      </c>
      <c r="B11" s="489"/>
      <c r="C11" s="2292"/>
      <c r="D11" s="2292"/>
      <c r="E11" s="2292"/>
      <c r="F11" s="787"/>
      <c r="G11" s="787"/>
      <c r="H11" s="787"/>
      <c r="I11" s="2238"/>
      <c r="J11" s="787"/>
      <c r="K11" s="787"/>
      <c r="L11" s="787"/>
      <c r="M11" s="787"/>
      <c r="N11" s="787"/>
      <c r="O11" s="787"/>
    </row>
    <row r="12" spans="1:15" s="18" customFormat="1" ht="15.75" customHeight="1" x14ac:dyDescent="0.2">
      <c r="A12" s="490"/>
      <c r="B12" s="490"/>
      <c r="C12" s="490"/>
      <c r="D12" s="490"/>
      <c r="E12" s="491" t="s">
        <v>1535</v>
      </c>
      <c r="F12" s="492"/>
      <c r="G12" s="491" t="s">
        <v>1536</v>
      </c>
      <c r="H12" s="493"/>
      <c r="I12" s="491" t="s">
        <v>955</v>
      </c>
      <c r="J12" s="493"/>
      <c r="K12" s="493"/>
      <c r="L12" s="493"/>
      <c r="M12" s="493"/>
      <c r="N12" s="493"/>
      <c r="O12" s="493"/>
    </row>
    <row r="13" spans="1:15" s="18" customFormat="1" ht="15.75" customHeight="1" x14ac:dyDescent="0.2">
      <c r="A13" s="490"/>
      <c r="B13" s="490"/>
      <c r="C13" s="490"/>
      <c r="D13" s="490"/>
      <c r="E13" s="2238"/>
      <c r="F13" s="492"/>
      <c r="G13" s="2238"/>
      <c r="H13" s="493"/>
      <c r="I13" s="493"/>
      <c r="J13" s="493"/>
      <c r="K13" s="493"/>
      <c r="L13" s="493"/>
      <c r="M13" s="493"/>
      <c r="N13" s="493"/>
      <c r="O13" s="493"/>
    </row>
    <row r="14" spans="1:15" s="18" customFormat="1" ht="15.75" customHeight="1" x14ac:dyDescent="0.2">
      <c r="A14" s="490" t="s">
        <v>1537</v>
      </c>
      <c r="B14" s="490"/>
      <c r="C14" s="490"/>
      <c r="D14" s="490"/>
      <c r="E14" s="494"/>
      <c r="F14" s="493"/>
      <c r="G14" s="494"/>
      <c r="H14" s="493"/>
      <c r="I14" s="495">
        <f>E14+G14</f>
        <v>0</v>
      </c>
      <c r="J14" s="148" t="s">
        <v>1538</v>
      </c>
    </row>
    <row r="15" spans="1:15" s="18" customFormat="1" ht="15.75" customHeight="1" x14ac:dyDescent="0.2">
      <c r="A15" s="490" t="s">
        <v>1539</v>
      </c>
      <c r="B15" s="490"/>
      <c r="C15" s="490"/>
      <c r="D15" s="490"/>
      <c r="E15" s="496"/>
      <c r="F15" s="493"/>
      <c r="G15" s="496"/>
      <c r="H15" s="493"/>
      <c r="I15" s="504">
        <f>E15+G15</f>
        <v>0</v>
      </c>
      <c r="J15" s="493"/>
      <c r="K15" s="493"/>
      <c r="L15" s="493"/>
      <c r="M15" s="493"/>
      <c r="N15" s="493"/>
      <c r="O15" s="493"/>
    </row>
    <row r="16" spans="1:15" s="18" customFormat="1" ht="15.75" customHeight="1" x14ac:dyDescent="0.2">
      <c r="A16" s="490"/>
      <c r="B16" s="490"/>
      <c r="C16" s="490"/>
      <c r="D16" s="490"/>
      <c r="E16" s="497"/>
      <c r="F16" s="493"/>
      <c r="G16" s="497"/>
      <c r="H16" s="493"/>
      <c r="I16" s="493"/>
      <c r="J16" s="493"/>
      <c r="K16" s="493"/>
      <c r="L16" s="493"/>
      <c r="M16" s="493"/>
      <c r="N16" s="493"/>
      <c r="O16" s="493"/>
    </row>
    <row r="17" spans="1:12" s="18" customFormat="1" ht="15.75" customHeight="1" x14ac:dyDescent="0.2">
      <c r="A17" s="499" t="s">
        <v>1540</v>
      </c>
      <c r="B17" s="498"/>
      <c r="C17" s="499"/>
      <c r="D17" s="500"/>
      <c r="E17" s="499"/>
      <c r="F17" s="499"/>
      <c r="L17" s="500"/>
    </row>
    <row r="18" spans="1:12" s="18" customFormat="1" ht="15.75" customHeight="1" x14ac:dyDescent="0.2">
      <c r="A18" s="1387" t="s">
        <v>1541</v>
      </c>
      <c r="B18" s="498"/>
      <c r="C18" s="499"/>
      <c r="D18" s="500"/>
      <c r="E18" s="499"/>
      <c r="F18" s="499"/>
      <c r="G18" s="501" t="s">
        <v>339</v>
      </c>
      <c r="H18" s="502"/>
      <c r="I18" s="501" t="s">
        <v>340</v>
      </c>
      <c r="J18" s="502"/>
      <c r="L18" s="500"/>
    </row>
    <row r="19" spans="1:12" s="18" customFormat="1" ht="15.75" customHeight="1" x14ac:dyDescent="0.25">
      <c r="A19" s="487"/>
      <c r="B19" s="487"/>
      <c r="C19" s="417"/>
      <c r="D19" s="417"/>
      <c r="E19" s="417"/>
      <c r="F19" s="417"/>
      <c r="G19" s="488"/>
    </row>
    <row r="20" spans="1:12" s="18" customFormat="1" ht="15.75" customHeight="1" x14ac:dyDescent="0.2">
      <c r="A20" s="503" t="s">
        <v>1542</v>
      </c>
      <c r="B20" s="503"/>
      <c r="D20" s="493"/>
      <c r="E20" s="493"/>
      <c r="F20" s="493"/>
      <c r="G20" s="501" t="s">
        <v>339</v>
      </c>
      <c r="H20" s="502"/>
      <c r="I20" s="501" t="s">
        <v>340</v>
      </c>
      <c r="J20" s="502"/>
      <c r="L20" s="500"/>
    </row>
    <row r="21" spans="1:12" s="18" customFormat="1" ht="15.75" customHeight="1" x14ac:dyDescent="0.25">
      <c r="A21" s="487"/>
      <c r="B21" s="487"/>
      <c r="C21" s="417"/>
      <c r="D21" s="417"/>
      <c r="E21" s="417"/>
      <c r="F21" s="417"/>
      <c r="G21" s="417"/>
      <c r="H21" s="150"/>
      <c r="I21" s="488"/>
    </row>
  </sheetData>
  <sheetProtection algorithmName="SHA-512" hashValue="43t8zXg5hFu1RZFygFQDjcKPaeJ5RTFtHgqYa0uycKd2n23S99cji89pL6QfLL7/b7aLz85uUkEV4VdsO1gAew==" saltValue="7l4URJCAs3xoZvZ+mY83dw==" spinCount="100000" sheet="1" objects="1" scenarios="1" autoFilter="0"/>
  <customSheetViews>
    <customSheetView guid="{9FCFC836-1CA5-48BF-958D-24D2EA94B219}" showGridLines="0" fitToPage="1">
      <selection sqref="A1:I1"/>
      <pageMargins left="0" right="0" top="0" bottom="0" header="0" footer="0"/>
      <pageSetup orientation="landscape" r:id="rId1"/>
      <headerFooter>
        <oddFooter>&amp;R&amp;A</oddFooter>
      </headerFooter>
    </customSheetView>
    <customSheetView guid="{B08879A4-635B-4C39-9937-AC7883D562FC}" showGridLines="0" fitToPage="1">
      <selection sqref="A1:I1"/>
      <pageMargins left="0" right="0" top="0" bottom="0" header="0" footer="0"/>
      <pageSetup orientation="landscape" r:id="rId2"/>
      <headerFooter>
        <oddFooter>&amp;R&amp;A</oddFooter>
      </headerFooter>
    </customSheetView>
  </customSheetViews>
  <mergeCells count="7">
    <mergeCell ref="G7:I7"/>
    <mergeCell ref="G8:I8"/>
    <mergeCell ref="A1:I1"/>
    <mergeCell ref="A2:I2"/>
    <mergeCell ref="A3:I3"/>
    <mergeCell ref="G5:I5"/>
    <mergeCell ref="G6:I6"/>
  </mergeCells>
  <conditionalFormatting sqref="J1:J3">
    <cfRule type="cellIs" dxfId="106" priority="1" stopIfTrue="1" operator="equal">
      <formula>"na"</formula>
    </cfRule>
  </conditionalFormatting>
  <hyperlinks>
    <hyperlink ref="A1:I1" location="Index!A1" display="Index!A1" xr:uid="{00000000-0004-0000-1B00-000000000000}"/>
  </hyperlinks>
  <pageMargins left="0.6" right="0.6" top="0.5" bottom="0.5" header="0.3" footer="0.3"/>
  <pageSetup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1519-2F49-4692-BDF8-801FBFE1A3F7}">
  <sheetPr codeName="Sheet97">
    <pageSetUpPr fitToPage="1"/>
  </sheetPr>
  <dimension ref="A1:P61"/>
  <sheetViews>
    <sheetView showGridLines="0" zoomScaleNormal="100" zoomScaleSheetLayoutView="100" workbookViewId="0">
      <selection activeCell="A2" sqref="A2:K2"/>
    </sheetView>
  </sheetViews>
  <sheetFormatPr defaultColWidth="9.140625" defaultRowHeight="10.5" x14ac:dyDescent="0.15"/>
  <cols>
    <col min="1" max="1" width="15.42578125" style="17" customWidth="1"/>
    <col min="2" max="2" width="1.140625" style="17" customWidth="1"/>
    <col min="3" max="3" width="17.5703125" style="17" customWidth="1"/>
    <col min="4" max="4" width="1.5703125" style="17" customWidth="1"/>
    <col min="5" max="5" width="22.5703125" style="17" customWidth="1"/>
    <col min="6" max="6" width="1.5703125" style="17" customWidth="1"/>
    <col min="7" max="7" width="24.5703125" style="17" bestFit="1" customWidth="1"/>
    <col min="8" max="8" width="1.5703125" style="17" customWidth="1"/>
    <col min="9" max="9" width="22.5703125" style="17" customWidth="1"/>
    <col min="10" max="10" width="1.5703125" style="17" customWidth="1"/>
    <col min="11" max="11" width="24.42578125" style="17" customWidth="1"/>
    <col min="12" max="12" width="7.5703125" style="17" customWidth="1"/>
    <col min="13" max="15" width="1.5703125" style="17" customWidth="1"/>
    <col min="16" max="16" width="4.85546875" style="17" customWidth="1"/>
    <col min="17" max="18" width="1.5703125" style="17" customWidth="1"/>
    <col min="19" max="257" width="9.140625" style="17"/>
    <col min="258" max="258" width="17.85546875" style="17" customWidth="1"/>
    <col min="259" max="259" width="1.140625" style="17" customWidth="1"/>
    <col min="260" max="260" width="30.140625" style="17" customWidth="1"/>
    <col min="261" max="261" width="1.5703125" style="17" customWidth="1"/>
    <col min="262" max="262" width="21.140625" style="17" customWidth="1"/>
    <col min="263" max="263" width="1.5703125" style="17" customWidth="1"/>
    <col min="264" max="264" width="22.140625" style="17" customWidth="1"/>
    <col min="265" max="265" width="5.85546875" style="17" customWidth="1"/>
    <col min="266" max="266" width="27.42578125" style="17" customWidth="1"/>
    <col min="267" max="267" width="4.5703125" style="17" customWidth="1"/>
    <col min="268" max="268" width="3.140625" style="17" customWidth="1"/>
    <col min="269" max="271" width="1.5703125" style="17" customWidth="1"/>
    <col min="272" max="272" width="4.85546875" style="17" customWidth="1"/>
    <col min="273" max="274" width="1.5703125" style="17" customWidth="1"/>
    <col min="275" max="513" width="9.140625" style="17"/>
    <col min="514" max="514" width="17.85546875" style="17" customWidth="1"/>
    <col min="515" max="515" width="1.140625" style="17" customWidth="1"/>
    <col min="516" max="516" width="30.140625" style="17" customWidth="1"/>
    <col min="517" max="517" width="1.5703125" style="17" customWidth="1"/>
    <col min="518" max="518" width="21.140625" style="17" customWidth="1"/>
    <col min="519" max="519" width="1.5703125" style="17" customWidth="1"/>
    <col min="520" max="520" width="22.140625" style="17" customWidth="1"/>
    <col min="521" max="521" width="5.85546875" style="17" customWidth="1"/>
    <col min="522" max="522" width="27.42578125" style="17" customWidth="1"/>
    <col min="523" max="523" width="4.5703125" style="17" customWidth="1"/>
    <col min="524" max="524" width="3.140625" style="17" customWidth="1"/>
    <col min="525" max="527" width="1.5703125" style="17" customWidth="1"/>
    <col min="528" max="528" width="4.85546875" style="17" customWidth="1"/>
    <col min="529" max="530" width="1.5703125" style="17" customWidth="1"/>
    <col min="531" max="769" width="9.140625" style="17"/>
    <col min="770" max="770" width="17.85546875" style="17" customWidth="1"/>
    <col min="771" max="771" width="1.140625" style="17" customWidth="1"/>
    <col min="772" max="772" width="30.140625" style="17" customWidth="1"/>
    <col min="773" max="773" width="1.5703125" style="17" customWidth="1"/>
    <col min="774" max="774" width="21.140625" style="17" customWidth="1"/>
    <col min="775" max="775" width="1.5703125" style="17" customWidth="1"/>
    <col min="776" max="776" width="22.140625" style="17" customWidth="1"/>
    <col min="777" max="777" width="5.85546875" style="17" customWidth="1"/>
    <col min="778" max="778" width="27.42578125" style="17" customWidth="1"/>
    <col min="779" max="779" width="4.5703125" style="17" customWidth="1"/>
    <col min="780" max="780" width="3.140625" style="17" customWidth="1"/>
    <col min="781" max="783" width="1.5703125" style="17" customWidth="1"/>
    <col min="784" max="784" width="4.85546875" style="17" customWidth="1"/>
    <col min="785" max="786" width="1.5703125" style="17" customWidth="1"/>
    <col min="787" max="1025" width="9.140625" style="17"/>
    <col min="1026" max="1026" width="17.85546875" style="17" customWidth="1"/>
    <col min="1027" max="1027" width="1.140625" style="17" customWidth="1"/>
    <col min="1028" max="1028" width="30.140625" style="17" customWidth="1"/>
    <col min="1029" max="1029" width="1.5703125" style="17" customWidth="1"/>
    <col min="1030" max="1030" width="21.140625" style="17" customWidth="1"/>
    <col min="1031" max="1031" width="1.5703125" style="17" customWidth="1"/>
    <col min="1032" max="1032" width="22.140625" style="17" customWidth="1"/>
    <col min="1033" max="1033" width="5.85546875" style="17" customWidth="1"/>
    <col min="1034" max="1034" width="27.42578125" style="17" customWidth="1"/>
    <col min="1035" max="1035" width="4.5703125" style="17" customWidth="1"/>
    <col min="1036" max="1036" width="3.140625" style="17" customWidth="1"/>
    <col min="1037" max="1039" width="1.5703125" style="17" customWidth="1"/>
    <col min="1040" max="1040" width="4.85546875" style="17" customWidth="1"/>
    <col min="1041" max="1042" width="1.5703125" style="17" customWidth="1"/>
    <col min="1043" max="1281" width="9.140625" style="17"/>
    <col min="1282" max="1282" width="17.85546875" style="17" customWidth="1"/>
    <col min="1283" max="1283" width="1.140625" style="17" customWidth="1"/>
    <col min="1284" max="1284" width="30.140625" style="17" customWidth="1"/>
    <col min="1285" max="1285" width="1.5703125" style="17" customWidth="1"/>
    <col min="1286" max="1286" width="21.140625" style="17" customWidth="1"/>
    <col min="1287" max="1287" width="1.5703125" style="17" customWidth="1"/>
    <col min="1288" max="1288" width="22.140625" style="17" customWidth="1"/>
    <col min="1289" max="1289" width="5.85546875" style="17" customWidth="1"/>
    <col min="1290" max="1290" width="27.42578125" style="17" customWidth="1"/>
    <col min="1291" max="1291" width="4.5703125" style="17" customWidth="1"/>
    <col min="1292" max="1292" width="3.140625" style="17" customWidth="1"/>
    <col min="1293" max="1295" width="1.5703125" style="17" customWidth="1"/>
    <col min="1296" max="1296" width="4.85546875" style="17" customWidth="1"/>
    <col min="1297" max="1298" width="1.5703125" style="17" customWidth="1"/>
    <col min="1299" max="1537" width="9.140625" style="17"/>
    <col min="1538" max="1538" width="17.85546875" style="17" customWidth="1"/>
    <col min="1539" max="1539" width="1.140625" style="17" customWidth="1"/>
    <col min="1540" max="1540" width="30.140625" style="17" customWidth="1"/>
    <col min="1541" max="1541" width="1.5703125" style="17" customWidth="1"/>
    <col min="1542" max="1542" width="21.140625" style="17" customWidth="1"/>
    <col min="1543" max="1543" width="1.5703125" style="17" customWidth="1"/>
    <col min="1544" max="1544" width="22.140625" style="17" customWidth="1"/>
    <col min="1545" max="1545" width="5.85546875" style="17" customWidth="1"/>
    <col min="1546" max="1546" width="27.42578125" style="17" customWidth="1"/>
    <col min="1547" max="1547" width="4.5703125" style="17" customWidth="1"/>
    <col min="1548" max="1548" width="3.140625" style="17" customWidth="1"/>
    <col min="1549" max="1551" width="1.5703125" style="17" customWidth="1"/>
    <col min="1552" max="1552" width="4.85546875" style="17" customWidth="1"/>
    <col min="1553" max="1554" width="1.5703125" style="17" customWidth="1"/>
    <col min="1555" max="1793" width="9.140625" style="17"/>
    <col min="1794" max="1794" width="17.85546875" style="17" customWidth="1"/>
    <col min="1795" max="1795" width="1.140625" style="17" customWidth="1"/>
    <col min="1796" max="1796" width="30.140625" style="17" customWidth="1"/>
    <col min="1797" max="1797" width="1.5703125" style="17" customWidth="1"/>
    <col min="1798" max="1798" width="21.140625" style="17" customWidth="1"/>
    <col min="1799" max="1799" width="1.5703125" style="17" customWidth="1"/>
    <col min="1800" max="1800" width="22.140625" style="17" customWidth="1"/>
    <col min="1801" max="1801" width="5.85546875" style="17" customWidth="1"/>
    <col min="1802" max="1802" width="27.42578125" style="17" customWidth="1"/>
    <col min="1803" max="1803" width="4.5703125" style="17" customWidth="1"/>
    <col min="1804" max="1804" width="3.140625" style="17" customWidth="1"/>
    <col min="1805" max="1807" width="1.5703125" style="17" customWidth="1"/>
    <col min="1808" max="1808" width="4.85546875" style="17" customWidth="1"/>
    <col min="1809" max="1810" width="1.5703125" style="17" customWidth="1"/>
    <col min="1811" max="2049" width="9.140625" style="17"/>
    <col min="2050" max="2050" width="17.85546875" style="17" customWidth="1"/>
    <col min="2051" max="2051" width="1.140625" style="17" customWidth="1"/>
    <col min="2052" max="2052" width="30.140625" style="17" customWidth="1"/>
    <col min="2053" max="2053" width="1.5703125" style="17" customWidth="1"/>
    <col min="2054" max="2054" width="21.140625" style="17" customWidth="1"/>
    <col min="2055" max="2055" width="1.5703125" style="17" customWidth="1"/>
    <col min="2056" max="2056" width="22.140625" style="17" customWidth="1"/>
    <col min="2057" max="2057" width="5.85546875" style="17" customWidth="1"/>
    <col min="2058" max="2058" width="27.42578125" style="17" customWidth="1"/>
    <col min="2059" max="2059" width="4.5703125" style="17" customWidth="1"/>
    <col min="2060" max="2060" width="3.140625" style="17" customWidth="1"/>
    <col min="2061" max="2063" width="1.5703125" style="17" customWidth="1"/>
    <col min="2064" max="2064" width="4.85546875" style="17" customWidth="1"/>
    <col min="2065" max="2066" width="1.5703125" style="17" customWidth="1"/>
    <col min="2067" max="2305" width="9.140625" style="17"/>
    <col min="2306" max="2306" width="17.85546875" style="17" customWidth="1"/>
    <col min="2307" max="2307" width="1.140625" style="17" customWidth="1"/>
    <col min="2308" max="2308" width="30.140625" style="17" customWidth="1"/>
    <col min="2309" max="2309" width="1.5703125" style="17" customWidth="1"/>
    <col min="2310" max="2310" width="21.140625" style="17" customWidth="1"/>
    <col min="2311" max="2311" width="1.5703125" style="17" customWidth="1"/>
    <col min="2312" max="2312" width="22.140625" style="17" customWidth="1"/>
    <col min="2313" max="2313" width="5.85546875" style="17" customWidth="1"/>
    <col min="2314" max="2314" width="27.42578125" style="17" customWidth="1"/>
    <col min="2315" max="2315" width="4.5703125" style="17" customWidth="1"/>
    <col min="2316" max="2316" width="3.140625" style="17" customWidth="1"/>
    <col min="2317" max="2319" width="1.5703125" style="17" customWidth="1"/>
    <col min="2320" max="2320" width="4.85546875" style="17" customWidth="1"/>
    <col min="2321" max="2322" width="1.5703125" style="17" customWidth="1"/>
    <col min="2323" max="2561" width="9.140625" style="17"/>
    <col min="2562" max="2562" width="17.85546875" style="17" customWidth="1"/>
    <col min="2563" max="2563" width="1.140625" style="17" customWidth="1"/>
    <col min="2564" max="2564" width="30.140625" style="17" customWidth="1"/>
    <col min="2565" max="2565" width="1.5703125" style="17" customWidth="1"/>
    <col min="2566" max="2566" width="21.140625" style="17" customWidth="1"/>
    <col min="2567" max="2567" width="1.5703125" style="17" customWidth="1"/>
    <col min="2568" max="2568" width="22.140625" style="17" customWidth="1"/>
    <col min="2569" max="2569" width="5.85546875" style="17" customWidth="1"/>
    <col min="2570" max="2570" width="27.42578125" style="17" customWidth="1"/>
    <col min="2571" max="2571" width="4.5703125" style="17" customWidth="1"/>
    <col min="2572" max="2572" width="3.140625" style="17" customWidth="1"/>
    <col min="2573" max="2575" width="1.5703125" style="17" customWidth="1"/>
    <col min="2576" max="2576" width="4.85546875" style="17" customWidth="1"/>
    <col min="2577" max="2578" width="1.5703125" style="17" customWidth="1"/>
    <col min="2579" max="2817" width="9.140625" style="17"/>
    <col min="2818" max="2818" width="17.85546875" style="17" customWidth="1"/>
    <col min="2819" max="2819" width="1.140625" style="17" customWidth="1"/>
    <col min="2820" max="2820" width="30.140625" style="17" customWidth="1"/>
    <col min="2821" max="2821" width="1.5703125" style="17" customWidth="1"/>
    <col min="2822" max="2822" width="21.140625" style="17" customWidth="1"/>
    <col min="2823" max="2823" width="1.5703125" style="17" customWidth="1"/>
    <col min="2824" max="2824" width="22.140625" style="17" customWidth="1"/>
    <col min="2825" max="2825" width="5.85546875" style="17" customWidth="1"/>
    <col min="2826" max="2826" width="27.42578125" style="17" customWidth="1"/>
    <col min="2827" max="2827" width="4.5703125" style="17" customWidth="1"/>
    <col min="2828" max="2828" width="3.140625" style="17" customWidth="1"/>
    <col min="2829" max="2831" width="1.5703125" style="17" customWidth="1"/>
    <col min="2832" max="2832" width="4.85546875" style="17" customWidth="1"/>
    <col min="2833" max="2834" width="1.5703125" style="17" customWidth="1"/>
    <col min="2835" max="3073" width="9.140625" style="17"/>
    <col min="3074" max="3074" width="17.85546875" style="17" customWidth="1"/>
    <col min="3075" max="3075" width="1.140625" style="17" customWidth="1"/>
    <col min="3076" max="3076" width="30.140625" style="17" customWidth="1"/>
    <col min="3077" max="3077" width="1.5703125" style="17" customWidth="1"/>
    <col min="3078" max="3078" width="21.140625" style="17" customWidth="1"/>
    <col min="3079" max="3079" width="1.5703125" style="17" customWidth="1"/>
    <col min="3080" max="3080" width="22.140625" style="17" customWidth="1"/>
    <col min="3081" max="3081" width="5.85546875" style="17" customWidth="1"/>
    <col min="3082" max="3082" width="27.42578125" style="17" customWidth="1"/>
    <col min="3083" max="3083" width="4.5703125" style="17" customWidth="1"/>
    <col min="3084" max="3084" width="3.140625" style="17" customWidth="1"/>
    <col min="3085" max="3087" width="1.5703125" style="17" customWidth="1"/>
    <col min="3088" max="3088" width="4.85546875" style="17" customWidth="1"/>
    <col min="3089" max="3090" width="1.5703125" style="17" customWidth="1"/>
    <col min="3091" max="3329" width="9.140625" style="17"/>
    <col min="3330" max="3330" width="17.85546875" style="17" customWidth="1"/>
    <col min="3331" max="3331" width="1.140625" style="17" customWidth="1"/>
    <col min="3332" max="3332" width="30.140625" style="17" customWidth="1"/>
    <col min="3333" max="3333" width="1.5703125" style="17" customWidth="1"/>
    <col min="3334" max="3334" width="21.140625" style="17" customWidth="1"/>
    <col min="3335" max="3335" width="1.5703125" style="17" customWidth="1"/>
    <col min="3336" max="3336" width="22.140625" style="17" customWidth="1"/>
    <col min="3337" max="3337" width="5.85546875" style="17" customWidth="1"/>
    <col min="3338" max="3338" width="27.42578125" style="17" customWidth="1"/>
    <col min="3339" max="3339" width="4.5703125" style="17" customWidth="1"/>
    <col min="3340" max="3340" width="3.140625" style="17" customWidth="1"/>
    <col min="3341" max="3343" width="1.5703125" style="17" customWidth="1"/>
    <col min="3344" max="3344" width="4.85546875" style="17" customWidth="1"/>
    <col min="3345" max="3346" width="1.5703125" style="17" customWidth="1"/>
    <col min="3347" max="3585" width="9.140625" style="17"/>
    <col min="3586" max="3586" width="17.85546875" style="17" customWidth="1"/>
    <col min="3587" max="3587" width="1.140625" style="17" customWidth="1"/>
    <col min="3588" max="3588" width="30.140625" style="17" customWidth="1"/>
    <col min="3589" max="3589" width="1.5703125" style="17" customWidth="1"/>
    <col min="3590" max="3590" width="21.140625" style="17" customWidth="1"/>
    <col min="3591" max="3591" width="1.5703125" style="17" customWidth="1"/>
    <col min="3592" max="3592" width="22.140625" style="17" customWidth="1"/>
    <col min="3593" max="3593" width="5.85546875" style="17" customWidth="1"/>
    <col min="3594" max="3594" width="27.42578125" style="17" customWidth="1"/>
    <col min="3595" max="3595" width="4.5703125" style="17" customWidth="1"/>
    <col min="3596" max="3596" width="3.140625" style="17" customWidth="1"/>
    <col min="3597" max="3599" width="1.5703125" style="17" customWidth="1"/>
    <col min="3600" max="3600" width="4.85546875" style="17" customWidth="1"/>
    <col min="3601" max="3602" width="1.5703125" style="17" customWidth="1"/>
    <col min="3603" max="3841" width="9.140625" style="17"/>
    <col min="3842" max="3842" width="17.85546875" style="17" customWidth="1"/>
    <col min="3843" max="3843" width="1.140625" style="17" customWidth="1"/>
    <col min="3844" max="3844" width="30.140625" style="17" customWidth="1"/>
    <col min="3845" max="3845" width="1.5703125" style="17" customWidth="1"/>
    <col min="3846" max="3846" width="21.140625" style="17" customWidth="1"/>
    <col min="3847" max="3847" width="1.5703125" style="17" customWidth="1"/>
    <col min="3848" max="3848" width="22.140625" style="17" customWidth="1"/>
    <col min="3849" max="3849" width="5.85546875" style="17" customWidth="1"/>
    <col min="3850" max="3850" width="27.42578125" style="17" customWidth="1"/>
    <col min="3851" max="3851" width="4.5703125" style="17" customWidth="1"/>
    <col min="3852" max="3852" width="3.140625" style="17" customWidth="1"/>
    <col min="3853" max="3855" width="1.5703125" style="17" customWidth="1"/>
    <col min="3856" max="3856" width="4.85546875" style="17" customWidth="1"/>
    <col min="3857" max="3858" width="1.5703125" style="17" customWidth="1"/>
    <col min="3859" max="4097" width="9.140625" style="17"/>
    <col min="4098" max="4098" width="17.85546875" style="17" customWidth="1"/>
    <col min="4099" max="4099" width="1.140625" style="17" customWidth="1"/>
    <col min="4100" max="4100" width="30.140625" style="17" customWidth="1"/>
    <col min="4101" max="4101" width="1.5703125" style="17" customWidth="1"/>
    <col min="4102" max="4102" width="21.140625" style="17" customWidth="1"/>
    <col min="4103" max="4103" width="1.5703125" style="17" customWidth="1"/>
    <col min="4104" max="4104" width="22.140625" style="17" customWidth="1"/>
    <col min="4105" max="4105" width="5.85546875" style="17" customWidth="1"/>
    <col min="4106" max="4106" width="27.42578125" style="17" customWidth="1"/>
    <col min="4107" max="4107" width="4.5703125" style="17" customWidth="1"/>
    <col min="4108" max="4108" width="3.140625" style="17" customWidth="1"/>
    <col min="4109" max="4111" width="1.5703125" style="17" customWidth="1"/>
    <col min="4112" max="4112" width="4.85546875" style="17" customWidth="1"/>
    <col min="4113" max="4114" width="1.5703125" style="17" customWidth="1"/>
    <col min="4115" max="4353" width="9.140625" style="17"/>
    <col min="4354" max="4354" width="17.85546875" style="17" customWidth="1"/>
    <col min="4355" max="4355" width="1.140625" style="17" customWidth="1"/>
    <col min="4356" max="4356" width="30.140625" style="17" customWidth="1"/>
    <col min="4357" max="4357" width="1.5703125" style="17" customWidth="1"/>
    <col min="4358" max="4358" width="21.140625" style="17" customWidth="1"/>
    <col min="4359" max="4359" width="1.5703125" style="17" customWidth="1"/>
    <col min="4360" max="4360" width="22.140625" style="17" customWidth="1"/>
    <col min="4361" max="4361" width="5.85546875" style="17" customWidth="1"/>
    <col min="4362" max="4362" width="27.42578125" style="17" customWidth="1"/>
    <col min="4363" max="4363" width="4.5703125" style="17" customWidth="1"/>
    <col min="4364" max="4364" width="3.140625" style="17" customWidth="1"/>
    <col min="4365" max="4367" width="1.5703125" style="17" customWidth="1"/>
    <col min="4368" max="4368" width="4.85546875" style="17" customWidth="1"/>
    <col min="4369" max="4370" width="1.5703125" style="17" customWidth="1"/>
    <col min="4371" max="4609" width="9.140625" style="17"/>
    <col min="4610" max="4610" width="17.85546875" style="17" customWidth="1"/>
    <col min="4611" max="4611" width="1.140625" style="17" customWidth="1"/>
    <col min="4612" max="4612" width="30.140625" style="17" customWidth="1"/>
    <col min="4613" max="4613" width="1.5703125" style="17" customWidth="1"/>
    <col min="4614" max="4614" width="21.140625" style="17" customWidth="1"/>
    <col min="4615" max="4615" width="1.5703125" style="17" customWidth="1"/>
    <col min="4616" max="4616" width="22.140625" style="17" customWidth="1"/>
    <col min="4617" max="4617" width="5.85546875" style="17" customWidth="1"/>
    <col min="4618" max="4618" width="27.42578125" style="17" customWidth="1"/>
    <col min="4619" max="4619" width="4.5703125" style="17" customWidth="1"/>
    <col min="4620" max="4620" width="3.140625" style="17" customWidth="1"/>
    <col min="4621" max="4623" width="1.5703125" style="17" customWidth="1"/>
    <col min="4624" max="4624" width="4.85546875" style="17" customWidth="1"/>
    <col min="4625" max="4626" width="1.5703125" style="17" customWidth="1"/>
    <col min="4627" max="4865" width="9.140625" style="17"/>
    <col min="4866" max="4866" width="17.85546875" style="17" customWidth="1"/>
    <col min="4867" max="4867" width="1.140625" style="17" customWidth="1"/>
    <col min="4868" max="4868" width="30.140625" style="17" customWidth="1"/>
    <col min="4869" max="4869" width="1.5703125" style="17" customWidth="1"/>
    <col min="4870" max="4870" width="21.140625" style="17" customWidth="1"/>
    <col min="4871" max="4871" width="1.5703125" style="17" customWidth="1"/>
    <col min="4872" max="4872" width="22.140625" style="17" customWidth="1"/>
    <col min="4873" max="4873" width="5.85546875" style="17" customWidth="1"/>
    <col min="4874" max="4874" width="27.42578125" style="17" customWidth="1"/>
    <col min="4875" max="4875" width="4.5703125" style="17" customWidth="1"/>
    <col min="4876" max="4876" width="3.140625" style="17" customWidth="1"/>
    <col min="4877" max="4879" width="1.5703125" style="17" customWidth="1"/>
    <col min="4880" max="4880" width="4.85546875" style="17" customWidth="1"/>
    <col min="4881" max="4882" width="1.5703125" style="17" customWidth="1"/>
    <col min="4883" max="5121" width="9.140625" style="17"/>
    <col min="5122" max="5122" width="17.85546875" style="17" customWidth="1"/>
    <col min="5123" max="5123" width="1.140625" style="17" customWidth="1"/>
    <col min="5124" max="5124" width="30.140625" style="17" customWidth="1"/>
    <col min="5125" max="5125" width="1.5703125" style="17" customWidth="1"/>
    <col min="5126" max="5126" width="21.140625" style="17" customWidth="1"/>
    <col min="5127" max="5127" width="1.5703125" style="17" customWidth="1"/>
    <col min="5128" max="5128" width="22.140625" style="17" customWidth="1"/>
    <col min="5129" max="5129" width="5.85546875" style="17" customWidth="1"/>
    <col min="5130" max="5130" width="27.42578125" style="17" customWidth="1"/>
    <col min="5131" max="5131" width="4.5703125" style="17" customWidth="1"/>
    <col min="5132" max="5132" width="3.140625" style="17" customWidth="1"/>
    <col min="5133" max="5135" width="1.5703125" style="17" customWidth="1"/>
    <col min="5136" max="5136" width="4.85546875" style="17" customWidth="1"/>
    <col min="5137" max="5138" width="1.5703125" style="17" customWidth="1"/>
    <col min="5139" max="5377" width="9.140625" style="17"/>
    <col min="5378" max="5378" width="17.85546875" style="17" customWidth="1"/>
    <col min="5379" max="5379" width="1.140625" style="17" customWidth="1"/>
    <col min="5380" max="5380" width="30.140625" style="17" customWidth="1"/>
    <col min="5381" max="5381" width="1.5703125" style="17" customWidth="1"/>
    <col min="5382" max="5382" width="21.140625" style="17" customWidth="1"/>
    <col min="5383" max="5383" width="1.5703125" style="17" customWidth="1"/>
    <col min="5384" max="5384" width="22.140625" style="17" customWidth="1"/>
    <col min="5385" max="5385" width="5.85546875" style="17" customWidth="1"/>
    <col min="5386" max="5386" width="27.42578125" style="17" customWidth="1"/>
    <col min="5387" max="5387" width="4.5703125" style="17" customWidth="1"/>
    <col min="5388" max="5388" width="3.140625" style="17" customWidth="1"/>
    <col min="5389" max="5391" width="1.5703125" style="17" customWidth="1"/>
    <col min="5392" max="5392" width="4.85546875" style="17" customWidth="1"/>
    <col min="5393" max="5394" width="1.5703125" style="17" customWidth="1"/>
    <col min="5395" max="5633" width="9.140625" style="17"/>
    <col min="5634" max="5634" width="17.85546875" style="17" customWidth="1"/>
    <col min="5635" max="5635" width="1.140625" style="17" customWidth="1"/>
    <col min="5636" max="5636" width="30.140625" style="17" customWidth="1"/>
    <col min="5637" max="5637" width="1.5703125" style="17" customWidth="1"/>
    <col min="5638" max="5638" width="21.140625" style="17" customWidth="1"/>
    <col min="5639" max="5639" width="1.5703125" style="17" customWidth="1"/>
    <col min="5640" max="5640" width="22.140625" style="17" customWidth="1"/>
    <col min="5641" max="5641" width="5.85546875" style="17" customWidth="1"/>
    <col min="5642" max="5642" width="27.42578125" style="17" customWidth="1"/>
    <col min="5643" max="5643" width="4.5703125" style="17" customWidth="1"/>
    <col min="5644" max="5644" width="3.140625" style="17" customWidth="1"/>
    <col min="5645" max="5647" width="1.5703125" style="17" customWidth="1"/>
    <col min="5648" max="5648" width="4.85546875" style="17" customWidth="1"/>
    <col min="5649" max="5650" width="1.5703125" style="17" customWidth="1"/>
    <col min="5651" max="5889" width="9.140625" style="17"/>
    <col min="5890" max="5890" width="17.85546875" style="17" customWidth="1"/>
    <col min="5891" max="5891" width="1.140625" style="17" customWidth="1"/>
    <col min="5892" max="5892" width="30.140625" style="17" customWidth="1"/>
    <col min="5893" max="5893" width="1.5703125" style="17" customWidth="1"/>
    <col min="5894" max="5894" width="21.140625" style="17" customWidth="1"/>
    <col min="5895" max="5895" width="1.5703125" style="17" customWidth="1"/>
    <col min="5896" max="5896" width="22.140625" style="17" customWidth="1"/>
    <col min="5897" max="5897" width="5.85546875" style="17" customWidth="1"/>
    <col min="5898" max="5898" width="27.42578125" style="17" customWidth="1"/>
    <col min="5899" max="5899" width="4.5703125" style="17" customWidth="1"/>
    <col min="5900" max="5900" width="3.140625" style="17" customWidth="1"/>
    <col min="5901" max="5903" width="1.5703125" style="17" customWidth="1"/>
    <col min="5904" max="5904" width="4.85546875" style="17" customWidth="1"/>
    <col min="5905" max="5906" width="1.5703125" style="17" customWidth="1"/>
    <col min="5907" max="6145" width="9.140625" style="17"/>
    <col min="6146" max="6146" width="17.85546875" style="17" customWidth="1"/>
    <col min="6147" max="6147" width="1.140625" style="17" customWidth="1"/>
    <col min="6148" max="6148" width="30.140625" style="17" customWidth="1"/>
    <col min="6149" max="6149" width="1.5703125" style="17" customWidth="1"/>
    <col min="6150" max="6150" width="21.140625" style="17" customWidth="1"/>
    <col min="6151" max="6151" width="1.5703125" style="17" customWidth="1"/>
    <col min="6152" max="6152" width="22.140625" style="17" customWidth="1"/>
    <col min="6153" max="6153" width="5.85546875" style="17" customWidth="1"/>
    <col min="6154" max="6154" width="27.42578125" style="17" customWidth="1"/>
    <col min="6155" max="6155" width="4.5703125" style="17" customWidth="1"/>
    <col min="6156" max="6156" width="3.140625" style="17" customWidth="1"/>
    <col min="6157" max="6159" width="1.5703125" style="17" customWidth="1"/>
    <col min="6160" max="6160" width="4.85546875" style="17" customWidth="1"/>
    <col min="6161" max="6162" width="1.5703125" style="17" customWidth="1"/>
    <col min="6163" max="6401" width="9.140625" style="17"/>
    <col min="6402" max="6402" width="17.85546875" style="17" customWidth="1"/>
    <col min="6403" max="6403" width="1.140625" style="17" customWidth="1"/>
    <col min="6404" max="6404" width="30.140625" style="17" customWidth="1"/>
    <col min="6405" max="6405" width="1.5703125" style="17" customWidth="1"/>
    <col min="6406" max="6406" width="21.140625" style="17" customWidth="1"/>
    <col min="6407" max="6407" width="1.5703125" style="17" customWidth="1"/>
    <col min="6408" max="6408" width="22.140625" style="17" customWidth="1"/>
    <col min="6409" max="6409" width="5.85546875" style="17" customWidth="1"/>
    <col min="6410" max="6410" width="27.42578125" style="17" customWidth="1"/>
    <col min="6411" max="6411" width="4.5703125" style="17" customWidth="1"/>
    <col min="6412" max="6412" width="3.140625" style="17" customWidth="1"/>
    <col min="6413" max="6415" width="1.5703125" style="17" customWidth="1"/>
    <col min="6416" max="6416" width="4.85546875" style="17" customWidth="1"/>
    <col min="6417" max="6418" width="1.5703125" style="17" customWidth="1"/>
    <col min="6419" max="6657" width="9.140625" style="17"/>
    <col min="6658" max="6658" width="17.85546875" style="17" customWidth="1"/>
    <col min="6659" max="6659" width="1.140625" style="17" customWidth="1"/>
    <col min="6660" max="6660" width="30.140625" style="17" customWidth="1"/>
    <col min="6661" max="6661" width="1.5703125" style="17" customWidth="1"/>
    <col min="6662" max="6662" width="21.140625" style="17" customWidth="1"/>
    <col min="6663" max="6663" width="1.5703125" style="17" customWidth="1"/>
    <col min="6664" max="6664" width="22.140625" style="17" customWidth="1"/>
    <col min="6665" max="6665" width="5.85546875" style="17" customWidth="1"/>
    <col min="6666" max="6666" width="27.42578125" style="17" customWidth="1"/>
    <col min="6667" max="6667" width="4.5703125" style="17" customWidth="1"/>
    <col min="6668" max="6668" width="3.140625" style="17" customWidth="1"/>
    <col min="6669" max="6671" width="1.5703125" style="17" customWidth="1"/>
    <col min="6672" max="6672" width="4.85546875" style="17" customWidth="1"/>
    <col min="6673" max="6674" width="1.5703125" style="17" customWidth="1"/>
    <col min="6675" max="6913" width="9.140625" style="17"/>
    <col min="6914" max="6914" width="17.85546875" style="17" customWidth="1"/>
    <col min="6915" max="6915" width="1.140625" style="17" customWidth="1"/>
    <col min="6916" max="6916" width="30.140625" style="17" customWidth="1"/>
    <col min="6917" max="6917" width="1.5703125" style="17" customWidth="1"/>
    <col min="6918" max="6918" width="21.140625" style="17" customWidth="1"/>
    <col min="6919" max="6919" width="1.5703125" style="17" customWidth="1"/>
    <col min="6920" max="6920" width="22.140625" style="17" customWidth="1"/>
    <col min="6921" max="6921" width="5.85546875" style="17" customWidth="1"/>
    <col min="6922" max="6922" width="27.42578125" style="17" customWidth="1"/>
    <col min="6923" max="6923" width="4.5703125" style="17" customWidth="1"/>
    <col min="6924" max="6924" width="3.140625" style="17" customWidth="1"/>
    <col min="6925" max="6927" width="1.5703125" style="17" customWidth="1"/>
    <col min="6928" max="6928" width="4.85546875" style="17" customWidth="1"/>
    <col min="6929" max="6930" width="1.5703125" style="17" customWidth="1"/>
    <col min="6931" max="7169" width="9.140625" style="17"/>
    <col min="7170" max="7170" width="17.85546875" style="17" customWidth="1"/>
    <col min="7171" max="7171" width="1.140625" style="17" customWidth="1"/>
    <col min="7172" max="7172" width="30.140625" style="17" customWidth="1"/>
    <col min="7173" max="7173" width="1.5703125" style="17" customWidth="1"/>
    <col min="7174" max="7174" width="21.140625" style="17" customWidth="1"/>
    <col min="7175" max="7175" width="1.5703125" style="17" customWidth="1"/>
    <col min="7176" max="7176" width="22.140625" style="17" customWidth="1"/>
    <col min="7177" max="7177" width="5.85546875" style="17" customWidth="1"/>
    <col min="7178" max="7178" width="27.42578125" style="17" customWidth="1"/>
    <col min="7179" max="7179" width="4.5703125" style="17" customWidth="1"/>
    <col min="7180" max="7180" width="3.140625" style="17" customWidth="1"/>
    <col min="7181" max="7183" width="1.5703125" style="17" customWidth="1"/>
    <col min="7184" max="7184" width="4.85546875" style="17" customWidth="1"/>
    <col min="7185" max="7186" width="1.5703125" style="17" customWidth="1"/>
    <col min="7187" max="7425" width="9.140625" style="17"/>
    <col min="7426" max="7426" width="17.85546875" style="17" customWidth="1"/>
    <col min="7427" max="7427" width="1.140625" style="17" customWidth="1"/>
    <col min="7428" max="7428" width="30.140625" style="17" customWidth="1"/>
    <col min="7429" max="7429" width="1.5703125" style="17" customWidth="1"/>
    <col min="7430" max="7430" width="21.140625" style="17" customWidth="1"/>
    <col min="7431" max="7431" width="1.5703125" style="17" customWidth="1"/>
    <col min="7432" max="7432" width="22.140625" style="17" customWidth="1"/>
    <col min="7433" max="7433" width="5.85546875" style="17" customWidth="1"/>
    <col min="7434" max="7434" width="27.42578125" style="17" customWidth="1"/>
    <col min="7435" max="7435" width="4.5703125" style="17" customWidth="1"/>
    <col min="7436" max="7436" width="3.140625" style="17" customWidth="1"/>
    <col min="7437" max="7439" width="1.5703125" style="17" customWidth="1"/>
    <col min="7440" max="7440" width="4.85546875" style="17" customWidth="1"/>
    <col min="7441" max="7442" width="1.5703125" style="17" customWidth="1"/>
    <col min="7443" max="7681" width="9.140625" style="17"/>
    <col min="7682" max="7682" width="17.85546875" style="17" customWidth="1"/>
    <col min="7683" max="7683" width="1.140625" style="17" customWidth="1"/>
    <col min="7684" max="7684" width="30.140625" style="17" customWidth="1"/>
    <col min="7685" max="7685" width="1.5703125" style="17" customWidth="1"/>
    <col min="7686" max="7686" width="21.140625" style="17" customWidth="1"/>
    <col min="7687" max="7687" width="1.5703125" style="17" customWidth="1"/>
    <col min="7688" max="7688" width="22.140625" style="17" customWidth="1"/>
    <col min="7689" max="7689" width="5.85546875" style="17" customWidth="1"/>
    <col min="7690" max="7690" width="27.42578125" style="17" customWidth="1"/>
    <col min="7691" max="7691" width="4.5703125" style="17" customWidth="1"/>
    <col min="7692" max="7692" width="3.140625" style="17" customWidth="1"/>
    <col min="7693" max="7695" width="1.5703125" style="17" customWidth="1"/>
    <col min="7696" max="7696" width="4.85546875" style="17" customWidth="1"/>
    <col min="7697" max="7698" width="1.5703125" style="17" customWidth="1"/>
    <col min="7699" max="7937" width="9.140625" style="17"/>
    <col min="7938" max="7938" width="17.85546875" style="17" customWidth="1"/>
    <col min="7939" max="7939" width="1.140625" style="17" customWidth="1"/>
    <col min="7940" max="7940" width="30.140625" style="17" customWidth="1"/>
    <col min="7941" max="7941" width="1.5703125" style="17" customWidth="1"/>
    <col min="7942" max="7942" width="21.140625" style="17" customWidth="1"/>
    <col min="7943" max="7943" width="1.5703125" style="17" customWidth="1"/>
    <col min="7944" max="7944" width="22.140625" style="17" customWidth="1"/>
    <col min="7945" max="7945" width="5.85546875" style="17" customWidth="1"/>
    <col min="7946" max="7946" width="27.42578125" style="17" customWidth="1"/>
    <col min="7947" max="7947" width="4.5703125" style="17" customWidth="1"/>
    <col min="7948" max="7948" width="3.140625" style="17" customWidth="1"/>
    <col min="7949" max="7951" width="1.5703125" style="17" customWidth="1"/>
    <col min="7952" max="7952" width="4.85546875" style="17" customWidth="1"/>
    <col min="7953" max="7954" width="1.5703125" style="17" customWidth="1"/>
    <col min="7955" max="8193" width="9.140625" style="17"/>
    <col min="8194" max="8194" width="17.85546875" style="17" customWidth="1"/>
    <col min="8195" max="8195" width="1.140625" style="17" customWidth="1"/>
    <col min="8196" max="8196" width="30.140625" style="17" customWidth="1"/>
    <col min="8197" max="8197" width="1.5703125" style="17" customWidth="1"/>
    <col min="8198" max="8198" width="21.140625" style="17" customWidth="1"/>
    <col min="8199" max="8199" width="1.5703125" style="17" customWidth="1"/>
    <col min="8200" max="8200" width="22.140625" style="17" customWidth="1"/>
    <col min="8201" max="8201" width="5.85546875" style="17" customWidth="1"/>
    <col min="8202" max="8202" width="27.42578125" style="17" customWidth="1"/>
    <col min="8203" max="8203" width="4.5703125" style="17" customWidth="1"/>
    <col min="8204" max="8204" width="3.140625" style="17" customWidth="1"/>
    <col min="8205" max="8207" width="1.5703125" style="17" customWidth="1"/>
    <col min="8208" max="8208" width="4.85546875" style="17" customWidth="1"/>
    <col min="8209" max="8210" width="1.5703125" style="17" customWidth="1"/>
    <col min="8211" max="8449" width="9.140625" style="17"/>
    <col min="8450" max="8450" width="17.85546875" style="17" customWidth="1"/>
    <col min="8451" max="8451" width="1.140625" style="17" customWidth="1"/>
    <col min="8452" max="8452" width="30.140625" style="17" customWidth="1"/>
    <col min="8453" max="8453" width="1.5703125" style="17" customWidth="1"/>
    <col min="8454" max="8454" width="21.140625" style="17" customWidth="1"/>
    <col min="8455" max="8455" width="1.5703125" style="17" customWidth="1"/>
    <col min="8456" max="8456" width="22.140625" style="17" customWidth="1"/>
    <col min="8457" max="8457" width="5.85546875" style="17" customWidth="1"/>
    <col min="8458" max="8458" width="27.42578125" style="17" customWidth="1"/>
    <col min="8459" max="8459" width="4.5703125" style="17" customWidth="1"/>
    <col min="8460" max="8460" width="3.140625" style="17" customWidth="1"/>
    <col min="8461" max="8463" width="1.5703125" style="17" customWidth="1"/>
    <col min="8464" max="8464" width="4.85546875" style="17" customWidth="1"/>
    <col min="8465" max="8466" width="1.5703125" style="17" customWidth="1"/>
    <col min="8467" max="8705" width="9.140625" style="17"/>
    <col min="8706" max="8706" width="17.85546875" style="17" customWidth="1"/>
    <col min="8707" max="8707" width="1.140625" style="17" customWidth="1"/>
    <col min="8708" max="8708" width="30.140625" style="17" customWidth="1"/>
    <col min="8709" max="8709" width="1.5703125" style="17" customWidth="1"/>
    <col min="8710" max="8710" width="21.140625" style="17" customWidth="1"/>
    <col min="8711" max="8711" width="1.5703125" style="17" customWidth="1"/>
    <col min="8712" max="8712" width="22.140625" style="17" customWidth="1"/>
    <col min="8713" max="8713" width="5.85546875" style="17" customWidth="1"/>
    <col min="8714" max="8714" width="27.42578125" style="17" customWidth="1"/>
    <col min="8715" max="8715" width="4.5703125" style="17" customWidth="1"/>
    <col min="8716" max="8716" width="3.140625" style="17" customWidth="1"/>
    <col min="8717" max="8719" width="1.5703125" style="17" customWidth="1"/>
    <col min="8720" max="8720" width="4.85546875" style="17" customWidth="1"/>
    <col min="8721" max="8722" width="1.5703125" style="17" customWidth="1"/>
    <col min="8723" max="8961" width="9.140625" style="17"/>
    <col min="8962" max="8962" width="17.85546875" style="17" customWidth="1"/>
    <col min="8963" max="8963" width="1.140625" style="17" customWidth="1"/>
    <col min="8964" max="8964" width="30.140625" style="17" customWidth="1"/>
    <col min="8965" max="8965" width="1.5703125" style="17" customWidth="1"/>
    <col min="8966" max="8966" width="21.140625" style="17" customWidth="1"/>
    <col min="8967" max="8967" width="1.5703125" style="17" customWidth="1"/>
    <col min="8968" max="8968" width="22.140625" style="17" customWidth="1"/>
    <col min="8969" max="8969" width="5.85546875" style="17" customWidth="1"/>
    <col min="8970" max="8970" width="27.42578125" style="17" customWidth="1"/>
    <col min="8971" max="8971" width="4.5703125" style="17" customWidth="1"/>
    <col min="8972" max="8972" width="3.140625" style="17" customWidth="1"/>
    <col min="8973" max="8975" width="1.5703125" style="17" customWidth="1"/>
    <col min="8976" max="8976" width="4.85546875" style="17" customWidth="1"/>
    <col min="8977" max="8978" width="1.5703125" style="17" customWidth="1"/>
    <col min="8979" max="9217" width="9.140625" style="17"/>
    <col min="9218" max="9218" width="17.85546875" style="17" customWidth="1"/>
    <col min="9219" max="9219" width="1.140625" style="17" customWidth="1"/>
    <col min="9220" max="9220" width="30.140625" style="17" customWidth="1"/>
    <col min="9221" max="9221" width="1.5703125" style="17" customWidth="1"/>
    <col min="9222" max="9222" width="21.140625" style="17" customWidth="1"/>
    <col min="9223" max="9223" width="1.5703125" style="17" customWidth="1"/>
    <col min="9224" max="9224" width="22.140625" style="17" customWidth="1"/>
    <col min="9225" max="9225" width="5.85546875" style="17" customWidth="1"/>
    <col min="9226" max="9226" width="27.42578125" style="17" customWidth="1"/>
    <col min="9227" max="9227" width="4.5703125" style="17" customWidth="1"/>
    <col min="9228" max="9228" width="3.140625" style="17" customWidth="1"/>
    <col min="9229" max="9231" width="1.5703125" style="17" customWidth="1"/>
    <col min="9232" max="9232" width="4.85546875" style="17" customWidth="1"/>
    <col min="9233" max="9234" width="1.5703125" style="17" customWidth="1"/>
    <col min="9235" max="9473" width="9.140625" style="17"/>
    <col min="9474" max="9474" width="17.85546875" style="17" customWidth="1"/>
    <col min="9475" max="9475" width="1.140625" style="17" customWidth="1"/>
    <col min="9476" max="9476" width="30.140625" style="17" customWidth="1"/>
    <col min="9477" max="9477" width="1.5703125" style="17" customWidth="1"/>
    <col min="9478" max="9478" width="21.140625" style="17" customWidth="1"/>
    <col min="9479" max="9479" width="1.5703125" style="17" customWidth="1"/>
    <col min="9480" max="9480" width="22.140625" style="17" customWidth="1"/>
    <col min="9481" max="9481" width="5.85546875" style="17" customWidth="1"/>
    <col min="9482" max="9482" width="27.42578125" style="17" customWidth="1"/>
    <col min="9483" max="9483" width="4.5703125" style="17" customWidth="1"/>
    <col min="9484" max="9484" width="3.140625" style="17" customWidth="1"/>
    <col min="9485" max="9487" width="1.5703125" style="17" customWidth="1"/>
    <col min="9488" max="9488" width="4.85546875" style="17" customWidth="1"/>
    <col min="9489" max="9490" width="1.5703125" style="17" customWidth="1"/>
    <col min="9491" max="9729" width="9.140625" style="17"/>
    <col min="9730" max="9730" width="17.85546875" style="17" customWidth="1"/>
    <col min="9731" max="9731" width="1.140625" style="17" customWidth="1"/>
    <col min="9732" max="9732" width="30.140625" style="17" customWidth="1"/>
    <col min="9733" max="9733" width="1.5703125" style="17" customWidth="1"/>
    <col min="9734" max="9734" width="21.140625" style="17" customWidth="1"/>
    <col min="9735" max="9735" width="1.5703125" style="17" customWidth="1"/>
    <col min="9736" max="9736" width="22.140625" style="17" customWidth="1"/>
    <col min="9737" max="9737" width="5.85546875" style="17" customWidth="1"/>
    <col min="9738" max="9738" width="27.42578125" style="17" customWidth="1"/>
    <col min="9739" max="9739" width="4.5703125" style="17" customWidth="1"/>
    <col min="9740" max="9740" width="3.140625" style="17" customWidth="1"/>
    <col min="9741" max="9743" width="1.5703125" style="17" customWidth="1"/>
    <col min="9744" max="9744" width="4.85546875" style="17" customWidth="1"/>
    <col min="9745" max="9746" width="1.5703125" style="17" customWidth="1"/>
    <col min="9747" max="9985" width="9.140625" style="17"/>
    <col min="9986" max="9986" width="17.85546875" style="17" customWidth="1"/>
    <col min="9987" max="9987" width="1.140625" style="17" customWidth="1"/>
    <col min="9988" max="9988" width="30.140625" style="17" customWidth="1"/>
    <col min="9989" max="9989" width="1.5703125" style="17" customWidth="1"/>
    <col min="9990" max="9990" width="21.140625" style="17" customWidth="1"/>
    <col min="9991" max="9991" width="1.5703125" style="17" customWidth="1"/>
    <col min="9992" max="9992" width="22.140625" style="17" customWidth="1"/>
    <col min="9993" max="9993" width="5.85546875" style="17" customWidth="1"/>
    <col min="9994" max="9994" width="27.42578125" style="17" customWidth="1"/>
    <col min="9995" max="9995" width="4.5703125" style="17" customWidth="1"/>
    <col min="9996" max="9996" width="3.140625" style="17" customWidth="1"/>
    <col min="9997" max="9999" width="1.5703125" style="17" customWidth="1"/>
    <col min="10000" max="10000" width="4.85546875" style="17" customWidth="1"/>
    <col min="10001" max="10002" width="1.5703125" style="17" customWidth="1"/>
    <col min="10003" max="10241" width="9.140625" style="17"/>
    <col min="10242" max="10242" width="17.85546875" style="17" customWidth="1"/>
    <col min="10243" max="10243" width="1.140625" style="17" customWidth="1"/>
    <col min="10244" max="10244" width="30.140625" style="17" customWidth="1"/>
    <col min="10245" max="10245" width="1.5703125" style="17" customWidth="1"/>
    <col min="10246" max="10246" width="21.140625" style="17" customWidth="1"/>
    <col min="10247" max="10247" width="1.5703125" style="17" customWidth="1"/>
    <col min="10248" max="10248" width="22.140625" style="17" customWidth="1"/>
    <col min="10249" max="10249" width="5.85546875" style="17" customWidth="1"/>
    <col min="10250" max="10250" width="27.42578125" style="17" customWidth="1"/>
    <col min="10251" max="10251" width="4.5703125" style="17" customWidth="1"/>
    <col min="10252" max="10252" width="3.140625" style="17" customWidth="1"/>
    <col min="10253" max="10255" width="1.5703125" style="17" customWidth="1"/>
    <col min="10256" max="10256" width="4.85546875" style="17" customWidth="1"/>
    <col min="10257" max="10258" width="1.5703125" style="17" customWidth="1"/>
    <col min="10259" max="10497" width="9.140625" style="17"/>
    <col min="10498" max="10498" width="17.85546875" style="17" customWidth="1"/>
    <col min="10499" max="10499" width="1.140625" style="17" customWidth="1"/>
    <col min="10500" max="10500" width="30.140625" style="17" customWidth="1"/>
    <col min="10501" max="10501" width="1.5703125" style="17" customWidth="1"/>
    <col min="10502" max="10502" width="21.140625" style="17" customWidth="1"/>
    <col min="10503" max="10503" width="1.5703125" style="17" customWidth="1"/>
    <col min="10504" max="10504" width="22.140625" style="17" customWidth="1"/>
    <col min="10505" max="10505" width="5.85546875" style="17" customWidth="1"/>
    <col min="10506" max="10506" width="27.42578125" style="17" customWidth="1"/>
    <col min="10507" max="10507" width="4.5703125" style="17" customWidth="1"/>
    <col min="10508" max="10508" width="3.140625" style="17" customWidth="1"/>
    <col min="10509" max="10511" width="1.5703125" style="17" customWidth="1"/>
    <col min="10512" max="10512" width="4.85546875" style="17" customWidth="1"/>
    <col min="10513" max="10514" width="1.5703125" style="17" customWidth="1"/>
    <col min="10515" max="10753" width="9.140625" style="17"/>
    <col min="10754" max="10754" width="17.85546875" style="17" customWidth="1"/>
    <col min="10755" max="10755" width="1.140625" style="17" customWidth="1"/>
    <col min="10756" max="10756" width="30.140625" style="17" customWidth="1"/>
    <col min="10757" max="10757" width="1.5703125" style="17" customWidth="1"/>
    <col min="10758" max="10758" width="21.140625" style="17" customWidth="1"/>
    <col min="10759" max="10759" width="1.5703125" style="17" customWidth="1"/>
    <col min="10760" max="10760" width="22.140625" style="17" customWidth="1"/>
    <col min="10761" max="10761" width="5.85546875" style="17" customWidth="1"/>
    <col min="10762" max="10762" width="27.42578125" style="17" customWidth="1"/>
    <col min="10763" max="10763" width="4.5703125" style="17" customWidth="1"/>
    <col min="10764" max="10764" width="3.140625" style="17" customWidth="1"/>
    <col min="10765" max="10767" width="1.5703125" style="17" customWidth="1"/>
    <col min="10768" max="10768" width="4.85546875" style="17" customWidth="1"/>
    <col min="10769" max="10770" width="1.5703125" style="17" customWidth="1"/>
    <col min="10771" max="11009" width="9.140625" style="17"/>
    <col min="11010" max="11010" width="17.85546875" style="17" customWidth="1"/>
    <col min="11011" max="11011" width="1.140625" style="17" customWidth="1"/>
    <col min="11012" max="11012" width="30.140625" style="17" customWidth="1"/>
    <col min="11013" max="11013" width="1.5703125" style="17" customWidth="1"/>
    <col min="11014" max="11014" width="21.140625" style="17" customWidth="1"/>
    <col min="11015" max="11015" width="1.5703125" style="17" customWidth="1"/>
    <col min="11016" max="11016" width="22.140625" style="17" customWidth="1"/>
    <col min="11017" max="11017" width="5.85546875" style="17" customWidth="1"/>
    <col min="11018" max="11018" width="27.42578125" style="17" customWidth="1"/>
    <col min="11019" max="11019" width="4.5703125" style="17" customWidth="1"/>
    <col min="11020" max="11020" width="3.140625" style="17" customWidth="1"/>
    <col min="11021" max="11023" width="1.5703125" style="17" customWidth="1"/>
    <col min="11024" max="11024" width="4.85546875" style="17" customWidth="1"/>
    <col min="11025" max="11026" width="1.5703125" style="17" customWidth="1"/>
    <col min="11027" max="11265" width="9.140625" style="17"/>
    <col min="11266" max="11266" width="17.85546875" style="17" customWidth="1"/>
    <col min="11267" max="11267" width="1.140625" style="17" customWidth="1"/>
    <col min="11268" max="11268" width="30.140625" style="17" customWidth="1"/>
    <col min="11269" max="11269" width="1.5703125" style="17" customWidth="1"/>
    <col min="11270" max="11270" width="21.140625" style="17" customWidth="1"/>
    <col min="11271" max="11271" width="1.5703125" style="17" customWidth="1"/>
    <col min="11272" max="11272" width="22.140625" style="17" customWidth="1"/>
    <col min="11273" max="11273" width="5.85546875" style="17" customWidth="1"/>
    <col min="11274" max="11274" width="27.42578125" style="17" customWidth="1"/>
    <col min="11275" max="11275" width="4.5703125" style="17" customWidth="1"/>
    <col min="11276" max="11276" width="3.140625" style="17" customWidth="1"/>
    <col min="11277" max="11279" width="1.5703125" style="17" customWidth="1"/>
    <col min="11280" max="11280" width="4.85546875" style="17" customWidth="1"/>
    <col min="11281" max="11282" width="1.5703125" style="17" customWidth="1"/>
    <col min="11283" max="11521" width="9.140625" style="17"/>
    <col min="11522" max="11522" width="17.85546875" style="17" customWidth="1"/>
    <col min="11523" max="11523" width="1.140625" style="17" customWidth="1"/>
    <col min="11524" max="11524" width="30.140625" style="17" customWidth="1"/>
    <col min="11525" max="11525" width="1.5703125" style="17" customWidth="1"/>
    <col min="11526" max="11526" width="21.140625" style="17" customWidth="1"/>
    <col min="11527" max="11527" width="1.5703125" style="17" customWidth="1"/>
    <col min="11528" max="11528" width="22.140625" style="17" customWidth="1"/>
    <col min="11529" max="11529" width="5.85546875" style="17" customWidth="1"/>
    <col min="11530" max="11530" width="27.42578125" style="17" customWidth="1"/>
    <col min="11531" max="11531" width="4.5703125" style="17" customWidth="1"/>
    <col min="11532" max="11532" width="3.140625" style="17" customWidth="1"/>
    <col min="11533" max="11535" width="1.5703125" style="17" customWidth="1"/>
    <col min="11536" max="11536" width="4.85546875" style="17" customWidth="1"/>
    <col min="11537" max="11538" width="1.5703125" style="17" customWidth="1"/>
    <col min="11539" max="11777" width="9.140625" style="17"/>
    <col min="11778" max="11778" width="17.85546875" style="17" customWidth="1"/>
    <col min="11779" max="11779" width="1.140625" style="17" customWidth="1"/>
    <col min="11780" max="11780" width="30.140625" style="17" customWidth="1"/>
    <col min="11781" max="11781" width="1.5703125" style="17" customWidth="1"/>
    <col min="11782" max="11782" width="21.140625" style="17" customWidth="1"/>
    <col min="11783" max="11783" width="1.5703125" style="17" customWidth="1"/>
    <col min="11784" max="11784" width="22.140625" style="17" customWidth="1"/>
    <col min="11785" max="11785" width="5.85546875" style="17" customWidth="1"/>
    <col min="11786" max="11786" width="27.42578125" style="17" customWidth="1"/>
    <col min="11787" max="11787" width="4.5703125" style="17" customWidth="1"/>
    <col min="11788" max="11788" width="3.140625" style="17" customWidth="1"/>
    <col min="11789" max="11791" width="1.5703125" style="17" customWidth="1"/>
    <col min="11792" max="11792" width="4.85546875" style="17" customWidth="1"/>
    <col min="11793" max="11794" width="1.5703125" style="17" customWidth="1"/>
    <col min="11795" max="12033" width="9.140625" style="17"/>
    <col min="12034" max="12034" width="17.85546875" style="17" customWidth="1"/>
    <col min="12035" max="12035" width="1.140625" style="17" customWidth="1"/>
    <col min="12036" max="12036" width="30.140625" style="17" customWidth="1"/>
    <col min="12037" max="12037" width="1.5703125" style="17" customWidth="1"/>
    <col min="12038" max="12038" width="21.140625" style="17" customWidth="1"/>
    <col min="12039" max="12039" width="1.5703125" style="17" customWidth="1"/>
    <col min="12040" max="12040" width="22.140625" style="17" customWidth="1"/>
    <col min="12041" max="12041" width="5.85546875" style="17" customWidth="1"/>
    <col min="12042" max="12042" width="27.42578125" style="17" customWidth="1"/>
    <col min="12043" max="12043" width="4.5703125" style="17" customWidth="1"/>
    <col min="12044" max="12044" width="3.140625" style="17" customWidth="1"/>
    <col min="12045" max="12047" width="1.5703125" style="17" customWidth="1"/>
    <col min="12048" max="12048" width="4.85546875" style="17" customWidth="1"/>
    <col min="12049" max="12050" width="1.5703125" style="17" customWidth="1"/>
    <col min="12051" max="12289" width="9.140625" style="17"/>
    <col min="12290" max="12290" width="17.85546875" style="17" customWidth="1"/>
    <col min="12291" max="12291" width="1.140625" style="17" customWidth="1"/>
    <col min="12292" max="12292" width="30.140625" style="17" customWidth="1"/>
    <col min="12293" max="12293" width="1.5703125" style="17" customWidth="1"/>
    <col min="12294" max="12294" width="21.140625" style="17" customWidth="1"/>
    <col min="12295" max="12295" width="1.5703125" style="17" customWidth="1"/>
    <col min="12296" max="12296" width="22.140625" style="17" customWidth="1"/>
    <col min="12297" max="12297" width="5.85546875" style="17" customWidth="1"/>
    <col min="12298" max="12298" width="27.42578125" style="17" customWidth="1"/>
    <col min="12299" max="12299" width="4.5703125" style="17" customWidth="1"/>
    <col min="12300" max="12300" width="3.140625" style="17" customWidth="1"/>
    <col min="12301" max="12303" width="1.5703125" style="17" customWidth="1"/>
    <col min="12304" max="12304" width="4.85546875" style="17" customWidth="1"/>
    <col min="12305" max="12306" width="1.5703125" style="17" customWidth="1"/>
    <col min="12307" max="12545" width="9.140625" style="17"/>
    <col min="12546" max="12546" width="17.85546875" style="17" customWidth="1"/>
    <col min="12547" max="12547" width="1.140625" style="17" customWidth="1"/>
    <col min="12548" max="12548" width="30.140625" style="17" customWidth="1"/>
    <col min="12549" max="12549" width="1.5703125" style="17" customWidth="1"/>
    <col min="12550" max="12550" width="21.140625" style="17" customWidth="1"/>
    <col min="12551" max="12551" width="1.5703125" style="17" customWidth="1"/>
    <col min="12552" max="12552" width="22.140625" style="17" customWidth="1"/>
    <col min="12553" max="12553" width="5.85546875" style="17" customWidth="1"/>
    <col min="12554" max="12554" width="27.42578125" style="17" customWidth="1"/>
    <col min="12555" max="12555" width="4.5703125" style="17" customWidth="1"/>
    <col min="12556" max="12556" width="3.140625" style="17" customWidth="1"/>
    <col min="12557" max="12559" width="1.5703125" style="17" customWidth="1"/>
    <col min="12560" max="12560" width="4.85546875" style="17" customWidth="1"/>
    <col min="12561" max="12562" width="1.5703125" style="17" customWidth="1"/>
    <col min="12563" max="12801" width="9.140625" style="17"/>
    <col min="12802" max="12802" width="17.85546875" style="17" customWidth="1"/>
    <col min="12803" max="12803" width="1.140625" style="17" customWidth="1"/>
    <col min="12804" max="12804" width="30.140625" style="17" customWidth="1"/>
    <col min="12805" max="12805" width="1.5703125" style="17" customWidth="1"/>
    <col min="12806" max="12806" width="21.140625" style="17" customWidth="1"/>
    <col min="12807" max="12807" width="1.5703125" style="17" customWidth="1"/>
    <col min="12808" max="12808" width="22.140625" style="17" customWidth="1"/>
    <col min="12809" max="12809" width="5.85546875" style="17" customWidth="1"/>
    <col min="12810" max="12810" width="27.42578125" style="17" customWidth="1"/>
    <col min="12811" max="12811" width="4.5703125" style="17" customWidth="1"/>
    <col min="12812" max="12812" width="3.140625" style="17" customWidth="1"/>
    <col min="12813" max="12815" width="1.5703125" style="17" customWidth="1"/>
    <col min="12816" max="12816" width="4.85546875" style="17" customWidth="1"/>
    <col min="12817" max="12818" width="1.5703125" style="17" customWidth="1"/>
    <col min="12819" max="13057" width="9.140625" style="17"/>
    <col min="13058" max="13058" width="17.85546875" style="17" customWidth="1"/>
    <col min="13059" max="13059" width="1.140625" style="17" customWidth="1"/>
    <col min="13060" max="13060" width="30.140625" style="17" customWidth="1"/>
    <col min="13061" max="13061" width="1.5703125" style="17" customWidth="1"/>
    <col min="13062" max="13062" width="21.140625" style="17" customWidth="1"/>
    <col min="13063" max="13063" width="1.5703125" style="17" customWidth="1"/>
    <col min="13064" max="13064" width="22.140625" style="17" customWidth="1"/>
    <col min="13065" max="13065" width="5.85546875" style="17" customWidth="1"/>
    <col min="13066" max="13066" width="27.42578125" style="17" customWidth="1"/>
    <col min="13067" max="13067" width="4.5703125" style="17" customWidth="1"/>
    <col min="13068" max="13068" width="3.140625" style="17" customWidth="1"/>
    <col min="13069" max="13071" width="1.5703125" style="17" customWidth="1"/>
    <col min="13072" max="13072" width="4.85546875" style="17" customWidth="1"/>
    <col min="13073" max="13074" width="1.5703125" style="17" customWidth="1"/>
    <col min="13075" max="13313" width="9.140625" style="17"/>
    <col min="13314" max="13314" width="17.85546875" style="17" customWidth="1"/>
    <col min="13315" max="13315" width="1.140625" style="17" customWidth="1"/>
    <col min="13316" max="13316" width="30.140625" style="17" customWidth="1"/>
    <col min="13317" max="13317" width="1.5703125" style="17" customWidth="1"/>
    <col min="13318" max="13318" width="21.140625" style="17" customWidth="1"/>
    <col min="13319" max="13319" width="1.5703125" style="17" customWidth="1"/>
    <col min="13320" max="13320" width="22.140625" style="17" customWidth="1"/>
    <col min="13321" max="13321" width="5.85546875" style="17" customWidth="1"/>
    <col min="13322" max="13322" width="27.42578125" style="17" customWidth="1"/>
    <col min="13323" max="13323" width="4.5703125" style="17" customWidth="1"/>
    <col min="13324" max="13324" width="3.140625" style="17" customWidth="1"/>
    <col min="13325" max="13327" width="1.5703125" style="17" customWidth="1"/>
    <col min="13328" max="13328" width="4.85546875" style="17" customWidth="1"/>
    <col min="13329" max="13330" width="1.5703125" style="17" customWidth="1"/>
    <col min="13331" max="13569" width="9.140625" style="17"/>
    <col min="13570" max="13570" width="17.85546875" style="17" customWidth="1"/>
    <col min="13571" max="13571" width="1.140625" style="17" customWidth="1"/>
    <col min="13572" max="13572" width="30.140625" style="17" customWidth="1"/>
    <col min="13573" max="13573" width="1.5703125" style="17" customWidth="1"/>
    <col min="13574" max="13574" width="21.140625" style="17" customWidth="1"/>
    <col min="13575" max="13575" width="1.5703125" style="17" customWidth="1"/>
    <col min="13576" max="13576" width="22.140625" style="17" customWidth="1"/>
    <col min="13577" max="13577" width="5.85546875" style="17" customWidth="1"/>
    <col min="13578" max="13578" width="27.42578125" style="17" customWidth="1"/>
    <col min="13579" max="13579" width="4.5703125" style="17" customWidth="1"/>
    <col min="13580" max="13580" width="3.140625" style="17" customWidth="1"/>
    <col min="13581" max="13583" width="1.5703125" style="17" customWidth="1"/>
    <col min="13584" max="13584" width="4.85546875" style="17" customWidth="1"/>
    <col min="13585" max="13586" width="1.5703125" style="17" customWidth="1"/>
    <col min="13587" max="13825" width="9.140625" style="17"/>
    <col min="13826" max="13826" width="17.85546875" style="17" customWidth="1"/>
    <col min="13827" max="13827" width="1.140625" style="17" customWidth="1"/>
    <col min="13828" max="13828" width="30.140625" style="17" customWidth="1"/>
    <col min="13829" max="13829" width="1.5703125" style="17" customWidth="1"/>
    <col min="13830" max="13830" width="21.140625" style="17" customWidth="1"/>
    <col min="13831" max="13831" width="1.5703125" style="17" customWidth="1"/>
    <col min="13832" max="13832" width="22.140625" style="17" customWidth="1"/>
    <col min="13833" max="13833" width="5.85546875" style="17" customWidth="1"/>
    <col min="13834" max="13834" width="27.42578125" style="17" customWidth="1"/>
    <col min="13835" max="13835" width="4.5703125" style="17" customWidth="1"/>
    <col min="13836" max="13836" width="3.140625" style="17" customWidth="1"/>
    <col min="13837" max="13839" width="1.5703125" style="17" customWidth="1"/>
    <col min="13840" max="13840" width="4.85546875" style="17" customWidth="1"/>
    <col min="13841" max="13842" width="1.5703125" style="17" customWidth="1"/>
    <col min="13843" max="14081" width="9.140625" style="17"/>
    <col min="14082" max="14082" width="17.85546875" style="17" customWidth="1"/>
    <col min="14083" max="14083" width="1.140625" style="17" customWidth="1"/>
    <col min="14084" max="14084" width="30.140625" style="17" customWidth="1"/>
    <col min="14085" max="14085" width="1.5703125" style="17" customWidth="1"/>
    <col min="14086" max="14086" width="21.140625" style="17" customWidth="1"/>
    <col min="14087" max="14087" width="1.5703125" style="17" customWidth="1"/>
    <col min="14088" max="14088" width="22.140625" style="17" customWidth="1"/>
    <col min="14089" max="14089" width="5.85546875" style="17" customWidth="1"/>
    <col min="14090" max="14090" width="27.42578125" style="17" customWidth="1"/>
    <col min="14091" max="14091" width="4.5703125" style="17" customWidth="1"/>
    <col min="14092" max="14092" width="3.140625" style="17" customWidth="1"/>
    <col min="14093" max="14095" width="1.5703125" style="17" customWidth="1"/>
    <col min="14096" max="14096" width="4.85546875" style="17" customWidth="1"/>
    <col min="14097" max="14098" width="1.5703125" style="17" customWidth="1"/>
    <col min="14099" max="14337" width="9.140625" style="17"/>
    <col min="14338" max="14338" width="17.85546875" style="17" customWidth="1"/>
    <col min="14339" max="14339" width="1.140625" style="17" customWidth="1"/>
    <col min="14340" max="14340" width="30.140625" style="17" customWidth="1"/>
    <col min="14341" max="14341" width="1.5703125" style="17" customWidth="1"/>
    <col min="14342" max="14342" width="21.140625" style="17" customWidth="1"/>
    <col min="14343" max="14343" width="1.5703125" style="17" customWidth="1"/>
    <col min="14344" max="14344" width="22.140625" style="17" customWidth="1"/>
    <col min="14345" max="14345" width="5.85546875" style="17" customWidth="1"/>
    <col min="14346" max="14346" width="27.42578125" style="17" customWidth="1"/>
    <col min="14347" max="14347" width="4.5703125" style="17" customWidth="1"/>
    <col min="14348" max="14348" width="3.140625" style="17" customWidth="1"/>
    <col min="14349" max="14351" width="1.5703125" style="17" customWidth="1"/>
    <col min="14352" max="14352" width="4.85546875" style="17" customWidth="1"/>
    <col min="14353" max="14354" width="1.5703125" style="17" customWidth="1"/>
    <col min="14355" max="14593" width="9.140625" style="17"/>
    <col min="14594" max="14594" width="17.85546875" style="17" customWidth="1"/>
    <col min="14595" max="14595" width="1.140625" style="17" customWidth="1"/>
    <col min="14596" max="14596" width="30.140625" style="17" customWidth="1"/>
    <col min="14597" max="14597" width="1.5703125" style="17" customWidth="1"/>
    <col min="14598" max="14598" width="21.140625" style="17" customWidth="1"/>
    <col min="14599" max="14599" width="1.5703125" style="17" customWidth="1"/>
    <col min="14600" max="14600" width="22.140625" style="17" customWidth="1"/>
    <col min="14601" max="14601" width="5.85546875" style="17" customWidth="1"/>
    <col min="14602" max="14602" width="27.42578125" style="17" customWidth="1"/>
    <col min="14603" max="14603" width="4.5703125" style="17" customWidth="1"/>
    <col min="14604" max="14604" width="3.140625" style="17" customWidth="1"/>
    <col min="14605" max="14607" width="1.5703125" style="17" customWidth="1"/>
    <col min="14608" max="14608" width="4.85546875" style="17" customWidth="1"/>
    <col min="14609" max="14610" width="1.5703125" style="17" customWidth="1"/>
    <col min="14611" max="14849" width="9.140625" style="17"/>
    <col min="14850" max="14850" width="17.85546875" style="17" customWidth="1"/>
    <col min="14851" max="14851" width="1.140625" style="17" customWidth="1"/>
    <col min="14852" max="14852" width="30.140625" style="17" customWidth="1"/>
    <col min="14853" max="14853" width="1.5703125" style="17" customWidth="1"/>
    <col min="14854" max="14854" width="21.140625" style="17" customWidth="1"/>
    <col min="14855" max="14855" width="1.5703125" style="17" customWidth="1"/>
    <col min="14856" max="14856" width="22.140625" style="17" customWidth="1"/>
    <col min="14857" max="14857" width="5.85546875" style="17" customWidth="1"/>
    <col min="14858" max="14858" width="27.42578125" style="17" customWidth="1"/>
    <col min="14859" max="14859" width="4.5703125" style="17" customWidth="1"/>
    <col min="14860" max="14860" width="3.140625" style="17" customWidth="1"/>
    <col min="14861" max="14863" width="1.5703125" style="17" customWidth="1"/>
    <col min="14864" max="14864" width="4.85546875" style="17" customWidth="1"/>
    <col min="14865" max="14866" width="1.5703125" style="17" customWidth="1"/>
    <col min="14867" max="15105" width="9.140625" style="17"/>
    <col min="15106" max="15106" width="17.85546875" style="17" customWidth="1"/>
    <col min="15107" max="15107" width="1.140625" style="17" customWidth="1"/>
    <col min="15108" max="15108" width="30.140625" style="17" customWidth="1"/>
    <col min="15109" max="15109" width="1.5703125" style="17" customWidth="1"/>
    <col min="15110" max="15110" width="21.140625" style="17" customWidth="1"/>
    <col min="15111" max="15111" width="1.5703125" style="17" customWidth="1"/>
    <col min="15112" max="15112" width="22.140625" style="17" customWidth="1"/>
    <col min="15113" max="15113" width="5.85546875" style="17" customWidth="1"/>
    <col min="15114" max="15114" width="27.42578125" style="17" customWidth="1"/>
    <col min="15115" max="15115" width="4.5703125" style="17" customWidth="1"/>
    <col min="15116" max="15116" width="3.140625" style="17" customWidth="1"/>
    <col min="15117" max="15119" width="1.5703125" style="17" customWidth="1"/>
    <col min="15120" max="15120" width="4.85546875" style="17" customWidth="1"/>
    <col min="15121" max="15122" width="1.5703125" style="17" customWidth="1"/>
    <col min="15123" max="15361" width="9.140625" style="17"/>
    <col min="15362" max="15362" width="17.85546875" style="17" customWidth="1"/>
    <col min="15363" max="15363" width="1.140625" style="17" customWidth="1"/>
    <col min="15364" max="15364" width="30.140625" style="17" customWidth="1"/>
    <col min="15365" max="15365" width="1.5703125" style="17" customWidth="1"/>
    <col min="15366" max="15366" width="21.140625" style="17" customWidth="1"/>
    <col min="15367" max="15367" width="1.5703125" style="17" customWidth="1"/>
    <col min="15368" max="15368" width="22.140625" style="17" customWidth="1"/>
    <col min="15369" max="15369" width="5.85546875" style="17" customWidth="1"/>
    <col min="15370" max="15370" width="27.42578125" style="17" customWidth="1"/>
    <col min="15371" max="15371" width="4.5703125" style="17" customWidth="1"/>
    <col min="15372" max="15372" width="3.140625" style="17" customWidth="1"/>
    <col min="15373" max="15375" width="1.5703125" style="17" customWidth="1"/>
    <col min="15376" max="15376" width="4.85546875" style="17" customWidth="1"/>
    <col min="15377" max="15378" width="1.5703125" style="17" customWidth="1"/>
    <col min="15379" max="15617" width="9.140625" style="17"/>
    <col min="15618" max="15618" width="17.85546875" style="17" customWidth="1"/>
    <col min="15619" max="15619" width="1.140625" style="17" customWidth="1"/>
    <col min="15620" max="15620" width="30.140625" style="17" customWidth="1"/>
    <col min="15621" max="15621" width="1.5703125" style="17" customWidth="1"/>
    <col min="15622" max="15622" width="21.140625" style="17" customWidth="1"/>
    <col min="15623" max="15623" width="1.5703125" style="17" customWidth="1"/>
    <col min="15624" max="15624" width="22.140625" style="17" customWidth="1"/>
    <col min="15625" max="15625" width="5.85546875" style="17" customWidth="1"/>
    <col min="15626" max="15626" width="27.42578125" style="17" customWidth="1"/>
    <col min="15627" max="15627" width="4.5703125" style="17" customWidth="1"/>
    <col min="15628" max="15628" width="3.140625" style="17" customWidth="1"/>
    <col min="15629" max="15631" width="1.5703125" style="17" customWidth="1"/>
    <col min="15632" max="15632" width="4.85546875" style="17" customWidth="1"/>
    <col min="15633" max="15634" width="1.5703125" style="17" customWidth="1"/>
    <col min="15635" max="15873" width="9.140625" style="17"/>
    <col min="15874" max="15874" width="17.85546875" style="17" customWidth="1"/>
    <col min="15875" max="15875" width="1.140625" style="17" customWidth="1"/>
    <col min="15876" max="15876" width="30.140625" style="17" customWidth="1"/>
    <col min="15877" max="15877" width="1.5703125" style="17" customWidth="1"/>
    <col min="15878" max="15878" width="21.140625" style="17" customWidth="1"/>
    <col min="15879" max="15879" width="1.5703125" style="17" customWidth="1"/>
    <col min="15880" max="15880" width="22.140625" style="17" customWidth="1"/>
    <col min="15881" max="15881" width="5.85546875" style="17" customWidth="1"/>
    <col min="15882" max="15882" width="27.42578125" style="17" customWidth="1"/>
    <col min="15883" max="15883" width="4.5703125" style="17" customWidth="1"/>
    <col min="15884" max="15884" width="3.140625" style="17" customWidth="1"/>
    <col min="15885" max="15887" width="1.5703125" style="17" customWidth="1"/>
    <col min="15888" max="15888" width="4.85546875" style="17" customWidth="1"/>
    <col min="15889" max="15890" width="1.5703125" style="17" customWidth="1"/>
    <col min="15891" max="16129" width="9.140625" style="17"/>
    <col min="16130" max="16130" width="17.85546875" style="17" customWidth="1"/>
    <col min="16131" max="16131" width="1.140625" style="17" customWidth="1"/>
    <col min="16132" max="16132" width="30.140625" style="17" customWidth="1"/>
    <col min="16133" max="16133" width="1.5703125" style="17" customWidth="1"/>
    <col min="16134" max="16134" width="21.140625" style="17" customWidth="1"/>
    <col min="16135" max="16135" width="1.5703125" style="17" customWidth="1"/>
    <col min="16136" max="16136" width="22.140625" style="17" customWidth="1"/>
    <col min="16137" max="16137" width="5.85546875" style="17" customWidth="1"/>
    <col min="16138" max="16138" width="27.42578125" style="17" customWidth="1"/>
    <col min="16139" max="16139" width="4.5703125" style="17" customWidth="1"/>
    <col min="16140" max="16140" width="3.140625" style="17" customWidth="1"/>
    <col min="16141" max="16143" width="1.5703125" style="17" customWidth="1"/>
    <col min="16144" max="16144" width="4.85546875" style="17" customWidth="1"/>
    <col min="16145" max="16146" width="1.5703125" style="17" customWidth="1"/>
    <col min="16147" max="16384" width="9.140625" style="17"/>
  </cols>
  <sheetData>
    <row r="1" spans="1:12" s="16" customFormat="1" ht="25.15" customHeight="1" x14ac:dyDescent="0.25">
      <c r="A1" s="2455" t="str">
        <f>+Index!$A$1</f>
        <v xml:space="preserve">                                                               Office of the State Controller                                                                </v>
      </c>
      <c r="B1" s="2637"/>
      <c r="C1" s="2637"/>
      <c r="D1" s="2637"/>
      <c r="E1" s="2637"/>
      <c r="F1" s="2637"/>
      <c r="G1" s="2637"/>
      <c r="H1" s="2637"/>
      <c r="I1" s="2637"/>
      <c r="J1" s="2637"/>
      <c r="K1" s="2637"/>
      <c r="L1" s="2215" t="str">
        <f>IF(Index!$B$52="na","NA","")</f>
        <v/>
      </c>
    </row>
    <row r="2" spans="1:12" s="16" customFormat="1" ht="15.75" x14ac:dyDescent="0.25">
      <c r="A2" s="2633" t="str">
        <f>+Index!$A$2</f>
        <v>2023 ACFR Worksheets</v>
      </c>
      <c r="B2" s="2637"/>
      <c r="C2" s="2637"/>
      <c r="D2" s="2637"/>
      <c r="E2" s="2637"/>
      <c r="F2" s="2637"/>
      <c r="G2" s="2637"/>
      <c r="H2" s="2637"/>
      <c r="I2" s="2637"/>
      <c r="J2" s="2637"/>
      <c r="K2" s="2637"/>
      <c r="L2" s="2215"/>
    </row>
    <row r="3" spans="1:12" s="16" customFormat="1" ht="15.75" x14ac:dyDescent="0.25">
      <c r="A3" s="2634" t="s">
        <v>1543</v>
      </c>
      <c r="B3" s="2637"/>
      <c r="C3" s="2637"/>
      <c r="D3" s="2637"/>
      <c r="E3" s="2637"/>
      <c r="F3" s="2637"/>
      <c r="G3" s="2637"/>
      <c r="H3" s="2637"/>
      <c r="I3" s="2637"/>
      <c r="J3" s="2637"/>
      <c r="K3" s="2637"/>
      <c r="L3" s="2215"/>
    </row>
    <row r="4" spans="1:12" s="18" customFormat="1" ht="15" x14ac:dyDescent="0.25">
      <c r="F4" s="446"/>
      <c r="H4" s="446"/>
      <c r="I4" s="1419" t="s">
        <v>1544</v>
      </c>
    </row>
    <row r="5" spans="1:12" s="18" customFormat="1" ht="6" customHeight="1" x14ac:dyDescent="0.2">
      <c r="D5" s="149"/>
      <c r="E5" s="149"/>
      <c r="G5" s="2635"/>
      <c r="H5" s="2635"/>
      <c r="I5" s="2635"/>
      <c r="J5" s="2276"/>
    </row>
    <row r="6" spans="1:12" s="18" customFormat="1" ht="15" customHeight="1" x14ac:dyDescent="0.2">
      <c r="A6" s="2326" t="s">
        <v>317</v>
      </c>
      <c r="B6" s="2326"/>
      <c r="C6" s="2325" t="str">
        <f>Index!$E$10</f>
        <v>01</v>
      </c>
      <c r="D6" s="149"/>
      <c r="E6" s="149"/>
      <c r="G6" s="19" t="s">
        <v>318</v>
      </c>
      <c r="H6" s="2277"/>
      <c r="I6" s="2636" t="str">
        <f>+Index!$E$11</f>
        <v>North Carolina General Assembly</v>
      </c>
      <c r="J6" s="2636"/>
      <c r="K6" s="2636"/>
    </row>
    <row r="7" spans="1:12" s="18" customFormat="1" ht="15" customHeight="1" x14ac:dyDescent="0.2">
      <c r="D7" s="149"/>
      <c r="E7" s="149"/>
      <c r="G7" s="19" t="s">
        <v>319</v>
      </c>
      <c r="H7" s="2275"/>
      <c r="I7" s="2636" t="str">
        <f>CONCATENATE(Index!$E$12," ",Index!$E$14)</f>
        <v xml:space="preserve"> </v>
      </c>
      <c r="J7" s="2636"/>
      <c r="K7" s="2636"/>
    </row>
    <row r="8" spans="1:12" s="18" customFormat="1" ht="15" customHeight="1" x14ac:dyDescent="0.2">
      <c r="C8" s="444"/>
      <c r="D8" s="149"/>
      <c r="E8" s="149"/>
      <c r="G8" s="19" t="s">
        <v>71</v>
      </c>
      <c r="H8" s="2275"/>
      <c r="I8" s="2636">
        <f>+Index!$E$13</f>
        <v>0</v>
      </c>
      <c r="J8" s="2636"/>
      <c r="K8" s="2636"/>
    </row>
    <row r="9" spans="1:12" s="18" customFormat="1" ht="13.5" thickBot="1" x14ac:dyDescent="0.25">
      <c r="A9" s="84"/>
      <c r="B9" s="84"/>
      <c r="C9" s="84"/>
      <c r="D9" s="84"/>
      <c r="E9" s="84"/>
      <c r="F9" s="84"/>
      <c r="G9" s="84"/>
      <c r="H9" s="84"/>
      <c r="I9" s="84"/>
      <c r="J9" s="84"/>
      <c r="K9" s="84"/>
    </row>
    <row r="10" spans="1:12" s="18" customFormat="1" ht="12.75" x14ac:dyDescent="0.2"/>
    <row r="11" spans="1:12" s="18" customFormat="1" ht="12.75" x14ac:dyDescent="0.2">
      <c r="A11" s="2540" t="s">
        <v>1545</v>
      </c>
      <c r="B11" s="2540"/>
      <c r="C11" s="2540"/>
      <c r="D11" s="2540"/>
      <c r="E11" s="2540"/>
      <c r="F11" s="2540"/>
      <c r="G11" s="2540"/>
      <c r="H11" s="2540"/>
      <c r="I11" s="2540"/>
      <c r="J11" s="2396"/>
      <c r="K11" s="2396"/>
    </row>
    <row r="12" spans="1:12" s="18" customFormat="1" ht="12.75" x14ac:dyDescent="0.2">
      <c r="A12" s="2540" t="s">
        <v>1546</v>
      </c>
      <c r="B12" s="2540"/>
      <c r="C12" s="2540"/>
      <c r="D12" s="2540"/>
      <c r="E12" s="2540"/>
      <c r="F12" s="2540"/>
      <c r="G12" s="2540"/>
      <c r="H12" s="2540"/>
      <c r="I12" s="2540"/>
      <c r="J12" s="2396"/>
      <c r="K12" s="2396"/>
    </row>
    <row r="13" spans="1:12" s="18" customFormat="1" ht="12.75" x14ac:dyDescent="0.2">
      <c r="A13" s="2540" t="s">
        <v>1547</v>
      </c>
      <c r="B13" s="2540"/>
      <c r="C13" s="2540"/>
      <c r="D13" s="2540"/>
      <c r="E13" s="2540"/>
      <c r="F13" s="2540"/>
      <c r="G13" s="2540"/>
      <c r="H13" s="2540"/>
      <c r="I13" s="2540"/>
      <c r="J13" s="2396"/>
      <c r="K13" s="2396"/>
    </row>
    <row r="14" spans="1:12" s="18" customFormat="1" ht="12.75" x14ac:dyDescent="0.2">
      <c r="A14" s="2540" t="s">
        <v>1548</v>
      </c>
      <c r="B14" s="2540"/>
      <c r="C14" s="2540"/>
      <c r="D14" s="2540"/>
      <c r="E14" s="2540"/>
      <c r="F14" s="2540"/>
      <c r="G14" s="2540"/>
      <c r="H14" s="2540"/>
      <c r="I14" s="2540"/>
      <c r="J14" s="2396"/>
      <c r="K14" s="2396"/>
    </row>
    <row r="15" spans="1:12" s="18" customFormat="1" ht="12.75" x14ac:dyDescent="0.2">
      <c r="A15" s="2540" t="s">
        <v>1549</v>
      </c>
      <c r="B15" s="2540"/>
      <c r="C15" s="2540"/>
      <c r="D15" s="2540"/>
      <c r="E15" s="2540"/>
      <c r="F15" s="2540"/>
      <c r="G15" s="2540"/>
      <c r="H15" s="2540"/>
      <c r="I15" s="2540"/>
      <c r="J15" s="2396"/>
      <c r="K15" s="2396"/>
    </row>
    <row r="16" spans="1:12" s="18" customFormat="1" ht="12.75" x14ac:dyDescent="0.2">
      <c r="A16" s="2540" t="s">
        <v>1550</v>
      </c>
      <c r="B16" s="2396"/>
      <c r="C16" s="2396"/>
      <c r="D16" s="2396"/>
      <c r="E16" s="2396"/>
      <c r="F16" s="2396"/>
      <c r="G16" s="2396"/>
      <c r="H16" s="2396"/>
      <c r="I16" s="2396"/>
      <c r="J16" s="2396"/>
      <c r="K16" s="2396"/>
    </row>
    <row r="17" spans="1:11" customFormat="1" ht="12.75" x14ac:dyDescent="0.2">
      <c r="A17" s="2540" t="s">
        <v>1551</v>
      </c>
      <c r="B17" s="2540"/>
      <c r="C17" s="2540"/>
      <c r="D17" s="2540"/>
      <c r="E17" s="2540"/>
      <c r="F17" s="2540"/>
      <c r="G17" s="2540"/>
      <c r="H17" s="2540"/>
      <c r="I17" s="2540"/>
      <c r="J17" s="2540"/>
      <c r="K17" s="2540"/>
    </row>
    <row r="18" spans="1:11" customFormat="1" ht="12.75" x14ac:dyDescent="0.2">
      <c r="A18" s="159"/>
      <c r="B18" s="159"/>
      <c r="C18" s="159"/>
      <c r="D18" s="159"/>
      <c r="E18" s="159"/>
      <c r="F18" s="159"/>
      <c r="G18" s="159"/>
      <c r="H18" s="159"/>
      <c r="I18" s="159"/>
      <c r="J18" s="159"/>
      <c r="K18" s="159"/>
    </row>
    <row r="19" spans="1:11" customFormat="1" ht="15" x14ac:dyDescent="0.25">
      <c r="A19" s="2540" t="s">
        <v>1552</v>
      </c>
      <c r="B19" s="2540"/>
      <c r="C19" s="2540"/>
      <c r="D19" s="2540"/>
      <c r="E19" s="2540"/>
      <c r="F19" s="2540"/>
      <c r="G19" s="2540"/>
      <c r="H19" s="2540"/>
      <c r="I19" s="2540"/>
      <c r="J19" s="2396"/>
      <c r="K19" s="2396"/>
    </row>
    <row r="20" spans="1:11" customFormat="1" ht="12.75" x14ac:dyDescent="0.2">
      <c r="A20" s="2243"/>
      <c r="B20" s="2243"/>
      <c r="C20" s="2243"/>
      <c r="D20" s="2243"/>
      <c r="E20" s="2243"/>
      <c r="F20" s="2243"/>
      <c r="G20" s="2243"/>
      <c r="H20" s="2243"/>
      <c r="I20" s="2243"/>
      <c r="J20" s="159"/>
      <c r="K20" s="159"/>
    </row>
    <row r="21" spans="1:11" customFormat="1" ht="12.75" x14ac:dyDescent="0.2">
      <c r="A21" s="507" t="s">
        <v>339</v>
      </c>
      <c r="B21" s="172"/>
      <c r="C21" s="845"/>
      <c r="D21" s="2362" t="str">
        <f>IF(AND(ISBLANK(C21),ISBLANK(C22))=TRUE,"Answer Missing"," ")</f>
        <v>Answer Missing</v>
      </c>
      <c r="E21" s="1417"/>
      <c r="F21" s="172"/>
      <c r="G21" s="2363" t="str">
        <f>IF(ISTEXT(C21), "Section B Required", " ")</f>
        <v xml:space="preserve"> </v>
      </c>
      <c r="H21" s="2363"/>
      <c r="I21" s="2363"/>
      <c r="J21" s="159"/>
      <c r="K21" s="159"/>
    </row>
    <row r="22" spans="1:11" customFormat="1" ht="12.75" x14ac:dyDescent="0.2">
      <c r="A22" s="507" t="s">
        <v>340</v>
      </c>
      <c r="B22" s="172"/>
      <c r="C22" s="845"/>
      <c r="D22" s="638"/>
      <c r="E22" s="172"/>
      <c r="F22" s="172"/>
      <c r="G22" s="172"/>
      <c r="H22" s="172"/>
      <c r="I22" s="172"/>
      <c r="J22" s="159"/>
      <c r="K22" s="159"/>
    </row>
    <row r="23" spans="1:11" customFormat="1" ht="12.75" x14ac:dyDescent="0.2">
      <c r="A23" s="507"/>
      <c r="B23" s="172"/>
      <c r="C23" s="928"/>
      <c r="D23" s="638"/>
      <c r="E23" s="172"/>
      <c r="F23" s="172"/>
      <c r="G23" s="172"/>
      <c r="H23" s="172"/>
      <c r="I23" s="172"/>
      <c r="J23" s="159"/>
      <c r="K23" s="159"/>
    </row>
    <row r="24" spans="1:11" customFormat="1" ht="15" x14ac:dyDescent="0.25">
      <c r="A24" s="2243" t="s">
        <v>1553</v>
      </c>
      <c r="B24" s="2243"/>
      <c r="C24" s="2243"/>
      <c r="D24" s="2243"/>
      <c r="E24" s="2243"/>
      <c r="F24" s="2243"/>
      <c r="G24" s="2243"/>
      <c r="H24" s="2243"/>
      <c r="I24" s="2243"/>
      <c r="J24" s="159"/>
      <c r="K24" s="159"/>
    </row>
    <row r="25" spans="1:11" s="18" customFormat="1" ht="12.75" x14ac:dyDescent="0.2">
      <c r="A25" s="2540" t="s">
        <v>1554</v>
      </c>
      <c r="B25" s="2540"/>
      <c r="C25" s="2540"/>
      <c r="D25" s="2540"/>
      <c r="E25" s="2540"/>
      <c r="F25" s="2540"/>
      <c r="G25" s="2540"/>
      <c r="H25" s="2540"/>
      <c r="I25" s="2540"/>
      <c r="J25" s="2540"/>
      <c r="K25" s="2540"/>
    </row>
    <row r="26" spans="1:11" s="18" customFormat="1" ht="12.75" x14ac:dyDescent="0.2">
      <c r="A26" s="2279" t="s">
        <v>1555</v>
      </c>
      <c r="B26" s="2243"/>
      <c r="C26" s="2243"/>
      <c r="D26" s="2243"/>
      <c r="E26" s="2243"/>
      <c r="F26" s="2243"/>
      <c r="G26" s="2243"/>
      <c r="H26" s="2243"/>
      <c r="I26" s="2243"/>
      <c r="J26" s="2243"/>
      <c r="K26" s="2243"/>
    </row>
    <row r="27" spans="1:11" s="18" customFormat="1" ht="12.75" x14ac:dyDescent="0.2">
      <c r="A27" s="846"/>
      <c r="B27" s="846"/>
      <c r="C27" s="846"/>
      <c r="D27" s="846"/>
      <c r="E27" s="846"/>
      <c r="F27" s="846"/>
      <c r="G27" s="846"/>
      <c r="H27" s="846"/>
      <c r="I27" s="1405" t="s">
        <v>1556</v>
      </c>
      <c r="J27" s="846"/>
      <c r="K27" s="1405" t="s">
        <v>1557</v>
      </c>
    </row>
    <row r="28" spans="1:11" s="18" customFormat="1" ht="12.75" x14ac:dyDescent="0.2">
      <c r="A28" s="846"/>
      <c r="B28" s="846"/>
      <c r="C28" s="846"/>
      <c r="D28" s="846"/>
      <c r="E28" s="846"/>
      <c r="F28" s="846"/>
      <c r="G28" s="846"/>
      <c r="H28" s="846"/>
      <c r="I28" s="571" t="s">
        <v>1558</v>
      </c>
      <c r="J28" s="846"/>
      <c r="K28" s="571" t="s">
        <v>1558</v>
      </c>
    </row>
    <row r="29" spans="1:11" s="18" customFormat="1" ht="12.75" x14ac:dyDescent="0.2">
      <c r="A29" s="846"/>
      <c r="B29" s="846"/>
      <c r="C29" s="846"/>
      <c r="D29" s="846"/>
      <c r="E29" s="846"/>
      <c r="F29" s="846"/>
      <c r="G29" s="856" t="s">
        <v>1559</v>
      </c>
      <c r="H29" s="846"/>
      <c r="I29" s="571" t="s">
        <v>1560</v>
      </c>
      <c r="J29" s="846"/>
      <c r="K29" s="571" t="s">
        <v>1560</v>
      </c>
    </row>
    <row r="30" spans="1:11" s="488" customFormat="1" ht="15" x14ac:dyDescent="0.25">
      <c r="A30" s="2289" t="s">
        <v>1561</v>
      </c>
      <c r="B30" s="1418"/>
      <c r="C30" s="2289" t="s">
        <v>751</v>
      </c>
      <c r="D30" s="1418"/>
      <c r="E30" s="2289" t="s">
        <v>1562</v>
      </c>
      <c r="F30" s="1418"/>
      <c r="G30" s="2289" t="s">
        <v>1563</v>
      </c>
      <c r="H30" s="1418"/>
      <c r="I30" s="1406" t="s">
        <v>1564</v>
      </c>
      <c r="J30" s="571"/>
      <c r="K30" s="1406" t="s">
        <v>1565</v>
      </c>
    </row>
    <row r="31" spans="1:11" s="18" customFormat="1" ht="12.75" x14ac:dyDescent="0.2">
      <c r="A31" s="1407"/>
      <c r="B31" s="1393"/>
      <c r="C31" s="2307"/>
      <c r="D31" s="1408"/>
      <c r="E31" s="1409"/>
      <c r="F31" s="851"/>
      <c r="G31" s="1409"/>
      <c r="H31" s="2309"/>
      <c r="I31" s="1410"/>
      <c r="J31" s="1411"/>
      <c r="K31" s="1410"/>
    </row>
    <row r="32" spans="1:11" s="18" customFormat="1" ht="12.75" x14ac:dyDescent="0.2">
      <c r="A32" s="1407"/>
      <c r="B32" s="1393"/>
      <c r="C32" s="2307"/>
      <c r="D32" s="1393"/>
      <c r="E32" s="1409"/>
      <c r="F32" s="851"/>
      <c r="G32" s="1409"/>
      <c r="H32" s="2309"/>
      <c r="I32" s="1410"/>
      <c r="J32" s="1411"/>
      <c r="K32" s="1410"/>
    </row>
    <row r="33" spans="1:16" s="18" customFormat="1" ht="12.75" x14ac:dyDescent="0.2">
      <c r="A33" s="1407"/>
      <c r="B33" s="1393"/>
      <c r="C33" s="2307"/>
      <c r="D33" s="1393"/>
      <c r="E33" s="1409"/>
      <c r="F33" s="851"/>
      <c r="G33" s="1409"/>
      <c r="H33" s="2309"/>
      <c r="I33" s="1410"/>
      <c r="J33" s="1411"/>
      <c r="K33" s="1410"/>
    </row>
    <row r="34" spans="1:16" s="18" customFormat="1" ht="12.75" x14ac:dyDescent="0.2">
      <c r="A34" s="1407"/>
      <c r="B34" s="1393"/>
      <c r="C34" s="2307"/>
      <c r="D34" s="1393"/>
      <c r="E34" s="1409"/>
      <c r="F34" s="851"/>
      <c r="G34" s="1409"/>
      <c r="H34" s="2309"/>
      <c r="I34" s="1410"/>
      <c r="J34" s="1411"/>
      <c r="K34" s="1410"/>
    </row>
    <row r="35" spans="1:16" s="18" customFormat="1" ht="9.75" customHeight="1" x14ac:dyDescent="0.2">
      <c r="A35" s="489"/>
      <c r="B35" s="489"/>
      <c r="C35" s="2292"/>
      <c r="D35" s="2292"/>
      <c r="E35" s="2292"/>
      <c r="F35" s="787"/>
      <c r="G35" s="787"/>
      <c r="H35" s="787"/>
      <c r="I35" s="257"/>
      <c r="J35" s="257"/>
      <c r="K35" s="787"/>
      <c r="L35" s="787"/>
      <c r="M35" s="787"/>
      <c r="N35" s="787"/>
      <c r="O35" s="787"/>
      <c r="P35" s="787"/>
    </row>
    <row r="36" spans="1:16" s="18" customFormat="1" ht="12.75" x14ac:dyDescent="0.2">
      <c r="A36" s="2540" t="s">
        <v>1566</v>
      </c>
      <c r="B36" s="2540"/>
      <c r="C36" s="2540"/>
      <c r="D36" s="2540"/>
      <c r="E36" s="2540"/>
      <c r="F36" s="2540"/>
      <c r="G36" s="2540"/>
      <c r="H36" s="2540"/>
      <c r="I36" s="2540"/>
      <c r="J36" s="2396"/>
      <c r="K36" s="2396"/>
      <c r="L36" s="787"/>
      <c r="M36" s="787"/>
      <c r="N36" s="787"/>
      <c r="O36" s="787"/>
      <c r="P36" s="787"/>
    </row>
    <row r="37" spans="1:16" s="18" customFormat="1" ht="12.75" x14ac:dyDescent="0.2">
      <c r="A37" s="2279" t="s">
        <v>1567</v>
      </c>
      <c r="B37" s="2243"/>
      <c r="C37" s="2243"/>
      <c r="D37" s="2243"/>
      <c r="E37" s="2243"/>
      <c r="F37" s="2243"/>
      <c r="G37" s="2243"/>
      <c r="H37" s="2243"/>
      <c r="I37" s="2243"/>
      <c r="J37" s="2243"/>
      <c r="K37" s="787"/>
      <c r="L37" s="787"/>
      <c r="M37" s="787"/>
      <c r="N37" s="787"/>
      <c r="O37" s="787"/>
      <c r="P37" s="787"/>
    </row>
    <row r="38" spans="1:16" s="18" customFormat="1" ht="12.75" x14ac:dyDescent="0.2">
      <c r="A38" s="846"/>
      <c r="B38" s="846"/>
      <c r="C38" s="846"/>
      <c r="D38" s="846"/>
      <c r="E38" s="846"/>
      <c r="F38" s="846"/>
      <c r="G38" s="846"/>
      <c r="H38" s="846"/>
      <c r="I38" s="1405" t="s">
        <v>1556</v>
      </c>
      <c r="J38" s="846"/>
      <c r="K38" s="1405" t="s">
        <v>1557</v>
      </c>
      <c r="L38" s="787"/>
      <c r="M38" s="787"/>
      <c r="N38" s="787"/>
      <c r="O38" s="787"/>
      <c r="P38" s="787"/>
    </row>
    <row r="39" spans="1:16" s="18" customFormat="1" ht="12.75" x14ac:dyDescent="0.2">
      <c r="A39" s="846"/>
      <c r="B39" s="846"/>
      <c r="C39" s="846"/>
      <c r="D39" s="846"/>
      <c r="E39" s="846"/>
      <c r="F39" s="846"/>
      <c r="G39" s="846"/>
      <c r="H39" s="846"/>
      <c r="I39" s="571" t="s">
        <v>1568</v>
      </c>
      <c r="J39" s="846"/>
      <c r="K39" s="571" t="s">
        <v>1568</v>
      </c>
      <c r="L39" s="787"/>
      <c r="M39" s="787"/>
      <c r="N39" s="787"/>
      <c r="O39" s="787"/>
      <c r="P39" s="787"/>
    </row>
    <row r="40" spans="1:16" s="18" customFormat="1" ht="12.75" x14ac:dyDescent="0.2">
      <c r="A40" s="846"/>
      <c r="B40" s="846"/>
      <c r="C40" s="846"/>
      <c r="D40" s="846"/>
      <c r="E40" s="846"/>
      <c r="F40" s="846"/>
      <c r="G40" s="856" t="s">
        <v>1559</v>
      </c>
      <c r="H40" s="846"/>
      <c r="I40" s="571" t="s">
        <v>1560</v>
      </c>
      <c r="J40" s="846"/>
      <c r="K40" s="571" t="s">
        <v>1560</v>
      </c>
      <c r="L40" s="787"/>
      <c r="M40" s="787"/>
      <c r="N40" s="787"/>
      <c r="O40" s="787"/>
      <c r="P40" s="787"/>
    </row>
    <row r="41" spans="1:16" s="18" customFormat="1" ht="12.75" x14ac:dyDescent="0.2">
      <c r="A41" s="2289" t="s">
        <v>1561</v>
      </c>
      <c r="B41" s="1418"/>
      <c r="C41" s="2289" t="s">
        <v>751</v>
      </c>
      <c r="D41" s="1418"/>
      <c r="E41" s="2289" t="s">
        <v>1562</v>
      </c>
      <c r="F41" s="1418"/>
      <c r="G41" s="2289" t="s">
        <v>1563</v>
      </c>
      <c r="H41" s="1418"/>
      <c r="I41" s="1406" t="s">
        <v>1564</v>
      </c>
      <c r="J41" s="571"/>
      <c r="K41" s="1406" t="s">
        <v>1565</v>
      </c>
      <c r="L41" s="787"/>
      <c r="M41" s="787"/>
      <c r="N41" s="787"/>
      <c r="O41" s="787"/>
      <c r="P41" s="787"/>
    </row>
    <row r="42" spans="1:16" s="18" customFormat="1" ht="12.75" x14ac:dyDescent="0.2">
      <c r="A42" s="1407"/>
      <c r="B42" s="1393"/>
      <c r="C42" s="2307"/>
      <c r="D42" s="1408"/>
      <c r="E42" s="1409"/>
      <c r="F42" s="851"/>
      <c r="G42" s="1409"/>
      <c r="H42" s="2309"/>
      <c r="I42" s="1410"/>
      <c r="J42" s="1411"/>
      <c r="K42" s="1410"/>
      <c r="L42" s="787"/>
      <c r="M42" s="787"/>
      <c r="N42" s="787"/>
      <c r="O42" s="787"/>
      <c r="P42" s="787"/>
    </row>
    <row r="43" spans="1:16" s="18" customFormat="1" ht="12.75" x14ac:dyDescent="0.2">
      <c r="A43" s="1407"/>
      <c r="B43" s="1393"/>
      <c r="C43" s="2307"/>
      <c r="D43" s="1393"/>
      <c r="E43" s="1409"/>
      <c r="F43" s="851"/>
      <c r="G43" s="1409"/>
      <c r="H43" s="2309"/>
      <c r="I43" s="1410"/>
      <c r="J43" s="1411"/>
      <c r="K43" s="1410"/>
      <c r="L43" s="787"/>
      <c r="M43" s="787"/>
      <c r="N43" s="787"/>
      <c r="O43" s="787"/>
      <c r="P43" s="787"/>
    </row>
    <row r="44" spans="1:16" s="18" customFormat="1" ht="12.75" x14ac:dyDescent="0.2">
      <c r="A44" s="1407"/>
      <c r="B44" s="1393"/>
      <c r="C44" s="2307"/>
      <c r="D44" s="1393"/>
      <c r="E44" s="1409"/>
      <c r="F44" s="851"/>
      <c r="G44" s="1409"/>
      <c r="H44" s="2309"/>
      <c r="I44" s="1410"/>
      <c r="J44" s="1411"/>
      <c r="K44" s="1410"/>
      <c r="L44" s="787"/>
      <c r="M44" s="787"/>
      <c r="N44" s="787"/>
      <c r="O44" s="787"/>
      <c r="P44" s="787"/>
    </row>
    <row r="45" spans="1:16" s="18" customFormat="1" ht="12.75" x14ac:dyDescent="0.2">
      <c r="A45" s="1407"/>
      <c r="B45" s="1393"/>
      <c r="C45" s="2307"/>
      <c r="D45" s="1393"/>
      <c r="E45" s="1409"/>
      <c r="F45" s="851"/>
      <c r="G45" s="1409"/>
      <c r="H45" s="2309"/>
      <c r="I45" s="1410"/>
      <c r="J45" s="1411"/>
      <c r="K45" s="1410"/>
      <c r="L45" s="787"/>
      <c r="M45" s="787"/>
      <c r="N45" s="787"/>
      <c r="O45" s="787"/>
      <c r="P45" s="787"/>
    </row>
    <row r="46" spans="1:16" s="18" customFormat="1" ht="9.75" customHeight="1" x14ac:dyDescent="0.2">
      <c r="A46" s="489"/>
      <c r="B46" s="489"/>
      <c r="C46" s="2292"/>
      <c r="D46" s="2292"/>
      <c r="E46" s="2292"/>
      <c r="F46" s="787"/>
      <c r="G46" s="787"/>
      <c r="H46" s="787"/>
      <c r="I46" s="257"/>
      <c r="J46" s="257"/>
      <c r="K46" s="787"/>
      <c r="L46" s="787"/>
      <c r="M46" s="787"/>
      <c r="N46" s="787"/>
      <c r="O46" s="787"/>
      <c r="P46" s="787"/>
    </row>
    <row r="47" spans="1:16" s="18" customFormat="1" ht="12.75" x14ac:dyDescent="0.2">
      <c r="A47" s="2540" t="s">
        <v>1569</v>
      </c>
      <c r="B47" s="2540"/>
      <c r="C47" s="2540"/>
      <c r="D47" s="2540"/>
      <c r="E47" s="2540"/>
      <c r="F47" s="2540"/>
      <c r="G47" s="2540"/>
      <c r="H47" s="2540"/>
      <c r="I47" s="2540"/>
      <c r="J47" s="2396"/>
      <c r="K47" s="2396"/>
      <c r="L47" s="787"/>
      <c r="M47" s="787"/>
      <c r="N47" s="787"/>
      <c r="O47" s="787"/>
      <c r="P47" s="787"/>
    </row>
    <row r="48" spans="1:16" s="18" customFormat="1" ht="12.75" x14ac:dyDescent="0.2">
      <c r="A48" s="2639" t="s">
        <v>1570</v>
      </c>
      <c r="B48" s="2639"/>
      <c r="C48" s="2639"/>
      <c r="D48" s="2639"/>
      <c r="E48" s="2639"/>
      <c r="F48" s="2639"/>
      <c r="G48" s="2639"/>
      <c r="H48" s="2639"/>
      <c r="I48" s="2639"/>
      <c r="J48" s="2639"/>
      <c r="K48" s="2639"/>
      <c r="L48" s="787"/>
      <c r="M48" s="787"/>
      <c r="N48" s="787"/>
      <c r="O48" s="787"/>
      <c r="P48" s="787"/>
    </row>
    <row r="49" spans="1:16" s="18" customFormat="1" ht="12.75" x14ac:dyDescent="0.2">
      <c r="A49" s="846"/>
      <c r="B49" s="846"/>
      <c r="C49" s="846"/>
      <c r="D49" s="846"/>
      <c r="E49" s="846"/>
      <c r="F49" s="846"/>
      <c r="G49" s="846"/>
      <c r="H49" s="846"/>
      <c r="I49" s="1405" t="s">
        <v>1557</v>
      </c>
      <c r="J49" s="846"/>
      <c r="K49" s="1405"/>
      <c r="L49" s="787"/>
      <c r="M49" s="787"/>
      <c r="N49" s="787"/>
      <c r="O49" s="787"/>
      <c r="P49" s="787"/>
    </row>
    <row r="50" spans="1:16" ht="12.75" x14ac:dyDescent="0.2">
      <c r="A50" s="846"/>
      <c r="B50" s="846"/>
      <c r="C50" s="846"/>
      <c r="D50" s="846"/>
      <c r="E50" s="846"/>
      <c r="F50" s="846"/>
      <c r="G50" s="846"/>
      <c r="H50" s="846"/>
      <c r="I50" s="571" t="s">
        <v>1568</v>
      </c>
      <c r="J50" s="846"/>
      <c r="K50" s="571"/>
    </row>
    <row r="51" spans="1:16" ht="12.75" x14ac:dyDescent="0.2">
      <c r="A51" s="846"/>
      <c r="B51" s="846"/>
      <c r="C51" s="846"/>
      <c r="D51" s="846"/>
      <c r="E51" s="846"/>
      <c r="F51" s="846"/>
      <c r="G51" s="856" t="s">
        <v>1559</v>
      </c>
      <c r="H51" s="846"/>
      <c r="I51" s="571" t="s">
        <v>1560</v>
      </c>
      <c r="J51" s="846"/>
      <c r="K51" s="571"/>
    </row>
    <row r="52" spans="1:16" ht="12.75" x14ac:dyDescent="0.2">
      <c r="A52" s="2289" t="s">
        <v>1561</v>
      </c>
      <c r="B52" s="1418"/>
      <c r="C52" s="2289" t="s">
        <v>751</v>
      </c>
      <c r="D52" s="1418"/>
      <c r="E52" s="2289" t="s">
        <v>1562</v>
      </c>
      <c r="F52" s="1418"/>
      <c r="G52" s="2289" t="s">
        <v>1563</v>
      </c>
      <c r="H52" s="1418"/>
      <c r="I52" s="1406" t="s">
        <v>1565</v>
      </c>
      <c r="J52" s="571"/>
      <c r="K52" s="1412"/>
    </row>
    <row r="53" spans="1:16" ht="12.75" x14ac:dyDescent="0.2">
      <c r="A53" s="1407"/>
      <c r="B53" s="1393"/>
      <c r="C53" s="2307"/>
      <c r="D53" s="1408"/>
      <c r="E53" s="1409"/>
      <c r="F53" s="851"/>
      <c r="G53" s="1409"/>
      <c r="H53" s="2309"/>
      <c r="I53" s="1410"/>
      <c r="J53" s="1411"/>
      <c r="K53" s="1411"/>
    </row>
    <row r="54" spans="1:16" ht="12.75" x14ac:dyDescent="0.2">
      <c r="A54" s="1407"/>
      <c r="B54" s="1393"/>
      <c r="C54" s="2307"/>
      <c r="D54" s="1393"/>
      <c r="E54" s="1409"/>
      <c r="F54" s="851"/>
      <c r="G54" s="1409"/>
      <c r="H54" s="2309"/>
      <c r="I54" s="1410"/>
      <c r="J54" s="1411"/>
      <c r="K54" s="1411"/>
    </row>
    <row r="55" spans="1:16" ht="12.75" x14ac:dyDescent="0.2">
      <c r="A55" s="1407"/>
      <c r="B55" s="1393"/>
      <c r="C55" s="2307"/>
      <c r="D55" s="1393"/>
      <c r="E55" s="1409"/>
      <c r="F55" s="851"/>
      <c r="G55" s="1409"/>
      <c r="H55" s="2309"/>
      <c r="I55" s="1410"/>
      <c r="J55" s="1411"/>
      <c r="K55" s="1411"/>
    </row>
    <row r="56" spans="1:16" ht="12.75" x14ac:dyDescent="0.2">
      <c r="A56" s="1407"/>
      <c r="B56" s="1393"/>
      <c r="C56" s="2307"/>
      <c r="D56" s="1393"/>
      <c r="E56" s="1409"/>
      <c r="F56" s="851"/>
      <c r="G56" s="1409"/>
      <c r="H56" s="2309"/>
      <c r="I56" s="1410"/>
      <c r="J56" s="1411"/>
      <c r="K56" s="1411"/>
    </row>
    <row r="57" spans="1:16" ht="12.75" x14ac:dyDescent="0.2">
      <c r="A57" s="1413"/>
      <c r="B57" s="417"/>
      <c r="C57" s="417"/>
      <c r="D57" s="18"/>
      <c r="E57" s="1414"/>
      <c r="F57" s="1415"/>
      <c r="G57" s="2638"/>
      <c r="H57" s="2638"/>
      <c r="I57" s="2638"/>
      <c r="J57" s="2278"/>
      <c r="K57" s="18"/>
    </row>
    <row r="58" spans="1:16" ht="12.75" x14ac:dyDescent="0.2">
      <c r="A58" s="1413"/>
      <c r="B58" s="417"/>
      <c r="C58" s="417"/>
      <c r="D58" s="1416"/>
      <c r="E58" s="1414"/>
      <c r="F58" s="1415"/>
      <c r="G58" s="1415"/>
      <c r="H58" s="1415"/>
      <c r="I58" s="1415"/>
      <c r="J58" s="2278"/>
    </row>
    <row r="59" spans="1:16" ht="12.75" x14ac:dyDescent="0.2">
      <c r="A59" s="1413"/>
      <c r="B59" s="417"/>
      <c r="C59" s="417"/>
      <c r="D59" s="417"/>
      <c r="E59" s="1414"/>
      <c r="F59" s="1415"/>
      <c r="G59" s="1415"/>
      <c r="H59" s="1415"/>
      <c r="I59" s="1415"/>
      <c r="J59" s="2278"/>
    </row>
    <row r="60" spans="1:16" ht="12.75" x14ac:dyDescent="0.2">
      <c r="A60" s="1413"/>
      <c r="B60" s="417"/>
      <c r="C60" s="417"/>
      <c r="D60" s="417"/>
      <c r="E60" s="1414"/>
      <c r="F60" s="1415"/>
      <c r="G60" s="1415"/>
      <c r="H60" s="1415"/>
      <c r="I60" s="1415"/>
      <c r="J60" s="2278"/>
    </row>
    <row r="61" spans="1:16" ht="12.75" x14ac:dyDescent="0.2">
      <c r="A61" s="1413"/>
      <c r="B61" s="417"/>
      <c r="C61" s="417"/>
      <c r="D61" s="417"/>
      <c r="E61" s="1414"/>
      <c r="F61" s="1415"/>
      <c r="G61" s="1415"/>
      <c r="H61" s="1415"/>
      <c r="I61" s="1415"/>
      <c r="J61" s="2278"/>
    </row>
  </sheetData>
  <sheetProtection algorithmName="SHA-512" hashValue="hImmaVCl1K4SEL7sj7oe+Jj15RjeQ25IwLVobEH8TLn9PxdWd0ixQ+ZxII5USmLQ0NmbtclCGQ20aRwK4v50uA==" saltValue="BmzEA2u3qlMMrNULSBGDcw==" spinCount="100000" sheet="1" objects="1" scenarios="1" autoFilter="0"/>
  <mergeCells count="20">
    <mergeCell ref="I7:K7"/>
    <mergeCell ref="I8:K8"/>
    <mergeCell ref="G57:I57"/>
    <mergeCell ref="A15:K15"/>
    <mergeCell ref="A14:K14"/>
    <mergeCell ref="A11:K11"/>
    <mergeCell ref="A12:K12"/>
    <mergeCell ref="A13:K13"/>
    <mergeCell ref="A19:K19"/>
    <mergeCell ref="A16:K16"/>
    <mergeCell ref="A36:K36"/>
    <mergeCell ref="A47:K47"/>
    <mergeCell ref="A48:K48"/>
    <mergeCell ref="A25:K25"/>
    <mergeCell ref="A17:K17"/>
    <mergeCell ref="A1:K1"/>
    <mergeCell ref="A2:K2"/>
    <mergeCell ref="A3:K3"/>
    <mergeCell ref="I6:K6"/>
    <mergeCell ref="G5:I5"/>
  </mergeCells>
  <conditionalFormatting sqref="D21">
    <cfRule type="containsText" dxfId="105" priority="3" stopIfTrue="1" operator="containsText" text="Answer Missing">
      <formula>NOT(ISERROR(SEARCH("Answer Missing",D21)))</formula>
    </cfRule>
  </conditionalFormatting>
  <conditionalFormatting sqref="G21">
    <cfRule type="containsText" dxfId="104" priority="2" stopIfTrue="1" operator="containsText" text="Answer Missing">
      <formula>NOT(ISERROR(SEARCH("Answer Missing",G21)))</formula>
    </cfRule>
  </conditionalFormatting>
  <conditionalFormatting sqref="L1:L3">
    <cfRule type="cellIs" dxfId="103" priority="1" stopIfTrue="1" operator="equal">
      <formula>"na"</formula>
    </cfRule>
  </conditionalFormatting>
  <hyperlinks>
    <hyperlink ref="A1:I1" location="Index!A1" display="Index!A1" xr:uid="{7D16492F-D665-461A-8D1D-E6E9E8B7D32B}"/>
  </hyperlinks>
  <pageMargins left="0.6" right="0.6" top="0.5" bottom="0.5" header="0.3" footer="0.3"/>
  <pageSetup scale="7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8FD6-3F6D-4368-A7DB-152338C512E7}">
  <sheetPr codeName="Sheet98">
    <pageSetUpPr fitToPage="1"/>
  </sheetPr>
  <dimension ref="A1:P60"/>
  <sheetViews>
    <sheetView zoomScaleNormal="100" zoomScaleSheetLayoutView="100" workbookViewId="0">
      <selection activeCell="A2" sqref="A2:K2"/>
    </sheetView>
  </sheetViews>
  <sheetFormatPr defaultColWidth="9.140625" defaultRowHeight="10.5" x14ac:dyDescent="0.15"/>
  <cols>
    <col min="1" max="1" width="15.42578125" style="1620" customWidth="1"/>
    <col min="2" max="2" width="1.140625" style="1620" customWidth="1"/>
    <col min="3" max="3" width="17.5703125" style="1620" customWidth="1"/>
    <col min="4" max="4" width="1.5703125" style="1620" customWidth="1"/>
    <col min="5" max="5" width="22.5703125" style="1620" customWidth="1"/>
    <col min="6" max="6" width="1.5703125" style="1620" customWidth="1"/>
    <col min="7" max="7" width="30.5703125" style="1620" bestFit="1" customWidth="1"/>
    <col min="8" max="8" width="1.5703125" style="1620" customWidth="1"/>
    <col min="9" max="9" width="25.42578125" style="1620" customWidth="1"/>
    <col min="10" max="10" width="1.5703125" style="1620" customWidth="1"/>
    <col min="11" max="11" width="25.140625" style="1620" bestFit="1" customWidth="1"/>
    <col min="12" max="12" width="7.5703125" style="1620" customWidth="1"/>
    <col min="13" max="15" width="1.5703125" style="1620" customWidth="1"/>
    <col min="16" max="16" width="4.85546875" style="1620" customWidth="1"/>
    <col min="17" max="18" width="1.5703125" style="1620" customWidth="1"/>
    <col min="19" max="257" width="9.140625" style="1620"/>
    <col min="258" max="258" width="17.85546875" style="1620" customWidth="1"/>
    <col min="259" max="259" width="1.140625" style="1620" customWidth="1"/>
    <col min="260" max="260" width="30.140625" style="1620" customWidth="1"/>
    <col min="261" max="261" width="1.5703125" style="1620" customWidth="1"/>
    <col min="262" max="262" width="21.140625" style="1620" customWidth="1"/>
    <col min="263" max="263" width="1.5703125" style="1620" customWidth="1"/>
    <col min="264" max="264" width="22.140625" style="1620" customWidth="1"/>
    <col min="265" max="265" width="5.85546875" style="1620" customWidth="1"/>
    <col min="266" max="266" width="27.42578125" style="1620" customWidth="1"/>
    <col min="267" max="267" width="4.5703125" style="1620" customWidth="1"/>
    <col min="268" max="268" width="3.140625" style="1620" customWidth="1"/>
    <col min="269" max="271" width="1.5703125" style="1620" customWidth="1"/>
    <col min="272" max="272" width="4.85546875" style="1620" customWidth="1"/>
    <col min="273" max="274" width="1.5703125" style="1620" customWidth="1"/>
    <col min="275" max="513" width="9.140625" style="1620"/>
    <col min="514" max="514" width="17.85546875" style="1620" customWidth="1"/>
    <col min="515" max="515" width="1.140625" style="1620" customWidth="1"/>
    <col min="516" max="516" width="30.140625" style="1620" customWidth="1"/>
    <col min="517" max="517" width="1.5703125" style="1620" customWidth="1"/>
    <col min="518" max="518" width="21.140625" style="1620" customWidth="1"/>
    <col min="519" max="519" width="1.5703125" style="1620" customWidth="1"/>
    <col min="520" max="520" width="22.140625" style="1620" customWidth="1"/>
    <col min="521" max="521" width="5.85546875" style="1620" customWidth="1"/>
    <col min="522" max="522" width="27.42578125" style="1620" customWidth="1"/>
    <col min="523" max="523" width="4.5703125" style="1620" customWidth="1"/>
    <col min="524" max="524" width="3.140625" style="1620" customWidth="1"/>
    <col min="525" max="527" width="1.5703125" style="1620" customWidth="1"/>
    <col min="528" max="528" width="4.85546875" style="1620" customWidth="1"/>
    <col min="529" max="530" width="1.5703125" style="1620" customWidth="1"/>
    <col min="531" max="769" width="9.140625" style="1620"/>
    <col min="770" max="770" width="17.85546875" style="1620" customWidth="1"/>
    <col min="771" max="771" width="1.140625" style="1620" customWidth="1"/>
    <col min="772" max="772" width="30.140625" style="1620" customWidth="1"/>
    <col min="773" max="773" width="1.5703125" style="1620" customWidth="1"/>
    <col min="774" max="774" width="21.140625" style="1620" customWidth="1"/>
    <col min="775" max="775" width="1.5703125" style="1620" customWidth="1"/>
    <col min="776" max="776" width="22.140625" style="1620" customWidth="1"/>
    <col min="777" max="777" width="5.85546875" style="1620" customWidth="1"/>
    <col min="778" max="778" width="27.42578125" style="1620" customWidth="1"/>
    <col min="779" max="779" width="4.5703125" style="1620" customWidth="1"/>
    <col min="780" max="780" width="3.140625" style="1620" customWidth="1"/>
    <col min="781" max="783" width="1.5703125" style="1620" customWidth="1"/>
    <col min="784" max="784" width="4.85546875" style="1620" customWidth="1"/>
    <col min="785" max="786" width="1.5703125" style="1620" customWidth="1"/>
    <col min="787" max="1025" width="9.140625" style="1620"/>
    <col min="1026" max="1026" width="17.85546875" style="1620" customWidth="1"/>
    <col min="1027" max="1027" width="1.140625" style="1620" customWidth="1"/>
    <col min="1028" max="1028" width="30.140625" style="1620" customWidth="1"/>
    <col min="1029" max="1029" width="1.5703125" style="1620" customWidth="1"/>
    <col min="1030" max="1030" width="21.140625" style="1620" customWidth="1"/>
    <col min="1031" max="1031" width="1.5703125" style="1620" customWidth="1"/>
    <col min="1032" max="1032" width="22.140625" style="1620" customWidth="1"/>
    <col min="1033" max="1033" width="5.85546875" style="1620" customWidth="1"/>
    <col min="1034" max="1034" width="27.42578125" style="1620" customWidth="1"/>
    <col min="1035" max="1035" width="4.5703125" style="1620" customWidth="1"/>
    <col min="1036" max="1036" width="3.140625" style="1620" customWidth="1"/>
    <col min="1037" max="1039" width="1.5703125" style="1620" customWidth="1"/>
    <col min="1040" max="1040" width="4.85546875" style="1620" customWidth="1"/>
    <col min="1041" max="1042" width="1.5703125" style="1620" customWidth="1"/>
    <col min="1043" max="1281" width="9.140625" style="1620"/>
    <col min="1282" max="1282" width="17.85546875" style="1620" customWidth="1"/>
    <col min="1283" max="1283" width="1.140625" style="1620" customWidth="1"/>
    <col min="1284" max="1284" width="30.140625" style="1620" customWidth="1"/>
    <col min="1285" max="1285" width="1.5703125" style="1620" customWidth="1"/>
    <col min="1286" max="1286" width="21.140625" style="1620" customWidth="1"/>
    <col min="1287" max="1287" width="1.5703125" style="1620" customWidth="1"/>
    <col min="1288" max="1288" width="22.140625" style="1620" customWidth="1"/>
    <col min="1289" max="1289" width="5.85546875" style="1620" customWidth="1"/>
    <col min="1290" max="1290" width="27.42578125" style="1620" customWidth="1"/>
    <col min="1291" max="1291" width="4.5703125" style="1620" customWidth="1"/>
    <col min="1292" max="1292" width="3.140625" style="1620" customWidth="1"/>
    <col min="1293" max="1295" width="1.5703125" style="1620" customWidth="1"/>
    <col min="1296" max="1296" width="4.85546875" style="1620" customWidth="1"/>
    <col min="1297" max="1298" width="1.5703125" style="1620" customWidth="1"/>
    <col min="1299" max="1537" width="9.140625" style="1620"/>
    <col min="1538" max="1538" width="17.85546875" style="1620" customWidth="1"/>
    <col min="1539" max="1539" width="1.140625" style="1620" customWidth="1"/>
    <col min="1540" max="1540" width="30.140625" style="1620" customWidth="1"/>
    <col min="1541" max="1541" width="1.5703125" style="1620" customWidth="1"/>
    <col min="1542" max="1542" width="21.140625" style="1620" customWidth="1"/>
    <col min="1543" max="1543" width="1.5703125" style="1620" customWidth="1"/>
    <col min="1544" max="1544" width="22.140625" style="1620" customWidth="1"/>
    <col min="1545" max="1545" width="5.85546875" style="1620" customWidth="1"/>
    <col min="1546" max="1546" width="27.42578125" style="1620" customWidth="1"/>
    <col min="1547" max="1547" width="4.5703125" style="1620" customWidth="1"/>
    <col min="1548" max="1548" width="3.140625" style="1620" customWidth="1"/>
    <col min="1549" max="1551" width="1.5703125" style="1620" customWidth="1"/>
    <col min="1552" max="1552" width="4.85546875" style="1620" customWidth="1"/>
    <col min="1553" max="1554" width="1.5703125" style="1620" customWidth="1"/>
    <col min="1555" max="1793" width="9.140625" style="1620"/>
    <col min="1794" max="1794" width="17.85546875" style="1620" customWidth="1"/>
    <col min="1795" max="1795" width="1.140625" style="1620" customWidth="1"/>
    <col min="1796" max="1796" width="30.140625" style="1620" customWidth="1"/>
    <col min="1797" max="1797" width="1.5703125" style="1620" customWidth="1"/>
    <col min="1798" max="1798" width="21.140625" style="1620" customWidth="1"/>
    <col min="1799" max="1799" width="1.5703125" style="1620" customWidth="1"/>
    <col min="1800" max="1800" width="22.140625" style="1620" customWidth="1"/>
    <col min="1801" max="1801" width="5.85546875" style="1620" customWidth="1"/>
    <col min="1802" max="1802" width="27.42578125" style="1620" customWidth="1"/>
    <col min="1803" max="1803" width="4.5703125" style="1620" customWidth="1"/>
    <col min="1804" max="1804" width="3.140625" style="1620" customWidth="1"/>
    <col min="1805" max="1807" width="1.5703125" style="1620" customWidth="1"/>
    <col min="1808" max="1808" width="4.85546875" style="1620" customWidth="1"/>
    <col min="1809" max="1810" width="1.5703125" style="1620" customWidth="1"/>
    <col min="1811" max="2049" width="9.140625" style="1620"/>
    <col min="2050" max="2050" width="17.85546875" style="1620" customWidth="1"/>
    <col min="2051" max="2051" width="1.140625" style="1620" customWidth="1"/>
    <col min="2052" max="2052" width="30.140625" style="1620" customWidth="1"/>
    <col min="2053" max="2053" width="1.5703125" style="1620" customWidth="1"/>
    <col min="2054" max="2054" width="21.140625" style="1620" customWidth="1"/>
    <col min="2055" max="2055" width="1.5703125" style="1620" customWidth="1"/>
    <col min="2056" max="2056" width="22.140625" style="1620" customWidth="1"/>
    <col min="2057" max="2057" width="5.85546875" style="1620" customWidth="1"/>
    <col min="2058" max="2058" width="27.42578125" style="1620" customWidth="1"/>
    <col min="2059" max="2059" width="4.5703125" style="1620" customWidth="1"/>
    <col min="2060" max="2060" width="3.140625" style="1620" customWidth="1"/>
    <col min="2061" max="2063" width="1.5703125" style="1620" customWidth="1"/>
    <col min="2064" max="2064" width="4.85546875" style="1620" customWidth="1"/>
    <col min="2065" max="2066" width="1.5703125" style="1620" customWidth="1"/>
    <col min="2067" max="2305" width="9.140625" style="1620"/>
    <col min="2306" max="2306" width="17.85546875" style="1620" customWidth="1"/>
    <col min="2307" max="2307" width="1.140625" style="1620" customWidth="1"/>
    <col min="2308" max="2308" width="30.140625" style="1620" customWidth="1"/>
    <col min="2309" max="2309" width="1.5703125" style="1620" customWidth="1"/>
    <col min="2310" max="2310" width="21.140625" style="1620" customWidth="1"/>
    <col min="2311" max="2311" width="1.5703125" style="1620" customWidth="1"/>
    <col min="2312" max="2312" width="22.140625" style="1620" customWidth="1"/>
    <col min="2313" max="2313" width="5.85546875" style="1620" customWidth="1"/>
    <col min="2314" max="2314" width="27.42578125" style="1620" customWidth="1"/>
    <col min="2315" max="2315" width="4.5703125" style="1620" customWidth="1"/>
    <col min="2316" max="2316" width="3.140625" style="1620" customWidth="1"/>
    <col min="2317" max="2319" width="1.5703125" style="1620" customWidth="1"/>
    <col min="2320" max="2320" width="4.85546875" style="1620" customWidth="1"/>
    <col min="2321" max="2322" width="1.5703125" style="1620" customWidth="1"/>
    <col min="2323" max="2561" width="9.140625" style="1620"/>
    <col min="2562" max="2562" width="17.85546875" style="1620" customWidth="1"/>
    <col min="2563" max="2563" width="1.140625" style="1620" customWidth="1"/>
    <col min="2564" max="2564" width="30.140625" style="1620" customWidth="1"/>
    <col min="2565" max="2565" width="1.5703125" style="1620" customWidth="1"/>
    <col min="2566" max="2566" width="21.140625" style="1620" customWidth="1"/>
    <col min="2567" max="2567" width="1.5703125" style="1620" customWidth="1"/>
    <col min="2568" max="2568" width="22.140625" style="1620" customWidth="1"/>
    <col min="2569" max="2569" width="5.85546875" style="1620" customWidth="1"/>
    <col min="2570" max="2570" width="27.42578125" style="1620" customWidth="1"/>
    <col min="2571" max="2571" width="4.5703125" style="1620" customWidth="1"/>
    <col min="2572" max="2572" width="3.140625" style="1620" customWidth="1"/>
    <col min="2573" max="2575" width="1.5703125" style="1620" customWidth="1"/>
    <col min="2576" max="2576" width="4.85546875" style="1620" customWidth="1"/>
    <col min="2577" max="2578" width="1.5703125" style="1620" customWidth="1"/>
    <col min="2579" max="2817" width="9.140625" style="1620"/>
    <col min="2818" max="2818" width="17.85546875" style="1620" customWidth="1"/>
    <col min="2819" max="2819" width="1.140625" style="1620" customWidth="1"/>
    <col min="2820" max="2820" width="30.140625" style="1620" customWidth="1"/>
    <col min="2821" max="2821" width="1.5703125" style="1620" customWidth="1"/>
    <col min="2822" max="2822" width="21.140625" style="1620" customWidth="1"/>
    <col min="2823" max="2823" width="1.5703125" style="1620" customWidth="1"/>
    <col min="2824" max="2824" width="22.140625" style="1620" customWidth="1"/>
    <col min="2825" max="2825" width="5.85546875" style="1620" customWidth="1"/>
    <col min="2826" max="2826" width="27.42578125" style="1620" customWidth="1"/>
    <col min="2827" max="2827" width="4.5703125" style="1620" customWidth="1"/>
    <col min="2828" max="2828" width="3.140625" style="1620" customWidth="1"/>
    <col min="2829" max="2831" width="1.5703125" style="1620" customWidth="1"/>
    <col min="2832" max="2832" width="4.85546875" style="1620" customWidth="1"/>
    <col min="2833" max="2834" width="1.5703125" style="1620" customWidth="1"/>
    <col min="2835" max="3073" width="9.140625" style="1620"/>
    <col min="3074" max="3074" width="17.85546875" style="1620" customWidth="1"/>
    <col min="3075" max="3075" width="1.140625" style="1620" customWidth="1"/>
    <col min="3076" max="3076" width="30.140625" style="1620" customWidth="1"/>
    <col min="3077" max="3077" width="1.5703125" style="1620" customWidth="1"/>
    <col min="3078" max="3078" width="21.140625" style="1620" customWidth="1"/>
    <col min="3079" max="3079" width="1.5703125" style="1620" customWidth="1"/>
    <col min="3080" max="3080" width="22.140625" style="1620" customWidth="1"/>
    <col min="3081" max="3081" width="5.85546875" style="1620" customWidth="1"/>
    <col min="3082" max="3082" width="27.42578125" style="1620" customWidth="1"/>
    <col min="3083" max="3083" width="4.5703125" style="1620" customWidth="1"/>
    <col min="3084" max="3084" width="3.140625" style="1620" customWidth="1"/>
    <col min="3085" max="3087" width="1.5703125" style="1620" customWidth="1"/>
    <col min="3088" max="3088" width="4.85546875" style="1620" customWidth="1"/>
    <col min="3089" max="3090" width="1.5703125" style="1620" customWidth="1"/>
    <col min="3091" max="3329" width="9.140625" style="1620"/>
    <col min="3330" max="3330" width="17.85546875" style="1620" customWidth="1"/>
    <col min="3331" max="3331" width="1.140625" style="1620" customWidth="1"/>
    <col min="3332" max="3332" width="30.140625" style="1620" customWidth="1"/>
    <col min="3333" max="3333" width="1.5703125" style="1620" customWidth="1"/>
    <col min="3334" max="3334" width="21.140625" style="1620" customWidth="1"/>
    <col min="3335" max="3335" width="1.5703125" style="1620" customWidth="1"/>
    <col min="3336" max="3336" width="22.140625" style="1620" customWidth="1"/>
    <col min="3337" max="3337" width="5.85546875" style="1620" customWidth="1"/>
    <col min="3338" max="3338" width="27.42578125" style="1620" customWidth="1"/>
    <col min="3339" max="3339" width="4.5703125" style="1620" customWidth="1"/>
    <col min="3340" max="3340" width="3.140625" style="1620" customWidth="1"/>
    <col min="3341" max="3343" width="1.5703125" style="1620" customWidth="1"/>
    <col min="3344" max="3344" width="4.85546875" style="1620" customWidth="1"/>
    <col min="3345" max="3346" width="1.5703125" style="1620" customWidth="1"/>
    <col min="3347" max="3585" width="9.140625" style="1620"/>
    <col min="3586" max="3586" width="17.85546875" style="1620" customWidth="1"/>
    <col min="3587" max="3587" width="1.140625" style="1620" customWidth="1"/>
    <col min="3588" max="3588" width="30.140625" style="1620" customWidth="1"/>
    <col min="3589" max="3589" width="1.5703125" style="1620" customWidth="1"/>
    <col min="3590" max="3590" width="21.140625" style="1620" customWidth="1"/>
    <col min="3591" max="3591" width="1.5703125" style="1620" customWidth="1"/>
    <col min="3592" max="3592" width="22.140625" style="1620" customWidth="1"/>
    <col min="3593" max="3593" width="5.85546875" style="1620" customWidth="1"/>
    <col min="3594" max="3594" width="27.42578125" style="1620" customWidth="1"/>
    <col min="3595" max="3595" width="4.5703125" style="1620" customWidth="1"/>
    <col min="3596" max="3596" width="3.140625" style="1620" customWidth="1"/>
    <col min="3597" max="3599" width="1.5703125" style="1620" customWidth="1"/>
    <col min="3600" max="3600" width="4.85546875" style="1620" customWidth="1"/>
    <col min="3601" max="3602" width="1.5703125" style="1620" customWidth="1"/>
    <col min="3603" max="3841" width="9.140625" style="1620"/>
    <col min="3842" max="3842" width="17.85546875" style="1620" customWidth="1"/>
    <col min="3843" max="3843" width="1.140625" style="1620" customWidth="1"/>
    <col min="3844" max="3844" width="30.140625" style="1620" customWidth="1"/>
    <col min="3845" max="3845" width="1.5703125" style="1620" customWidth="1"/>
    <col min="3846" max="3846" width="21.140625" style="1620" customWidth="1"/>
    <col min="3847" max="3847" width="1.5703125" style="1620" customWidth="1"/>
    <col min="3848" max="3848" width="22.140625" style="1620" customWidth="1"/>
    <col min="3849" max="3849" width="5.85546875" style="1620" customWidth="1"/>
    <col min="3850" max="3850" width="27.42578125" style="1620" customWidth="1"/>
    <col min="3851" max="3851" width="4.5703125" style="1620" customWidth="1"/>
    <col min="3852" max="3852" width="3.140625" style="1620" customWidth="1"/>
    <col min="3853" max="3855" width="1.5703125" style="1620" customWidth="1"/>
    <col min="3856" max="3856" width="4.85546875" style="1620" customWidth="1"/>
    <col min="3857" max="3858" width="1.5703125" style="1620" customWidth="1"/>
    <col min="3859" max="4097" width="9.140625" style="1620"/>
    <col min="4098" max="4098" width="17.85546875" style="1620" customWidth="1"/>
    <col min="4099" max="4099" width="1.140625" style="1620" customWidth="1"/>
    <col min="4100" max="4100" width="30.140625" style="1620" customWidth="1"/>
    <col min="4101" max="4101" width="1.5703125" style="1620" customWidth="1"/>
    <col min="4102" max="4102" width="21.140625" style="1620" customWidth="1"/>
    <col min="4103" max="4103" width="1.5703125" style="1620" customWidth="1"/>
    <col min="4104" max="4104" width="22.140625" style="1620" customWidth="1"/>
    <col min="4105" max="4105" width="5.85546875" style="1620" customWidth="1"/>
    <col min="4106" max="4106" width="27.42578125" style="1620" customWidth="1"/>
    <col min="4107" max="4107" width="4.5703125" style="1620" customWidth="1"/>
    <col min="4108" max="4108" width="3.140625" style="1620" customWidth="1"/>
    <col min="4109" max="4111" width="1.5703125" style="1620" customWidth="1"/>
    <col min="4112" max="4112" width="4.85546875" style="1620" customWidth="1"/>
    <col min="4113" max="4114" width="1.5703125" style="1620" customWidth="1"/>
    <col min="4115" max="4353" width="9.140625" style="1620"/>
    <col min="4354" max="4354" width="17.85546875" style="1620" customWidth="1"/>
    <col min="4355" max="4355" width="1.140625" style="1620" customWidth="1"/>
    <col min="4356" max="4356" width="30.140625" style="1620" customWidth="1"/>
    <col min="4357" max="4357" width="1.5703125" style="1620" customWidth="1"/>
    <col min="4358" max="4358" width="21.140625" style="1620" customWidth="1"/>
    <col min="4359" max="4359" width="1.5703125" style="1620" customWidth="1"/>
    <col min="4360" max="4360" width="22.140625" style="1620" customWidth="1"/>
    <col min="4361" max="4361" width="5.85546875" style="1620" customWidth="1"/>
    <col min="4362" max="4362" width="27.42578125" style="1620" customWidth="1"/>
    <col min="4363" max="4363" width="4.5703125" style="1620" customWidth="1"/>
    <col min="4364" max="4364" width="3.140625" style="1620" customWidth="1"/>
    <col min="4365" max="4367" width="1.5703125" style="1620" customWidth="1"/>
    <col min="4368" max="4368" width="4.85546875" style="1620" customWidth="1"/>
    <col min="4369" max="4370" width="1.5703125" style="1620" customWidth="1"/>
    <col min="4371" max="4609" width="9.140625" style="1620"/>
    <col min="4610" max="4610" width="17.85546875" style="1620" customWidth="1"/>
    <col min="4611" max="4611" width="1.140625" style="1620" customWidth="1"/>
    <col min="4612" max="4612" width="30.140625" style="1620" customWidth="1"/>
    <col min="4613" max="4613" width="1.5703125" style="1620" customWidth="1"/>
    <col min="4614" max="4614" width="21.140625" style="1620" customWidth="1"/>
    <col min="4615" max="4615" width="1.5703125" style="1620" customWidth="1"/>
    <col min="4616" max="4616" width="22.140625" style="1620" customWidth="1"/>
    <col min="4617" max="4617" width="5.85546875" style="1620" customWidth="1"/>
    <col min="4618" max="4618" width="27.42578125" style="1620" customWidth="1"/>
    <col min="4619" max="4619" width="4.5703125" style="1620" customWidth="1"/>
    <col min="4620" max="4620" width="3.140625" style="1620" customWidth="1"/>
    <col min="4621" max="4623" width="1.5703125" style="1620" customWidth="1"/>
    <col min="4624" max="4624" width="4.85546875" style="1620" customWidth="1"/>
    <col min="4625" max="4626" width="1.5703125" style="1620" customWidth="1"/>
    <col min="4627" max="4865" width="9.140625" style="1620"/>
    <col min="4866" max="4866" width="17.85546875" style="1620" customWidth="1"/>
    <col min="4867" max="4867" width="1.140625" style="1620" customWidth="1"/>
    <col min="4868" max="4868" width="30.140625" style="1620" customWidth="1"/>
    <col min="4869" max="4869" width="1.5703125" style="1620" customWidth="1"/>
    <col min="4870" max="4870" width="21.140625" style="1620" customWidth="1"/>
    <col min="4871" max="4871" width="1.5703125" style="1620" customWidth="1"/>
    <col min="4872" max="4872" width="22.140625" style="1620" customWidth="1"/>
    <col min="4873" max="4873" width="5.85546875" style="1620" customWidth="1"/>
    <col min="4874" max="4874" width="27.42578125" style="1620" customWidth="1"/>
    <col min="4875" max="4875" width="4.5703125" style="1620" customWidth="1"/>
    <col min="4876" max="4876" width="3.140625" style="1620" customWidth="1"/>
    <col min="4877" max="4879" width="1.5703125" style="1620" customWidth="1"/>
    <col min="4880" max="4880" width="4.85546875" style="1620" customWidth="1"/>
    <col min="4881" max="4882" width="1.5703125" style="1620" customWidth="1"/>
    <col min="4883" max="5121" width="9.140625" style="1620"/>
    <col min="5122" max="5122" width="17.85546875" style="1620" customWidth="1"/>
    <col min="5123" max="5123" width="1.140625" style="1620" customWidth="1"/>
    <col min="5124" max="5124" width="30.140625" style="1620" customWidth="1"/>
    <col min="5125" max="5125" width="1.5703125" style="1620" customWidth="1"/>
    <col min="5126" max="5126" width="21.140625" style="1620" customWidth="1"/>
    <col min="5127" max="5127" width="1.5703125" style="1620" customWidth="1"/>
    <col min="5128" max="5128" width="22.140625" style="1620" customWidth="1"/>
    <col min="5129" max="5129" width="5.85546875" style="1620" customWidth="1"/>
    <col min="5130" max="5130" width="27.42578125" style="1620" customWidth="1"/>
    <col min="5131" max="5131" width="4.5703125" style="1620" customWidth="1"/>
    <col min="5132" max="5132" width="3.140625" style="1620" customWidth="1"/>
    <col min="5133" max="5135" width="1.5703125" style="1620" customWidth="1"/>
    <col min="5136" max="5136" width="4.85546875" style="1620" customWidth="1"/>
    <col min="5137" max="5138" width="1.5703125" style="1620" customWidth="1"/>
    <col min="5139" max="5377" width="9.140625" style="1620"/>
    <col min="5378" max="5378" width="17.85546875" style="1620" customWidth="1"/>
    <col min="5379" max="5379" width="1.140625" style="1620" customWidth="1"/>
    <col min="5380" max="5380" width="30.140625" style="1620" customWidth="1"/>
    <col min="5381" max="5381" width="1.5703125" style="1620" customWidth="1"/>
    <col min="5382" max="5382" width="21.140625" style="1620" customWidth="1"/>
    <col min="5383" max="5383" width="1.5703125" style="1620" customWidth="1"/>
    <col min="5384" max="5384" width="22.140625" style="1620" customWidth="1"/>
    <col min="5385" max="5385" width="5.85546875" style="1620" customWidth="1"/>
    <col min="5386" max="5386" width="27.42578125" style="1620" customWidth="1"/>
    <col min="5387" max="5387" width="4.5703125" style="1620" customWidth="1"/>
    <col min="5388" max="5388" width="3.140625" style="1620" customWidth="1"/>
    <col min="5389" max="5391" width="1.5703125" style="1620" customWidth="1"/>
    <col min="5392" max="5392" width="4.85546875" style="1620" customWidth="1"/>
    <col min="5393" max="5394" width="1.5703125" style="1620" customWidth="1"/>
    <col min="5395" max="5633" width="9.140625" style="1620"/>
    <col min="5634" max="5634" width="17.85546875" style="1620" customWidth="1"/>
    <col min="5635" max="5635" width="1.140625" style="1620" customWidth="1"/>
    <col min="5636" max="5636" width="30.140625" style="1620" customWidth="1"/>
    <col min="5637" max="5637" width="1.5703125" style="1620" customWidth="1"/>
    <col min="5638" max="5638" width="21.140625" style="1620" customWidth="1"/>
    <col min="5639" max="5639" width="1.5703125" style="1620" customWidth="1"/>
    <col min="5640" max="5640" width="22.140625" style="1620" customWidth="1"/>
    <col min="5641" max="5641" width="5.85546875" style="1620" customWidth="1"/>
    <col min="5642" max="5642" width="27.42578125" style="1620" customWidth="1"/>
    <col min="5643" max="5643" width="4.5703125" style="1620" customWidth="1"/>
    <col min="5644" max="5644" width="3.140625" style="1620" customWidth="1"/>
    <col min="5645" max="5647" width="1.5703125" style="1620" customWidth="1"/>
    <col min="5648" max="5648" width="4.85546875" style="1620" customWidth="1"/>
    <col min="5649" max="5650" width="1.5703125" style="1620" customWidth="1"/>
    <col min="5651" max="5889" width="9.140625" style="1620"/>
    <col min="5890" max="5890" width="17.85546875" style="1620" customWidth="1"/>
    <col min="5891" max="5891" width="1.140625" style="1620" customWidth="1"/>
    <col min="5892" max="5892" width="30.140625" style="1620" customWidth="1"/>
    <col min="5893" max="5893" width="1.5703125" style="1620" customWidth="1"/>
    <col min="5894" max="5894" width="21.140625" style="1620" customWidth="1"/>
    <col min="5895" max="5895" width="1.5703125" style="1620" customWidth="1"/>
    <col min="5896" max="5896" width="22.140625" style="1620" customWidth="1"/>
    <col min="5897" max="5897" width="5.85546875" style="1620" customWidth="1"/>
    <col min="5898" max="5898" width="27.42578125" style="1620" customWidth="1"/>
    <col min="5899" max="5899" width="4.5703125" style="1620" customWidth="1"/>
    <col min="5900" max="5900" width="3.140625" style="1620" customWidth="1"/>
    <col min="5901" max="5903" width="1.5703125" style="1620" customWidth="1"/>
    <col min="5904" max="5904" width="4.85546875" style="1620" customWidth="1"/>
    <col min="5905" max="5906" width="1.5703125" style="1620" customWidth="1"/>
    <col min="5907" max="6145" width="9.140625" style="1620"/>
    <col min="6146" max="6146" width="17.85546875" style="1620" customWidth="1"/>
    <col min="6147" max="6147" width="1.140625" style="1620" customWidth="1"/>
    <col min="6148" max="6148" width="30.140625" style="1620" customWidth="1"/>
    <col min="6149" max="6149" width="1.5703125" style="1620" customWidth="1"/>
    <col min="6150" max="6150" width="21.140625" style="1620" customWidth="1"/>
    <col min="6151" max="6151" width="1.5703125" style="1620" customWidth="1"/>
    <col min="6152" max="6152" width="22.140625" style="1620" customWidth="1"/>
    <col min="6153" max="6153" width="5.85546875" style="1620" customWidth="1"/>
    <col min="6154" max="6154" width="27.42578125" style="1620" customWidth="1"/>
    <col min="6155" max="6155" width="4.5703125" style="1620" customWidth="1"/>
    <col min="6156" max="6156" width="3.140625" style="1620" customWidth="1"/>
    <col min="6157" max="6159" width="1.5703125" style="1620" customWidth="1"/>
    <col min="6160" max="6160" width="4.85546875" style="1620" customWidth="1"/>
    <col min="6161" max="6162" width="1.5703125" style="1620" customWidth="1"/>
    <col min="6163" max="6401" width="9.140625" style="1620"/>
    <col min="6402" max="6402" width="17.85546875" style="1620" customWidth="1"/>
    <col min="6403" max="6403" width="1.140625" style="1620" customWidth="1"/>
    <col min="6404" max="6404" width="30.140625" style="1620" customWidth="1"/>
    <col min="6405" max="6405" width="1.5703125" style="1620" customWidth="1"/>
    <col min="6406" max="6406" width="21.140625" style="1620" customWidth="1"/>
    <col min="6407" max="6407" width="1.5703125" style="1620" customWidth="1"/>
    <col min="6408" max="6408" width="22.140625" style="1620" customWidth="1"/>
    <col min="6409" max="6409" width="5.85546875" style="1620" customWidth="1"/>
    <col min="6410" max="6410" width="27.42578125" style="1620" customWidth="1"/>
    <col min="6411" max="6411" width="4.5703125" style="1620" customWidth="1"/>
    <col min="6412" max="6412" width="3.140625" style="1620" customWidth="1"/>
    <col min="6413" max="6415" width="1.5703125" style="1620" customWidth="1"/>
    <col min="6416" max="6416" width="4.85546875" style="1620" customWidth="1"/>
    <col min="6417" max="6418" width="1.5703125" style="1620" customWidth="1"/>
    <col min="6419" max="6657" width="9.140625" style="1620"/>
    <col min="6658" max="6658" width="17.85546875" style="1620" customWidth="1"/>
    <col min="6659" max="6659" width="1.140625" style="1620" customWidth="1"/>
    <col min="6660" max="6660" width="30.140625" style="1620" customWidth="1"/>
    <col min="6661" max="6661" width="1.5703125" style="1620" customWidth="1"/>
    <col min="6662" max="6662" width="21.140625" style="1620" customWidth="1"/>
    <col min="6663" max="6663" width="1.5703125" style="1620" customWidth="1"/>
    <col min="6664" max="6664" width="22.140625" style="1620" customWidth="1"/>
    <col min="6665" max="6665" width="5.85546875" style="1620" customWidth="1"/>
    <col min="6666" max="6666" width="27.42578125" style="1620" customWidth="1"/>
    <col min="6667" max="6667" width="4.5703125" style="1620" customWidth="1"/>
    <col min="6668" max="6668" width="3.140625" style="1620" customWidth="1"/>
    <col min="6669" max="6671" width="1.5703125" style="1620" customWidth="1"/>
    <col min="6672" max="6672" width="4.85546875" style="1620" customWidth="1"/>
    <col min="6673" max="6674" width="1.5703125" style="1620" customWidth="1"/>
    <col min="6675" max="6913" width="9.140625" style="1620"/>
    <col min="6914" max="6914" width="17.85546875" style="1620" customWidth="1"/>
    <col min="6915" max="6915" width="1.140625" style="1620" customWidth="1"/>
    <col min="6916" max="6916" width="30.140625" style="1620" customWidth="1"/>
    <col min="6917" max="6917" width="1.5703125" style="1620" customWidth="1"/>
    <col min="6918" max="6918" width="21.140625" style="1620" customWidth="1"/>
    <col min="6919" max="6919" width="1.5703125" style="1620" customWidth="1"/>
    <col min="6920" max="6920" width="22.140625" style="1620" customWidth="1"/>
    <col min="6921" max="6921" width="5.85546875" style="1620" customWidth="1"/>
    <col min="6922" max="6922" width="27.42578125" style="1620" customWidth="1"/>
    <col min="6923" max="6923" width="4.5703125" style="1620" customWidth="1"/>
    <col min="6924" max="6924" width="3.140625" style="1620" customWidth="1"/>
    <col min="6925" max="6927" width="1.5703125" style="1620" customWidth="1"/>
    <col min="6928" max="6928" width="4.85546875" style="1620" customWidth="1"/>
    <col min="6929" max="6930" width="1.5703125" style="1620" customWidth="1"/>
    <col min="6931" max="7169" width="9.140625" style="1620"/>
    <col min="7170" max="7170" width="17.85546875" style="1620" customWidth="1"/>
    <col min="7171" max="7171" width="1.140625" style="1620" customWidth="1"/>
    <col min="7172" max="7172" width="30.140625" style="1620" customWidth="1"/>
    <col min="7173" max="7173" width="1.5703125" style="1620" customWidth="1"/>
    <col min="7174" max="7174" width="21.140625" style="1620" customWidth="1"/>
    <col min="7175" max="7175" width="1.5703125" style="1620" customWidth="1"/>
    <col min="7176" max="7176" width="22.140625" style="1620" customWidth="1"/>
    <col min="7177" max="7177" width="5.85546875" style="1620" customWidth="1"/>
    <col min="7178" max="7178" width="27.42578125" style="1620" customWidth="1"/>
    <col min="7179" max="7179" width="4.5703125" style="1620" customWidth="1"/>
    <col min="7180" max="7180" width="3.140625" style="1620" customWidth="1"/>
    <col min="7181" max="7183" width="1.5703125" style="1620" customWidth="1"/>
    <col min="7184" max="7184" width="4.85546875" style="1620" customWidth="1"/>
    <col min="7185" max="7186" width="1.5703125" style="1620" customWidth="1"/>
    <col min="7187" max="7425" width="9.140625" style="1620"/>
    <col min="7426" max="7426" width="17.85546875" style="1620" customWidth="1"/>
    <col min="7427" max="7427" width="1.140625" style="1620" customWidth="1"/>
    <col min="7428" max="7428" width="30.140625" style="1620" customWidth="1"/>
    <col min="7429" max="7429" width="1.5703125" style="1620" customWidth="1"/>
    <col min="7430" max="7430" width="21.140625" style="1620" customWidth="1"/>
    <col min="7431" max="7431" width="1.5703125" style="1620" customWidth="1"/>
    <col min="7432" max="7432" width="22.140625" style="1620" customWidth="1"/>
    <col min="7433" max="7433" width="5.85546875" style="1620" customWidth="1"/>
    <col min="7434" max="7434" width="27.42578125" style="1620" customWidth="1"/>
    <col min="7435" max="7435" width="4.5703125" style="1620" customWidth="1"/>
    <col min="7436" max="7436" width="3.140625" style="1620" customWidth="1"/>
    <col min="7437" max="7439" width="1.5703125" style="1620" customWidth="1"/>
    <col min="7440" max="7440" width="4.85546875" style="1620" customWidth="1"/>
    <col min="7441" max="7442" width="1.5703125" style="1620" customWidth="1"/>
    <col min="7443" max="7681" width="9.140625" style="1620"/>
    <col min="7682" max="7682" width="17.85546875" style="1620" customWidth="1"/>
    <col min="7683" max="7683" width="1.140625" style="1620" customWidth="1"/>
    <col min="7684" max="7684" width="30.140625" style="1620" customWidth="1"/>
    <col min="7685" max="7685" width="1.5703125" style="1620" customWidth="1"/>
    <col min="7686" max="7686" width="21.140625" style="1620" customWidth="1"/>
    <col min="7687" max="7687" width="1.5703125" style="1620" customWidth="1"/>
    <col min="7688" max="7688" width="22.140625" style="1620" customWidth="1"/>
    <col min="7689" max="7689" width="5.85546875" style="1620" customWidth="1"/>
    <col min="7690" max="7690" width="27.42578125" style="1620" customWidth="1"/>
    <col min="7691" max="7691" width="4.5703125" style="1620" customWidth="1"/>
    <col min="7692" max="7692" width="3.140625" style="1620" customWidth="1"/>
    <col min="7693" max="7695" width="1.5703125" style="1620" customWidth="1"/>
    <col min="7696" max="7696" width="4.85546875" style="1620" customWidth="1"/>
    <col min="7697" max="7698" width="1.5703125" style="1620" customWidth="1"/>
    <col min="7699" max="7937" width="9.140625" style="1620"/>
    <col min="7938" max="7938" width="17.85546875" style="1620" customWidth="1"/>
    <col min="7939" max="7939" width="1.140625" style="1620" customWidth="1"/>
    <col min="7940" max="7940" width="30.140625" style="1620" customWidth="1"/>
    <col min="7941" max="7941" width="1.5703125" style="1620" customWidth="1"/>
    <col min="7942" max="7942" width="21.140625" style="1620" customWidth="1"/>
    <col min="7943" max="7943" width="1.5703125" style="1620" customWidth="1"/>
    <col min="7944" max="7944" width="22.140625" style="1620" customWidth="1"/>
    <col min="7945" max="7945" width="5.85546875" style="1620" customWidth="1"/>
    <col min="7946" max="7946" width="27.42578125" style="1620" customWidth="1"/>
    <col min="7947" max="7947" width="4.5703125" style="1620" customWidth="1"/>
    <col min="7948" max="7948" width="3.140625" style="1620" customWidth="1"/>
    <col min="7949" max="7951" width="1.5703125" style="1620" customWidth="1"/>
    <col min="7952" max="7952" width="4.85546875" style="1620" customWidth="1"/>
    <col min="7953" max="7954" width="1.5703125" style="1620" customWidth="1"/>
    <col min="7955" max="8193" width="9.140625" style="1620"/>
    <col min="8194" max="8194" width="17.85546875" style="1620" customWidth="1"/>
    <col min="8195" max="8195" width="1.140625" style="1620" customWidth="1"/>
    <col min="8196" max="8196" width="30.140625" style="1620" customWidth="1"/>
    <col min="8197" max="8197" width="1.5703125" style="1620" customWidth="1"/>
    <col min="8198" max="8198" width="21.140625" style="1620" customWidth="1"/>
    <col min="8199" max="8199" width="1.5703125" style="1620" customWidth="1"/>
    <col min="8200" max="8200" width="22.140625" style="1620" customWidth="1"/>
    <col min="8201" max="8201" width="5.85546875" style="1620" customWidth="1"/>
    <col min="8202" max="8202" width="27.42578125" style="1620" customWidth="1"/>
    <col min="8203" max="8203" width="4.5703125" style="1620" customWidth="1"/>
    <col min="8204" max="8204" width="3.140625" style="1620" customWidth="1"/>
    <col min="8205" max="8207" width="1.5703125" style="1620" customWidth="1"/>
    <col min="8208" max="8208" width="4.85546875" style="1620" customWidth="1"/>
    <col min="8209" max="8210" width="1.5703125" style="1620" customWidth="1"/>
    <col min="8211" max="8449" width="9.140625" style="1620"/>
    <col min="8450" max="8450" width="17.85546875" style="1620" customWidth="1"/>
    <col min="8451" max="8451" width="1.140625" style="1620" customWidth="1"/>
    <col min="8452" max="8452" width="30.140625" style="1620" customWidth="1"/>
    <col min="8453" max="8453" width="1.5703125" style="1620" customWidth="1"/>
    <col min="8454" max="8454" width="21.140625" style="1620" customWidth="1"/>
    <col min="8455" max="8455" width="1.5703125" style="1620" customWidth="1"/>
    <col min="8456" max="8456" width="22.140625" style="1620" customWidth="1"/>
    <col min="8457" max="8457" width="5.85546875" style="1620" customWidth="1"/>
    <col min="8458" max="8458" width="27.42578125" style="1620" customWidth="1"/>
    <col min="8459" max="8459" width="4.5703125" style="1620" customWidth="1"/>
    <col min="8460" max="8460" width="3.140625" style="1620" customWidth="1"/>
    <col min="8461" max="8463" width="1.5703125" style="1620" customWidth="1"/>
    <col min="8464" max="8464" width="4.85546875" style="1620" customWidth="1"/>
    <col min="8465" max="8466" width="1.5703125" style="1620" customWidth="1"/>
    <col min="8467" max="8705" width="9.140625" style="1620"/>
    <col min="8706" max="8706" width="17.85546875" style="1620" customWidth="1"/>
    <col min="8707" max="8707" width="1.140625" style="1620" customWidth="1"/>
    <col min="8708" max="8708" width="30.140625" style="1620" customWidth="1"/>
    <col min="8709" max="8709" width="1.5703125" style="1620" customWidth="1"/>
    <col min="8710" max="8710" width="21.140625" style="1620" customWidth="1"/>
    <col min="8711" max="8711" width="1.5703125" style="1620" customWidth="1"/>
    <col min="8712" max="8712" width="22.140625" style="1620" customWidth="1"/>
    <col min="8713" max="8713" width="5.85546875" style="1620" customWidth="1"/>
    <col min="8714" max="8714" width="27.42578125" style="1620" customWidth="1"/>
    <col min="8715" max="8715" width="4.5703125" style="1620" customWidth="1"/>
    <col min="8716" max="8716" width="3.140625" style="1620" customWidth="1"/>
    <col min="8717" max="8719" width="1.5703125" style="1620" customWidth="1"/>
    <col min="8720" max="8720" width="4.85546875" style="1620" customWidth="1"/>
    <col min="8721" max="8722" width="1.5703125" style="1620" customWidth="1"/>
    <col min="8723" max="8961" width="9.140625" style="1620"/>
    <col min="8962" max="8962" width="17.85546875" style="1620" customWidth="1"/>
    <col min="8963" max="8963" width="1.140625" style="1620" customWidth="1"/>
    <col min="8964" max="8964" width="30.140625" style="1620" customWidth="1"/>
    <col min="8965" max="8965" width="1.5703125" style="1620" customWidth="1"/>
    <col min="8966" max="8966" width="21.140625" style="1620" customWidth="1"/>
    <col min="8967" max="8967" width="1.5703125" style="1620" customWidth="1"/>
    <col min="8968" max="8968" width="22.140625" style="1620" customWidth="1"/>
    <col min="8969" max="8969" width="5.85546875" style="1620" customWidth="1"/>
    <col min="8970" max="8970" width="27.42578125" style="1620" customWidth="1"/>
    <col min="8971" max="8971" width="4.5703125" style="1620" customWidth="1"/>
    <col min="8972" max="8972" width="3.140625" style="1620" customWidth="1"/>
    <col min="8973" max="8975" width="1.5703125" style="1620" customWidth="1"/>
    <col min="8976" max="8976" width="4.85546875" style="1620" customWidth="1"/>
    <col min="8977" max="8978" width="1.5703125" style="1620" customWidth="1"/>
    <col min="8979" max="9217" width="9.140625" style="1620"/>
    <col min="9218" max="9218" width="17.85546875" style="1620" customWidth="1"/>
    <col min="9219" max="9219" width="1.140625" style="1620" customWidth="1"/>
    <col min="9220" max="9220" width="30.140625" style="1620" customWidth="1"/>
    <col min="9221" max="9221" width="1.5703125" style="1620" customWidth="1"/>
    <col min="9222" max="9222" width="21.140625" style="1620" customWidth="1"/>
    <col min="9223" max="9223" width="1.5703125" style="1620" customWidth="1"/>
    <col min="9224" max="9224" width="22.140625" style="1620" customWidth="1"/>
    <col min="9225" max="9225" width="5.85546875" style="1620" customWidth="1"/>
    <col min="9226" max="9226" width="27.42578125" style="1620" customWidth="1"/>
    <col min="9227" max="9227" width="4.5703125" style="1620" customWidth="1"/>
    <col min="9228" max="9228" width="3.140625" style="1620" customWidth="1"/>
    <col min="9229" max="9231" width="1.5703125" style="1620" customWidth="1"/>
    <col min="9232" max="9232" width="4.85546875" style="1620" customWidth="1"/>
    <col min="9233" max="9234" width="1.5703125" style="1620" customWidth="1"/>
    <col min="9235" max="9473" width="9.140625" style="1620"/>
    <col min="9474" max="9474" width="17.85546875" style="1620" customWidth="1"/>
    <col min="9475" max="9475" width="1.140625" style="1620" customWidth="1"/>
    <col min="9476" max="9476" width="30.140625" style="1620" customWidth="1"/>
    <col min="9477" max="9477" width="1.5703125" style="1620" customWidth="1"/>
    <col min="9478" max="9478" width="21.140625" style="1620" customWidth="1"/>
    <col min="9479" max="9479" width="1.5703125" style="1620" customWidth="1"/>
    <col min="9480" max="9480" width="22.140625" style="1620" customWidth="1"/>
    <col min="9481" max="9481" width="5.85546875" style="1620" customWidth="1"/>
    <col min="9482" max="9482" width="27.42578125" style="1620" customWidth="1"/>
    <col min="9483" max="9483" width="4.5703125" style="1620" customWidth="1"/>
    <col min="9484" max="9484" width="3.140625" style="1620" customWidth="1"/>
    <col min="9485" max="9487" width="1.5703125" style="1620" customWidth="1"/>
    <col min="9488" max="9488" width="4.85546875" style="1620" customWidth="1"/>
    <col min="9489" max="9490" width="1.5703125" style="1620" customWidth="1"/>
    <col min="9491" max="9729" width="9.140625" style="1620"/>
    <col min="9730" max="9730" width="17.85546875" style="1620" customWidth="1"/>
    <col min="9731" max="9731" width="1.140625" style="1620" customWidth="1"/>
    <col min="9732" max="9732" width="30.140625" style="1620" customWidth="1"/>
    <col min="9733" max="9733" width="1.5703125" style="1620" customWidth="1"/>
    <col min="9734" max="9734" width="21.140625" style="1620" customWidth="1"/>
    <col min="9735" max="9735" width="1.5703125" style="1620" customWidth="1"/>
    <col min="9736" max="9736" width="22.140625" style="1620" customWidth="1"/>
    <col min="9737" max="9737" width="5.85546875" style="1620" customWidth="1"/>
    <col min="9738" max="9738" width="27.42578125" style="1620" customWidth="1"/>
    <col min="9739" max="9739" width="4.5703125" style="1620" customWidth="1"/>
    <col min="9740" max="9740" width="3.140625" style="1620" customWidth="1"/>
    <col min="9741" max="9743" width="1.5703125" style="1620" customWidth="1"/>
    <col min="9744" max="9744" width="4.85546875" style="1620" customWidth="1"/>
    <col min="9745" max="9746" width="1.5703125" style="1620" customWidth="1"/>
    <col min="9747" max="9985" width="9.140625" style="1620"/>
    <col min="9986" max="9986" width="17.85546875" style="1620" customWidth="1"/>
    <col min="9987" max="9987" width="1.140625" style="1620" customWidth="1"/>
    <col min="9988" max="9988" width="30.140625" style="1620" customWidth="1"/>
    <col min="9989" max="9989" width="1.5703125" style="1620" customWidth="1"/>
    <col min="9990" max="9990" width="21.140625" style="1620" customWidth="1"/>
    <col min="9991" max="9991" width="1.5703125" style="1620" customWidth="1"/>
    <col min="9992" max="9992" width="22.140625" style="1620" customWidth="1"/>
    <col min="9993" max="9993" width="5.85546875" style="1620" customWidth="1"/>
    <col min="9994" max="9994" width="27.42578125" style="1620" customWidth="1"/>
    <col min="9995" max="9995" width="4.5703125" style="1620" customWidth="1"/>
    <col min="9996" max="9996" width="3.140625" style="1620" customWidth="1"/>
    <col min="9997" max="9999" width="1.5703125" style="1620" customWidth="1"/>
    <col min="10000" max="10000" width="4.85546875" style="1620" customWidth="1"/>
    <col min="10001" max="10002" width="1.5703125" style="1620" customWidth="1"/>
    <col min="10003" max="10241" width="9.140625" style="1620"/>
    <col min="10242" max="10242" width="17.85546875" style="1620" customWidth="1"/>
    <col min="10243" max="10243" width="1.140625" style="1620" customWidth="1"/>
    <col min="10244" max="10244" width="30.140625" style="1620" customWidth="1"/>
    <col min="10245" max="10245" width="1.5703125" style="1620" customWidth="1"/>
    <col min="10246" max="10246" width="21.140625" style="1620" customWidth="1"/>
    <col min="10247" max="10247" width="1.5703125" style="1620" customWidth="1"/>
    <col min="10248" max="10248" width="22.140625" style="1620" customWidth="1"/>
    <col min="10249" max="10249" width="5.85546875" style="1620" customWidth="1"/>
    <col min="10250" max="10250" width="27.42578125" style="1620" customWidth="1"/>
    <col min="10251" max="10251" width="4.5703125" style="1620" customWidth="1"/>
    <col min="10252" max="10252" width="3.140625" style="1620" customWidth="1"/>
    <col min="10253" max="10255" width="1.5703125" style="1620" customWidth="1"/>
    <col min="10256" max="10256" width="4.85546875" style="1620" customWidth="1"/>
    <col min="10257" max="10258" width="1.5703125" style="1620" customWidth="1"/>
    <col min="10259" max="10497" width="9.140625" style="1620"/>
    <col min="10498" max="10498" width="17.85546875" style="1620" customWidth="1"/>
    <col min="10499" max="10499" width="1.140625" style="1620" customWidth="1"/>
    <col min="10500" max="10500" width="30.140625" style="1620" customWidth="1"/>
    <col min="10501" max="10501" width="1.5703125" style="1620" customWidth="1"/>
    <col min="10502" max="10502" width="21.140625" style="1620" customWidth="1"/>
    <col min="10503" max="10503" width="1.5703125" style="1620" customWidth="1"/>
    <col min="10504" max="10504" width="22.140625" style="1620" customWidth="1"/>
    <col min="10505" max="10505" width="5.85546875" style="1620" customWidth="1"/>
    <col min="10506" max="10506" width="27.42578125" style="1620" customWidth="1"/>
    <col min="10507" max="10507" width="4.5703125" style="1620" customWidth="1"/>
    <col min="10508" max="10508" width="3.140625" style="1620" customWidth="1"/>
    <col min="10509" max="10511" width="1.5703125" style="1620" customWidth="1"/>
    <col min="10512" max="10512" width="4.85546875" style="1620" customWidth="1"/>
    <col min="10513" max="10514" width="1.5703125" style="1620" customWidth="1"/>
    <col min="10515" max="10753" width="9.140625" style="1620"/>
    <col min="10754" max="10754" width="17.85546875" style="1620" customWidth="1"/>
    <col min="10755" max="10755" width="1.140625" style="1620" customWidth="1"/>
    <col min="10756" max="10756" width="30.140625" style="1620" customWidth="1"/>
    <col min="10757" max="10757" width="1.5703125" style="1620" customWidth="1"/>
    <col min="10758" max="10758" width="21.140625" style="1620" customWidth="1"/>
    <col min="10759" max="10759" width="1.5703125" style="1620" customWidth="1"/>
    <col min="10760" max="10760" width="22.140625" style="1620" customWidth="1"/>
    <col min="10761" max="10761" width="5.85546875" style="1620" customWidth="1"/>
    <col min="10762" max="10762" width="27.42578125" style="1620" customWidth="1"/>
    <col min="10763" max="10763" width="4.5703125" style="1620" customWidth="1"/>
    <col min="10764" max="10764" width="3.140625" style="1620" customWidth="1"/>
    <col min="10765" max="10767" width="1.5703125" style="1620" customWidth="1"/>
    <col min="10768" max="10768" width="4.85546875" style="1620" customWidth="1"/>
    <col min="10769" max="10770" width="1.5703125" style="1620" customWidth="1"/>
    <col min="10771" max="11009" width="9.140625" style="1620"/>
    <col min="11010" max="11010" width="17.85546875" style="1620" customWidth="1"/>
    <col min="11011" max="11011" width="1.140625" style="1620" customWidth="1"/>
    <col min="11012" max="11012" width="30.140625" style="1620" customWidth="1"/>
    <col min="11013" max="11013" width="1.5703125" style="1620" customWidth="1"/>
    <col min="11014" max="11014" width="21.140625" style="1620" customWidth="1"/>
    <col min="11015" max="11015" width="1.5703125" style="1620" customWidth="1"/>
    <col min="11016" max="11016" width="22.140625" style="1620" customWidth="1"/>
    <col min="11017" max="11017" width="5.85546875" style="1620" customWidth="1"/>
    <col min="11018" max="11018" width="27.42578125" style="1620" customWidth="1"/>
    <col min="11019" max="11019" width="4.5703125" style="1620" customWidth="1"/>
    <col min="11020" max="11020" width="3.140625" style="1620" customWidth="1"/>
    <col min="11021" max="11023" width="1.5703125" style="1620" customWidth="1"/>
    <col min="11024" max="11024" width="4.85546875" style="1620" customWidth="1"/>
    <col min="11025" max="11026" width="1.5703125" style="1620" customWidth="1"/>
    <col min="11027" max="11265" width="9.140625" style="1620"/>
    <col min="11266" max="11266" width="17.85546875" style="1620" customWidth="1"/>
    <col min="11267" max="11267" width="1.140625" style="1620" customWidth="1"/>
    <col min="11268" max="11268" width="30.140625" style="1620" customWidth="1"/>
    <col min="11269" max="11269" width="1.5703125" style="1620" customWidth="1"/>
    <col min="11270" max="11270" width="21.140625" style="1620" customWidth="1"/>
    <col min="11271" max="11271" width="1.5703125" style="1620" customWidth="1"/>
    <col min="11272" max="11272" width="22.140625" style="1620" customWidth="1"/>
    <col min="11273" max="11273" width="5.85546875" style="1620" customWidth="1"/>
    <col min="11274" max="11274" width="27.42578125" style="1620" customWidth="1"/>
    <col min="11275" max="11275" width="4.5703125" style="1620" customWidth="1"/>
    <col min="11276" max="11276" width="3.140625" style="1620" customWidth="1"/>
    <col min="11277" max="11279" width="1.5703125" style="1620" customWidth="1"/>
    <col min="11280" max="11280" width="4.85546875" style="1620" customWidth="1"/>
    <col min="11281" max="11282" width="1.5703125" style="1620" customWidth="1"/>
    <col min="11283" max="11521" width="9.140625" style="1620"/>
    <col min="11522" max="11522" width="17.85546875" style="1620" customWidth="1"/>
    <col min="11523" max="11523" width="1.140625" style="1620" customWidth="1"/>
    <col min="11524" max="11524" width="30.140625" style="1620" customWidth="1"/>
    <col min="11525" max="11525" width="1.5703125" style="1620" customWidth="1"/>
    <col min="11526" max="11526" width="21.140625" style="1620" customWidth="1"/>
    <col min="11527" max="11527" width="1.5703125" style="1620" customWidth="1"/>
    <col min="11528" max="11528" width="22.140625" style="1620" customWidth="1"/>
    <col min="11529" max="11529" width="5.85546875" style="1620" customWidth="1"/>
    <col min="11530" max="11530" width="27.42578125" style="1620" customWidth="1"/>
    <col min="11531" max="11531" width="4.5703125" style="1620" customWidth="1"/>
    <col min="11532" max="11532" width="3.140625" style="1620" customWidth="1"/>
    <col min="11533" max="11535" width="1.5703125" style="1620" customWidth="1"/>
    <col min="11536" max="11536" width="4.85546875" style="1620" customWidth="1"/>
    <col min="11537" max="11538" width="1.5703125" style="1620" customWidth="1"/>
    <col min="11539" max="11777" width="9.140625" style="1620"/>
    <col min="11778" max="11778" width="17.85546875" style="1620" customWidth="1"/>
    <col min="11779" max="11779" width="1.140625" style="1620" customWidth="1"/>
    <col min="11780" max="11780" width="30.140625" style="1620" customWidth="1"/>
    <col min="11781" max="11781" width="1.5703125" style="1620" customWidth="1"/>
    <col min="11782" max="11782" width="21.140625" style="1620" customWidth="1"/>
    <col min="11783" max="11783" width="1.5703125" style="1620" customWidth="1"/>
    <col min="11784" max="11784" width="22.140625" style="1620" customWidth="1"/>
    <col min="11785" max="11785" width="5.85546875" style="1620" customWidth="1"/>
    <col min="11786" max="11786" width="27.42578125" style="1620" customWidth="1"/>
    <col min="11787" max="11787" width="4.5703125" style="1620" customWidth="1"/>
    <col min="11788" max="11788" width="3.140625" style="1620" customWidth="1"/>
    <col min="11789" max="11791" width="1.5703125" style="1620" customWidth="1"/>
    <col min="11792" max="11792" width="4.85546875" style="1620" customWidth="1"/>
    <col min="11793" max="11794" width="1.5703125" style="1620" customWidth="1"/>
    <col min="11795" max="12033" width="9.140625" style="1620"/>
    <col min="12034" max="12034" width="17.85546875" style="1620" customWidth="1"/>
    <col min="12035" max="12035" width="1.140625" style="1620" customWidth="1"/>
    <col min="12036" max="12036" width="30.140625" style="1620" customWidth="1"/>
    <col min="12037" max="12037" width="1.5703125" style="1620" customWidth="1"/>
    <col min="12038" max="12038" width="21.140625" style="1620" customWidth="1"/>
    <col min="12039" max="12039" width="1.5703125" style="1620" customWidth="1"/>
    <col min="12040" max="12040" width="22.140625" style="1620" customWidth="1"/>
    <col min="12041" max="12041" width="5.85546875" style="1620" customWidth="1"/>
    <col min="12042" max="12042" width="27.42578125" style="1620" customWidth="1"/>
    <col min="12043" max="12043" width="4.5703125" style="1620" customWidth="1"/>
    <col min="12044" max="12044" width="3.140625" style="1620" customWidth="1"/>
    <col min="12045" max="12047" width="1.5703125" style="1620" customWidth="1"/>
    <col min="12048" max="12048" width="4.85546875" style="1620" customWidth="1"/>
    <col min="12049" max="12050" width="1.5703125" style="1620" customWidth="1"/>
    <col min="12051" max="12289" width="9.140625" style="1620"/>
    <col min="12290" max="12290" width="17.85546875" style="1620" customWidth="1"/>
    <col min="12291" max="12291" width="1.140625" style="1620" customWidth="1"/>
    <col min="12292" max="12292" width="30.140625" style="1620" customWidth="1"/>
    <col min="12293" max="12293" width="1.5703125" style="1620" customWidth="1"/>
    <col min="12294" max="12294" width="21.140625" style="1620" customWidth="1"/>
    <col min="12295" max="12295" width="1.5703125" style="1620" customWidth="1"/>
    <col min="12296" max="12296" width="22.140625" style="1620" customWidth="1"/>
    <col min="12297" max="12297" width="5.85546875" style="1620" customWidth="1"/>
    <col min="12298" max="12298" width="27.42578125" style="1620" customWidth="1"/>
    <col min="12299" max="12299" width="4.5703125" style="1620" customWidth="1"/>
    <col min="12300" max="12300" width="3.140625" style="1620" customWidth="1"/>
    <col min="12301" max="12303" width="1.5703125" style="1620" customWidth="1"/>
    <col min="12304" max="12304" width="4.85546875" style="1620" customWidth="1"/>
    <col min="12305" max="12306" width="1.5703125" style="1620" customWidth="1"/>
    <col min="12307" max="12545" width="9.140625" style="1620"/>
    <col min="12546" max="12546" width="17.85546875" style="1620" customWidth="1"/>
    <col min="12547" max="12547" width="1.140625" style="1620" customWidth="1"/>
    <col min="12548" max="12548" width="30.140625" style="1620" customWidth="1"/>
    <col min="12549" max="12549" width="1.5703125" style="1620" customWidth="1"/>
    <col min="12550" max="12550" width="21.140625" style="1620" customWidth="1"/>
    <col min="12551" max="12551" width="1.5703125" style="1620" customWidth="1"/>
    <col min="12552" max="12552" width="22.140625" style="1620" customWidth="1"/>
    <col min="12553" max="12553" width="5.85546875" style="1620" customWidth="1"/>
    <col min="12554" max="12554" width="27.42578125" style="1620" customWidth="1"/>
    <col min="12555" max="12555" width="4.5703125" style="1620" customWidth="1"/>
    <col min="12556" max="12556" width="3.140625" style="1620" customWidth="1"/>
    <col min="12557" max="12559" width="1.5703125" style="1620" customWidth="1"/>
    <col min="12560" max="12560" width="4.85546875" style="1620" customWidth="1"/>
    <col min="12561" max="12562" width="1.5703125" style="1620" customWidth="1"/>
    <col min="12563" max="12801" width="9.140625" style="1620"/>
    <col min="12802" max="12802" width="17.85546875" style="1620" customWidth="1"/>
    <col min="12803" max="12803" width="1.140625" style="1620" customWidth="1"/>
    <col min="12804" max="12804" width="30.140625" style="1620" customWidth="1"/>
    <col min="12805" max="12805" width="1.5703125" style="1620" customWidth="1"/>
    <col min="12806" max="12806" width="21.140625" style="1620" customWidth="1"/>
    <col min="12807" max="12807" width="1.5703125" style="1620" customWidth="1"/>
    <col min="12808" max="12808" width="22.140625" style="1620" customWidth="1"/>
    <col min="12809" max="12809" width="5.85546875" style="1620" customWidth="1"/>
    <col min="12810" max="12810" width="27.42578125" style="1620" customWidth="1"/>
    <col min="12811" max="12811" width="4.5703125" style="1620" customWidth="1"/>
    <col min="12812" max="12812" width="3.140625" style="1620" customWidth="1"/>
    <col min="12813" max="12815" width="1.5703125" style="1620" customWidth="1"/>
    <col min="12816" max="12816" width="4.85546875" style="1620" customWidth="1"/>
    <col min="12817" max="12818" width="1.5703125" style="1620" customWidth="1"/>
    <col min="12819" max="13057" width="9.140625" style="1620"/>
    <col min="13058" max="13058" width="17.85546875" style="1620" customWidth="1"/>
    <col min="13059" max="13059" width="1.140625" style="1620" customWidth="1"/>
    <col min="13060" max="13060" width="30.140625" style="1620" customWidth="1"/>
    <col min="13061" max="13061" width="1.5703125" style="1620" customWidth="1"/>
    <col min="13062" max="13062" width="21.140625" style="1620" customWidth="1"/>
    <col min="13063" max="13063" width="1.5703125" style="1620" customWidth="1"/>
    <col min="13064" max="13064" width="22.140625" style="1620" customWidth="1"/>
    <col min="13065" max="13065" width="5.85546875" style="1620" customWidth="1"/>
    <col min="13066" max="13066" width="27.42578125" style="1620" customWidth="1"/>
    <col min="13067" max="13067" width="4.5703125" style="1620" customWidth="1"/>
    <col min="13068" max="13068" width="3.140625" style="1620" customWidth="1"/>
    <col min="13069" max="13071" width="1.5703125" style="1620" customWidth="1"/>
    <col min="13072" max="13072" width="4.85546875" style="1620" customWidth="1"/>
    <col min="13073" max="13074" width="1.5703125" style="1620" customWidth="1"/>
    <col min="13075" max="13313" width="9.140625" style="1620"/>
    <col min="13314" max="13314" width="17.85546875" style="1620" customWidth="1"/>
    <col min="13315" max="13315" width="1.140625" style="1620" customWidth="1"/>
    <col min="13316" max="13316" width="30.140625" style="1620" customWidth="1"/>
    <col min="13317" max="13317" width="1.5703125" style="1620" customWidth="1"/>
    <col min="13318" max="13318" width="21.140625" style="1620" customWidth="1"/>
    <col min="13319" max="13319" width="1.5703125" style="1620" customWidth="1"/>
    <col min="13320" max="13320" width="22.140625" style="1620" customWidth="1"/>
    <col min="13321" max="13321" width="5.85546875" style="1620" customWidth="1"/>
    <col min="13322" max="13322" width="27.42578125" style="1620" customWidth="1"/>
    <col min="13323" max="13323" width="4.5703125" style="1620" customWidth="1"/>
    <col min="13324" max="13324" width="3.140625" style="1620" customWidth="1"/>
    <col min="13325" max="13327" width="1.5703125" style="1620" customWidth="1"/>
    <col min="13328" max="13328" width="4.85546875" style="1620" customWidth="1"/>
    <col min="13329" max="13330" width="1.5703125" style="1620" customWidth="1"/>
    <col min="13331" max="13569" width="9.140625" style="1620"/>
    <col min="13570" max="13570" width="17.85546875" style="1620" customWidth="1"/>
    <col min="13571" max="13571" width="1.140625" style="1620" customWidth="1"/>
    <col min="13572" max="13572" width="30.140625" style="1620" customWidth="1"/>
    <col min="13573" max="13573" width="1.5703125" style="1620" customWidth="1"/>
    <col min="13574" max="13574" width="21.140625" style="1620" customWidth="1"/>
    <col min="13575" max="13575" width="1.5703125" style="1620" customWidth="1"/>
    <col min="13576" max="13576" width="22.140625" style="1620" customWidth="1"/>
    <col min="13577" max="13577" width="5.85546875" style="1620" customWidth="1"/>
    <col min="13578" max="13578" width="27.42578125" style="1620" customWidth="1"/>
    <col min="13579" max="13579" width="4.5703125" style="1620" customWidth="1"/>
    <col min="13580" max="13580" width="3.140625" style="1620" customWidth="1"/>
    <col min="13581" max="13583" width="1.5703125" style="1620" customWidth="1"/>
    <col min="13584" max="13584" width="4.85546875" style="1620" customWidth="1"/>
    <col min="13585" max="13586" width="1.5703125" style="1620" customWidth="1"/>
    <col min="13587" max="13825" width="9.140625" style="1620"/>
    <col min="13826" max="13826" width="17.85546875" style="1620" customWidth="1"/>
    <col min="13827" max="13827" width="1.140625" style="1620" customWidth="1"/>
    <col min="13828" max="13828" width="30.140625" style="1620" customWidth="1"/>
    <col min="13829" max="13829" width="1.5703125" style="1620" customWidth="1"/>
    <col min="13830" max="13830" width="21.140625" style="1620" customWidth="1"/>
    <col min="13831" max="13831" width="1.5703125" style="1620" customWidth="1"/>
    <col min="13832" max="13832" width="22.140625" style="1620" customWidth="1"/>
    <col min="13833" max="13833" width="5.85546875" style="1620" customWidth="1"/>
    <col min="13834" max="13834" width="27.42578125" style="1620" customWidth="1"/>
    <col min="13835" max="13835" width="4.5703125" style="1620" customWidth="1"/>
    <col min="13836" max="13836" width="3.140625" style="1620" customWidth="1"/>
    <col min="13837" max="13839" width="1.5703125" style="1620" customWidth="1"/>
    <col min="13840" max="13840" width="4.85546875" style="1620" customWidth="1"/>
    <col min="13841" max="13842" width="1.5703125" style="1620" customWidth="1"/>
    <col min="13843" max="14081" width="9.140625" style="1620"/>
    <col min="14082" max="14082" width="17.85546875" style="1620" customWidth="1"/>
    <col min="14083" max="14083" width="1.140625" style="1620" customWidth="1"/>
    <col min="14084" max="14084" width="30.140625" style="1620" customWidth="1"/>
    <col min="14085" max="14085" width="1.5703125" style="1620" customWidth="1"/>
    <col min="14086" max="14086" width="21.140625" style="1620" customWidth="1"/>
    <col min="14087" max="14087" width="1.5703125" style="1620" customWidth="1"/>
    <col min="14088" max="14088" width="22.140625" style="1620" customWidth="1"/>
    <col min="14089" max="14089" width="5.85546875" style="1620" customWidth="1"/>
    <col min="14090" max="14090" width="27.42578125" style="1620" customWidth="1"/>
    <col min="14091" max="14091" width="4.5703125" style="1620" customWidth="1"/>
    <col min="14092" max="14092" width="3.140625" style="1620" customWidth="1"/>
    <col min="14093" max="14095" width="1.5703125" style="1620" customWidth="1"/>
    <col min="14096" max="14096" width="4.85546875" style="1620" customWidth="1"/>
    <col min="14097" max="14098" width="1.5703125" style="1620" customWidth="1"/>
    <col min="14099" max="14337" width="9.140625" style="1620"/>
    <col min="14338" max="14338" width="17.85546875" style="1620" customWidth="1"/>
    <col min="14339" max="14339" width="1.140625" style="1620" customWidth="1"/>
    <col min="14340" max="14340" width="30.140625" style="1620" customWidth="1"/>
    <col min="14341" max="14341" width="1.5703125" style="1620" customWidth="1"/>
    <col min="14342" max="14342" width="21.140625" style="1620" customWidth="1"/>
    <col min="14343" max="14343" width="1.5703125" style="1620" customWidth="1"/>
    <col min="14344" max="14344" width="22.140625" style="1620" customWidth="1"/>
    <col min="14345" max="14345" width="5.85546875" style="1620" customWidth="1"/>
    <col min="14346" max="14346" width="27.42578125" style="1620" customWidth="1"/>
    <col min="14347" max="14347" width="4.5703125" style="1620" customWidth="1"/>
    <col min="14348" max="14348" width="3.140625" style="1620" customWidth="1"/>
    <col min="14349" max="14351" width="1.5703125" style="1620" customWidth="1"/>
    <col min="14352" max="14352" width="4.85546875" style="1620" customWidth="1"/>
    <col min="14353" max="14354" width="1.5703125" style="1620" customWidth="1"/>
    <col min="14355" max="14593" width="9.140625" style="1620"/>
    <col min="14594" max="14594" width="17.85546875" style="1620" customWidth="1"/>
    <col min="14595" max="14595" width="1.140625" style="1620" customWidth="1"/>
    <col min="14596" max="14596" width="30.140625" style="1620" customWidth="1"/>
    <col min="14597" max="14597" width="1.5703125" style="1620" customWidth="1"/>
    <col min="14598" max="14598" width="21.140625" style="1620" customWidth="1"/>
    <col min="14599" max="14599" width="1.5703125" style="1620" customWidth="1"/>
    <col min="14600" max="14600" width="22.140625" style="1620" customWidth="1"/>
    <col min="14601" max="14601" width="5.85546875" style="1620" customWidth="1"/>
    <col min="14602" max="14602" width="27.42578125" style="1620" customWidth="1"/>
    <col min="14603" max="14603" width="4.5703125" style="1620" customWidth="1"/>
    <col min="14604" max="14604" width="3.140625" style="1620" customWidth="1"/>
    <col min="14605" max="14607" width="1.5703125" style="1620" customWidth="1"/>
    <col min="14608" max="14608" width="4.85546875" style="1620" customWidth="1"/>
    <col min="14609" max="14610" width="1.5703125" style="1620" customWidth="1"/>
    <col min="14611" max="14849" width="9.140625" style="1620"/>
    <col min="14850" max="14850" width="17.85546875" style="1620" customWidth="1"/>
    <col min="14851" max="14851" width="1.140625" style="1620" customWidth="1"/>
    <col min="14852" max="14852" width="30.140625" style="1620" customWidth="1"/>
    <col min="14853" max="14853" width="1.5703125" style="1620" customWidth="1"/>
    <col min="14854" max="14854" width="21.140625" style="1620" customWidth="1"/>
    <col min="14855" max="14855" width="1.5703125" style="1620" customWidth="1"/>
    <col min="14856" max="14856" width="22.140625" style="1620" customWidth="1"/>
    <col min="14857" max="14857" width="5.85546875" style="1620" customWidth="1"/>
    <col min="14858" max="14858" width="27.42578125" style="1620" customWidth="1"/>
    <col min="14859" max="14859" width="4.5703125" style="1620" customWidth="1"/>
    <col min="14860" max="14860" width="3.140625" style="1620" customWidth="1"/>
    <col min="14861" max="14863" width="1.5703125" style="1620" customWidth="1"/>
    <col min="14864" max="14864" width="4.85546875" style="1620" customWidth="1"/>
    <col min="14865" max="14866" width="1.5703125" style="1620" customWidth="1"/>
    <col min="14867" max="15105" width="9.140625" style="1620"/>
    <col min="15106" max="15106" width="17.85546875" style="1620" customWidth="1"/>
    <col min="15107" max="15107" width="1.140625" style="1620" customWidth="1"/>
    <col min="15108" max="15108" width="30.140625" style="1620" customWidth="1"/>
    <col min="15109" max="15109" width="1.5703125" style="1620" customWidth="1"/>
    <col min="15110" max="15110" width="21.140625" style="1620" customWidth="1"/>
    <col min="15111" max="15111" width="1.5703125" style="1620" customWidth="1"/>
    <col min="15112" max="15112" width="22.140625" style="1620" customWidth="1"/>
    <col min="15113" max="15113" width="5.85546875" style="1620" customWidth="1"/>
    <col min="15114" max="15114" width="27.42578125" style="1620" customWidth="1"/>
    <col min="15115" max="15115" width="4.5703125" style="1620" customWidth="1"/>
    <col min="15116" max="15116" width="3.140625" style="1620" customWidth="1"/>
    <col min="15117" max="15119" width="1.5703125" style="1620" customWidth="1"/>
    <col min="15120" max="15120" width="4.85546875" style="1620" customWidth="1"/>
    <col min="15121" max="15122" width="1.5703125" style="1620" customWidth="1"/>
    <col min="15123" max="15361" width="9.140625" style="1620"/>
    <col min="15362" max="15362" width="17.85546875" style="1620" customWidth="1"/>
    <col min="15363" max="15363" width="1.140625" style="1620" customWidth="1"/>
    <col min="15364" max="15364" width="30.140625" style="1620" customWidth="1"/>
    <col min="15365" max="15365" width="1.5703125" style="1620" customWidth="1"/>
    <col min="15366" max="15366" width="21.140625" style="1620" customWidth="1"/>
    <col min="15367" max="15367" width="1.5703125" style="1620" customWidth="1"/>
    <col min="15368" max="15368" width="22.140625" style="1620" customWidth="1"/>
    <col min="15369" max="15369" width="5.85546875" style="1620" customWidth="1"/>
    <col min="15370" max="15370" width="27.42578125" style="1620" customWidth="1"/>
    <col min="15371" max="15371" width="4.5703125" style="1620" customWidth="1"/>
    <col min="15372" max="15372" width="3.140625" style="1620" customWidth="1"/>
    <col min="15373" max="15375" width="1.5703125" style="1620" customWidth="1"/>
    <col min="15376" max="15376" width="4.85546875" style="1620" customWidth="1"/>
    <col min="15377" max="15378" width="1.5703125" style="1620" customWidth="1"/>
    <col min="15379" max="15617" width="9.140625" style="1620"/>
    <col min="15618" max="15618" width="17.85546875" style="1620" customWidth="1"/>
    <col min="15619" max="15619" width="1.140625" style="1620" customWidth="1"/>
    <col min="15620" max="15620" width="30.140625" style="1620" customWidth="1"/>
    <col min="15621" max="15621" width="1.5703125" style="1620" customWidth="1"/>
    <col min="15622" max="15622" width="21.140625" style="1620" customWidth="1"/>
    <col min="15623" max="15623" width="1.5703125" style="1620" customWidth="1"/>
    <col min="15624" max="15624" width="22.140625" style="1620" customWidth="1"/>
    <col min="15625" max="15625" width="5.85546875" style="1620" customWidth="1"/>
    <col min="15626" max="15626" width="27.42578125" style="1620" customWidth="1"/>
    <col min="15627" max="15627" width="4.5703125" style="1620" customWidth="1"/>
    <col min="15628" max="15628" width="3.140625" style="1620" customWidth="1"/>
    <col min="15629" max="15631" width="1.5703125" style="1620" customWidth="1"/>
    <col min="15632" max="15632" width="4.85546875" style="1620" customWidth="1"/>
    <col min="15633" max="15634" width="1.5703125" style="1620" customWidth="1"/>
    <col min="15635" max="15873" width="9.140625" style="1620"/>
    <col min="15874" max="15874" width="17.85546875" style="1620" customWidth="1"/>
    <col min="15875" max="15875" width="1.140625" style="1620" customWidth="1"/>
    <col min="15876" max="15876" width="30.140625" style="1620" customWidth="1"/>
    <col min="15877" max="15877" width="1.5703125" style="1620" customWidth="1"/>
    <col min="15878" max="15878" width="21.140625" style="1620" customWidth="1"/>
    <col min="15879" max="15879" width="1.5703125" style="1620" customWidth="1"/>
    <col min="15880" max="15880" width="22.140625" style="1620" customWidth="1"/>
    <col min="15881" max="15881" width="5.85546875" style="1620" customWidth="1"/>
    <col min="15882" max="15882" width="27.42578125" style="1620" customWidth="1"/>
    <col min="15883" max="15883" width="4.5703125" style="1620" customWidth="1"/>
    <col min="15884" max="15884" width="3.140625" style="1620" customWidth="1"/>
    <col min="15885" max="15887" width="1.5703125" style="1620" customWidth="1"/>
    <col min="15888" max="15888" width="4.85546875" style="1620" customWidth="1"/>
    <col min="15889" max="15890" width="1.5703125" style="1620" customWidth="1"/>
    <col min="15891" max="16129" width="9.140625" style="1620"/>
    <col min="16130" max="16130" width="17.85546875" style="1620" customWidth="1"/>
    <col min="16131" max="16131" width="1.140625" style="1620" customWidth="1"/>
    <col min="16132" max="16132" width="30.140625" style="1620" customWidth="1"/>
    <col min="16133" max="16133" width="1.5703125" style="1620" customWidth="1"/>
    <col min="16134" max="16134" width="21.140625" style="1620" customWidth="1"/>
    <col min="16135" max="16135" width="1.5703125" style="1620" customWidth="1"/>
    <col min="16136" max="16136" width="22.140625" style="1620" customWidth="1"/>
    <col min="16137" max="16137" width="5.85546875" style="1620" customWidth="1"/>
    <col min="16138" max="16138" width="27.42578125" style="1620" customWidth="1"/>
    <col min="16139" max="16139" width="4.5703125" style="1620" customWidth="1"/>
    <col min="16140" max="16140" width="3.140625" style="1620" customWidth="1"/>
    <col min="16141" max="16143" width="1.5703125" style="1620" customWidth="1"/>
    <col min="16144" max="16144" width="4.85546875" style="1620" customWidth="1"/>
    <col min="16145" max="16146" width="1.5703125" style="1620" customWidth="1"/>
    <col min="16147" max="16384" width="9.140625" style="1620"/>
  </cols>
  <sheetData>
    <row r="1" spans="1:12" s="1621" customFormat="1" ht="25.15" customHeight="1" x14ac:dyDescent="0.25">
      <c r="A1" s="2642" t="str">
        <f>+Index!$A$1</f>
        <v xml:space="preserve">                                                               Office of the State Controller                                                                </v>
      </c>
      <c r="B1" s="2643"/>
      <c r="C1" s="2643"/>
      <c r="D1" s="2643"/>
      <c r="E1" s="2643"/>
      <c r="F1" s="2643"/>
      <c r="G1" s="2643"/>
      <c r="H1" s="2643"/>
      <c r="I1" s="2643"/>
      <c r="J1" s="2643"/>
      <c r="K1" s="2643"/>
      <c r="L1" s="1645" t="str">
        <f>IF(Index!$B$53="na","NA","")</f>
        <v/>
      </c>
    </row>
    <row r="2" spans="1:12" s="1621" customFormat="1" ht="15.75" x14ac:dyDescent="0.25">
      <c r="A2" s="2644" t="str">
        <f>+Index!$A$2</f>
        <v>2023 ACFR Worksheets</v>
      </c>
      <c r="B2" s="2645"/>
      <c r="C2" s="2645"/>
      <c r="D2" s="2645"/>
      <c r="E2" s="2645"/>
      <c r="F2" s="2645"/>
      <c r="G2" s="2645"/>
      <c r="H2" s="2645"/>
      <c r="I2" s="2645"/>
      <c r="J2" s="2645"/>
      <c r="K2" s="2645"/>
      <c r="L2" s="1645"/>
    </row>
    <row r="3" spans="1:12" s="1621" customFormat="1" ht="15.75" x14ac:dyDescent="0.25">
      <c r="A3" s="2644" t="s">
        <v>1571</v>
      </c>
      <c r="B3" s="2645"/>
      <c r="C3" s="2645"/>
      <c r="D3" s="2645"/>
      <c r="E3" s="2645"/>
      <c r="F3" s="2645"/>
      <c r="G3" s="2645"/>
      <c r="H3" s="2645"/>
      <c r="I3" s="2645"/>
      <c r="J3" s="2645"/>
      <c r="K3" s="2645"/>
      <c r="L3" s="1645"/>
    </row>
    <row r="4" spans="1:12" s="1580" customFormat="1" ht="15" x14ac:dyDescent="0.25">
      <c r="F4" s="1581"/>
      <c r="H4" s="1581"/>
      <c r="I4" s="1582" t="s">
        <v>1572</v>
      </c>
    </row>
    <row r="5" spans="1:12" s="1580" customFormat="1" ht="6" customHeight="1" x14ac:dyDescent="0.2">
      <c r="D5" s="1583"/>
      <c r="E5" s="1583"/>
      <c r="G5" s="2646"/>
      <c r="H5" s="2646"/>
      <c r="I5" s="2646"/>
      <c r="J5" s="2283"/>
    </row>
    <row r="6" spans="1:12" s="1580" customFormat="1" ht="15" customHeight="1" x14ac:dyDescent="0.2">
      <c r="A6" s="2024" t="s">
        <v>317</v>
      </c>
      <c r="B6" s="1584"/>
      <c r="C6" s="2025" t="str">
        <f>Index!$E$10</f>
        <v>01</v>
      </c>
      <c r="D6" s="1583"/>
      <c r="E6" s="1583"/>
      <c r="G6" s="2023" t="s">
        <v>318</v>
      </c>
      <c r="H6" s="2284"/>
      <c r="I6" s="2647" t="str">
        <f>+Index!$E$11</f>
        <v>North Carolina General Assembly</v>
      </c>
      <c r="J6" s="2647"/>
      <c r="K6" s="2647"/>
    </row>
    <row r="7" spans="1:12" s="1580" customFormat="1" ht="15" customHeight="1" x14ac:dyDescent="0.2">
      <c r="D7" s="1583"/>
      <c r="E7" s="1583"/>
      <c r="G7" s="2023" t="s">
        <v>319</v>
      </c>
      <c r="H7" s="1585"/>
      <c r="I7" s="2647" t="str">
        <f>CONCATENATE(Index!$E$12," ",Index!$E$14)</f>
        <v xml:space="preserve"> </v>
      </c>
      <c r="J7" s="2647"/>
      <c r="K7" s="2647"/>
    </row>
    <row r="8" spans="1:12" s="1580" customFormat="1" ht="15" customHeight="1" x14ac:dyDescent="0.2">
      <c r="C8" s="1586"/>
      <c r="D8" s="1583"/>
      <c r="E8" s="1583"/>
      <c r="G8" s="2023" t="s">
        <v>71</v>
      </c>
      <c r="H8" s="1585"/>
      <c r="I8" s="2647">
        <f>+Index!$E$13</f>
        <v>0</v>
      </c>
      <c r="J8" s="2647"/>
      <c r="K8" s="2647"/>
    </row>
    <row r="9" spans="1:12" s="1580" customFormat="1" ht="13.5" thickBot="1" x14ac:dyDescent="0.25">
      <c r="A9" s="1587"/>
      <c r="B9" s="1587"/>
      <c r="C9" s="1587"/>
      <c r="D9" s="1587"/>
      <c r="E9" s="1587"/>
      <c r="F9" s="1587"/>
      <c r="G9" s="1587"/>
      <c r="H9" s="1587"/>
      <c r="I9" s="1587"/>
      <c r="J9" s="1587"/>
      <c r="K9" s="1587"/>
    </row>
    <row r="10" spans="1:12" s="1580" customFormat="1" ht="12.75" x14ac:dyDescent="0.2"/>
    <row r="11" spans="1:12" s="1580" customFormat="1" ht="12.75" x14ac:dyDescent="0.2">
      <c r="A11" s="2640" t="s">
        <v>1573</v>
      </c>
      <c r="B11" s="2640"/>
      <c r="C11" s="2640"/>
      <c r="D11" s="2640"/>
      <c r="E11" s="2640"/>
      <c r="F11" s="2640"/>
      <c r="G11" s="2640"/>
      <c r="H11" s="2640"/>
      <c r="I11" s="2640"/>
      <c r="J11" s="2641"/>
      <c r="K11" s="2641"/>
    </row>
    <row r="12" spans="1:12" s="1580" customFormat="1" ht="12.75" x14ac:dyDescent="0.2">
      <c r="A12" s="2648" t="s">
        <v>1574</v>
      </c>
      <c r="B12" s="2640"/>
      <c r="C12" s="2640"/>
      <c r="D12" s="2640"/>
      <c r="E12" s="2640"/>
      <c r="F12" s="2640"/>
      <c r="G12" s="2640"/>
      <c r="H12" s="2640"/>
      <c r="I12" s="2640"/>
      <c r="J12" s="2641"/>
      <c r="K12" s="2641"/>
    </row>
    <row r="13" spans="1:12" s="1580" customFormat="1" ht="12.75" x14ac:dyDescent="0.2">
      <c r="A13" s="2640" t="s">
        <v>1575</v>
      </c>
      <c r="B13" s="2640"/>
      <c r="C13" s="2640"/>
      <c r="D13" s="2640"/>
      <c r="E13" s="2640"/>
      <c r="F13" s="2640"/>
      <c r="G13" s="2640"/>
      <c r="H13" s="2640"/>
      <c r="I13" s="2640"/>
      <c r="J13" s="2641"/>
      <c r="K13" s="2641"/>
    </row>
    <row r="14" spans="1:12" s="1580" customFormat="1" ht="12.75" x14ac:dyDescent="0.2">
      <c r="A14" s="2640" t="s">
        <v>1576</v>
      </c>
      <c r="B14" s="2640"/>
      <c r="C14" s="2640"/>
      <c r="D14" s="2640"/>
      <c r="E14" s="2640"/>
      <c r="F14" s="2640"/>
      <c r="G14" s="2640"/>
      <c r="H14" s="2640"/>
      <c r="I14" s="2640"/>
      <c r="J14" s="2641"/>
      <c r="K14" s="2641"/>
    </row>
    <row r="15" spans="1:12" s="1580" customFormat="1" ht="12.75" x14ac:dyDescent="0.2">
      <c r="A15" s="2640" t="s">
        <v>1577</v>
      </c>
      <c r="B15" s="2640"/>
      <c r="C15" s="2640"/>
      <c r="D15" s="2640"/>
      <c r="E15" s="2640"/>
      <c r="F15" s="2640"/>
      <c r="G15" s="2640"/>
      <c r="H15" s="2640"/>
      <c r="I15" s="2640"/>
      <c r="J15" s="2641"/>
      <c r="K15" s="2641"/>
    </row>
    <row r="16" spans="1:12" s="1580" customFormat="1" ht="12.75" x14ac:dyDescent="0.2">
      <c r="A16" s="2640" t="s">
        <v>1578</v>
      </c>
      <c r="B16" s="2641"/>
      <c r="C16" s="2641"/>
      <c r="D16" s="2641"/>
      <c r="E16" s="2641"/>
      <c r="F16" s="2641"/>
      <c r="G16" s="2641"/>
      <c r="H16" s="2641"/>
      <c r="I16" s="2641"/>
      <c r="J16" s="2641"/>
      <c r="K16" s="2641"/>
    </row>
    <row r="17" spans="1:11" s="1367" customFormat="1" ht="12.75" x14ac:dyDescent="0.2">
      <c r="A17" s="2281"/>
      <c r="B17" s="2281"/>
      <c r="C17" s="2281"/>
      <c r="D17" s="2281"/>
      <c r="E17" s="2281"/>
      <c r="F17" s="2281"/>
      <c r="G17" s="2281"/>
      <c r="H17" s="2281"/>
      <c r="I17" s="2281"/>
      <c r="J17" s="2281"/>
      <c r="K17" s="2281"/>
    </row>
    <row r="18" spans="1:11" s="1367" customFormat="1" ht="15" x14ac:dyDescent="0.25">
      <c r="A18" s="2640" t="s">
        <v>1579</v>
      </c>
      <c r="B18" s="2640"/>
      <c r="C18" s="2640"/>
      <c r="D18" s="2640"/>
      <c r="E18" s="2640"/>
      <c r="F18" s="2640"/>
      <c r="G18" s="2640"/>
      <c r="H18" s="2640"/>
      <c r="I18" s="2640"/>
      <c r="J18" s="2641"/>
      <c r="K18" s="2641"/>
    </row>
    <row r="19" spans="1:11" s="1367" customFormat="1" ht="12.75" x14ac:dyDescent="0.2">
      <c r="A19" s="2280"/>
      <c r="B19" s="2280"/>
      <c r="C19" s="2280"/>
      <c r="D19" s="2280"/>
      <c r="E19" s="2280"/>
      <c r="F19" s="2280"/>
      <c r="G19" s="2280"/>
      <c r="H19" s="2280"/>
      <c r="I19" s="2280"/>
      <c r="J19" s="2281"/>
      <c r="K19" s="2281"/>
    </row>
    <row r="20" spans="1:11" s="1367" customFormat="1" ht="12.75" x14ac:dyDescent="0.2">
      <c r="A20" s="1588" t="s">
        <v>339</v>
      </c>
      <c r="B20" s="1589"/>
      <c r="C20" s="1590"/>
      <c r="D20" s="1591" t="str">
        <f>IF(AND(ISBLANK(C20),ISBLANK(C21))=TRUE,"Answer Missing"," ")</f>
        <v>Answer Missing</v>
      </c>
      <c r="E20" s="1417"/>
      <c r="F20" s="1589"/>
      <c r="G20" s="2285" t="str">
        <f>IF(ISTEXT(C20), "Section B Required", " ")</f>
        <v xml:space="preserve"> </v>
      </c>
      <c r="H20" s="2285"/>
      <c r="I20" s="2285"/>
      <c r="J20" s="2281"/>
      <c r="K20" s="2281"/>
    </row>
    <row r="21" spans="1:11" s="1367" customFormat="1" ht="12.75" x14ac:dyDescent="0.2">
      <c r="A21" s="1588" t="s">
        <v>340</v>
      </c>
      <c r="B21" s="1589"/>
      <c r="C21" s="1590"/>
      <c r="D21" s="1592"/>
      <c r="E21" s="1589"/>
      <c r="F21" s="1589"/>
      <c r="G21" s="1589"/>
      <c r="H21" s="1589"/>
      <c r="I21" s="1589"/>
      <c r="J21" s="2281"/>
      <c r="K21" s="2281"/>
    </row>
    <row r="22" spans="1:11" s="1367" customFormat="1" ht="12.75" x14ac:dyDescent="0.2">
      <c r="A22" s="1588"/>
      <c r="B22" s="1589"/>
      <c r="C22" s="1593"/>
      <c r="D22" s="1592"/>
      <c r="E22" s="1589"/>
      <c r="F22" s="1589"/>
      <c r="G22" s="1589"/>
      <c r="H22" s="1589"/>
      <c r="I22" s="1589"/>
      <c r="J22" s="2281"/>
      <c r="K22" s="2281"/>
    </row>
    <row r="23" spans="1:11" s="1367" customFormat="1" ht="15" x14ac:dyDescent="0.25">
      <c r="A23" s="2280" t="s">
        <v>1553</v>
      </c>
      <c r="B23" s="2280"/>
      <c r="C23" s="2280"/>
      <c r="D23" s="2280"/>
      <c r="E23" s="2280"/>
      <c r="F23" s="2280"/>
      <c r="G23" s="2280"/>
      <c r="H23" s="2280"/>
      <c r="I23" s="2280"/>
      <c r="J23" s="2281"/>
      <c r="K23" s="2281"/>
    </row>
    <row r="24" spans="1:11" s="1580" customFormat="1" ht="12.75" x14ac:dyDescent="0.2">
      <c r="A24" s="2640" t="s">
        <v>1580</v>
      </c>
      <c r="B24" s="2640"/>
      <c r="C24" s="2640"/>
      <c r="D24" s="2640"/>
      <c r="E24" s="2640"/>
      <c r="F24" s="2640"/>
      <c r="G24" s="2640"/>
      <c r="H24" s="2640"/>
      <c r="I24" s="2640"/>
      <c r="J24" s="2640"/>
      <c r="K24" s="2640"/>
    </row>
    <row r="25" spans="1:11" s="1580" customFormat="1" ht="12.75" x14ac:dyDescent="0.2">
      <c r="A25" s="1594" t="s">
        <v>1581</v>
      </c>
      <c r="B25" s="2280"/>
      <c r="C25" s="2280"/>
      <c r="D25" s="2280"/>
      <c r="E25" s="2280"/>
      <c r="F25" s="2280"/>
      <c r="G25" s="2280"/>
      <c r="H25" s="2280"/>
      <c r="I25" s="2280"/>
      <c r="J25" s="2280"/>
      <c r="K25" s="2280"/>
    </row>
    <row r="26" spans="1:11" s="1580" customFormat="1" ht="12.75" x14ac:dyDescent="0.2">
      <c r="A26" s="1595"/>
      <c r="B26" s="1595"/>
      <c r="C26" s="1595"/>
      <c r="D26" s="1595"/>
      <c r="E26" s="1595"/>
      <c r="F26" s="1595"/>
      <c r="G26" s="1595"/>
      <c r="H26" s="1595"/>
      <c r="I26" s="1596" t="s">
        <v>1582</v>
      </c>
      <c r="J26" s="1595"/>
      <c r="K26" s="1596" t="s">
        <v>1583</v>
      </c>
    </row>
    <row r="27" spans="1:11" s="1580" customFormat="1" ht="12.75" x14ac:dyDescent="0.2">
      <c r="A27" s="1595"/>
      <c r="B27" s="1595"/>
      <c r="C27" s="1595"/>
      <c r="D27" s="1595"/>
      <c r="E27" s="1595"/>
      <c r="F27" s="1595"/>
      <c r="G27" s="1595"/>
      <c r="H27" s="1595"/>
      <c r="I27" s="1596" t="s">
        <v>1584</v>
      </c>
      <c r="J27" s="1595"/>
      <c r="K27" s="1596" t="s">
        <v>1584</v>
      </c>
    </row>
    <row r="28" spans="1:11" s="1580" customFormat="1" ht="12.75" x14ac:dyDescent="0.2">
      <c r="A28" s="1595"/>
      <c r="B28" s="1595"/>
      <c r="C28" s="1595"/>
      <c r="D28" s="1595"/>
      <c r="E28" s="1595"/>
      <c r="F28" s="1595"/>
      <c r="G28" s="1596" t="s">
        <v>1585</v>
      </c>
      <c r="H28" s="1595"/>
      <c r="I28" s="1596" t="s">
        <v>1586</v>
      </c>
      <c r="J28" s="1595"/>
      <c r="K28" s="1596" t="s">
        <v>1586</v>
      </c>
    </row>
    <row r="29" spans="1:11" s="1622" customFormat="1" ht="15" x14ac:dyDescent="0.25">
      <c r="A29" s="1597" t="s">
        <v>1561</v>
      </c>
      <c r="B29" s="1598"/>
      <c r="C29" s="1597" t="s">
        <v>751</v>
      </c>
      <c r="D29" s="1598"/>
      <c r="E29" s="1597" t="s">
        <v>1562</v>
      </c>
      <c r="F29" s="1598"/>
      <c r="G29" s="1597" t="s">
        <v>1587</v>
      </c>
      <c r="H29" s="1598"/>
      <c r="I29" s="1599" t="s">
        <v>1565</v>
      </c>
      <c r="J29" s="1596"/>
      <c r="K29" s="1599" t="s">
        <v>1565</v>
      </c>
    </row>
    <row r="30" spans="1:11" s="1580" customFormat="1" ht="12.75" x14ac:dyDescent="0.2">
      <c r="A30" s="1600"/>
      <c r="B30" s="1601"/>
      <c r="C30" s="1602"/>
      <c r="D30" s="1603"/>
      <c r="E30" s="1604"/>
      <c r="F30" s="1605"/>
      <c r="G30" s="1604"/>
      <c r="H30" s="1606"/>
      <c r="I30" s="1607"/>
      <c r="J30" s="1608"/>
      <c r="K30" s="1607"/>
    </row>
    <row r="31" spans="1:11" s="1580" customFormat="1" ht="12.75" x14ac:dyDescent="0.2">
      <c r="A31" s="1600"/>
      <c r="B31" s="1601"/>
      <c r="C31" s="1602"/>
      <c r="D31" s="1601"/>
      <c r="E31" s="1604"/>
      <c r="F31" s="1605"/>
      <c r="G31" s="1604"/>
      <c r="H31" s="1606"/>
      <c r="I31" s="1607"/>
      <c r="J31" s="1608"/>
      <c r="K31" s="1607"/>
    </row>
    <row r="32" spans="1:11" s="1580" customFormat="1" ht="12.75" x14ac:dyDescent="0.2">
      <c r="A32" s="1600"/>
      <c r="B32" s="1601"/>
      <c r="C32" s="1602"/>
      <c r="D32" s="1603"/>
      <c r="E32" s="1604"/>
      <c r="F32" s="1605"/>
      <c r="G32" s="1604"/>
      <c r="H32" s="1606"/>
      <c r="I32" s="1607"/>
      <c r="J32" s="1608"/>
      <c r="K32" s="1607"/>
    </row>
    <row r="33" spans="1:16" s="1580" customFormat="1" ht="12.75" x14ac:dyDescent="0.2">
      <c r="A33" s="1600"/>
      <c r="B33" s="1601"/>
      <c r="C33" s="1602"/>
      <c r="D33" s="1601"/>
      <c r="E33" s="1604"/>
      <c r="F33" s="1605"/>
      <c r="G33" s="1604"/>
      <c r="H33" s="1606"/>
      <c r="I33" s="1607"/>
      <c r="J33" s="1608"/>
      <c r="K33" s="1607"/>
    </row>
    <row r="34" spans="1:16" s="1580" customFormat="1" ht="9.75" customHeight="1" x14ac:dyDescent="0.2">
      <c r="A34" s="1609"/>
      <c r="B34" s="1609"/>
      <c r="C34" s="1610"/>
      <c r="D34" s="1610"/>
      <c r="E34" s="1610"/>
      <c r="F34" s="1611"/>
      <c r="G34" s="1611"/>
      <c r="H34" s="1611"/>
      <c r="I34" s="1612"/>
      <c r="J34" s="1612"/>
      <c r="K34" s="1611"/>
      <c r="L34" s="1611"/>
      <c r="M34" s="1611"/>
      <c r="N34" s="1611"/>
      <c r="O34" s="1611"/>
      <c r="P34" s="1611"/>
    </row>
    <row r="35" spans="1:16" s="1580" customFormat="1" ht="12.75" x14ac:dyDescent="0.2">
      <c r="A35" s="2640" t="s">
        <v>1588</v>
      </c>
      <c r="B35" s="2640"/>
      <c r="C35" s="2640"/>
      <c r="D35" s="2640"/>
      <c r="E35" s="2640"/>
      <c r="F35" s="2640"/>
      <c r="G35" s="2640"/>
      <c r="H35" s="2640"/>
      <c r="I35" s="2640"/>
      <c r="J35" s="2641"/>
      <c r="K35" s="2641"/>
      <c r="L35" s="1611"/>
      <c r="M35" s="1611"/>
      <c r="N35" s="1611"/>
      <c r="O35" s="1611"/>
      <c r="P35" s="1611"/>
    </row>
    <row r="36" spans="1:16" s="1580" customFormat="1" ht="12.75" x14ac:dyDescent="0.2">
      <c r="A36" s="1594" t="s">
        <v>1589</v>
      </c>
      <c r="B36" s="2280"/>
      <c r="C36" s="2280"/>
      <c r="D36" s="2280"/>
      <c r="E36" s="2280"/>
      <c r="F36" s="2280"/>
      <c r="G36" s="2280"/>
      <c r="H36" s="2280"/>
      <c r="I36" s="2280"/>
      <c r="J36" s="2280"/>
      <c r="K36" s="1611"/>
      <c r="L36" s="1611"/>
      <c r="M36" s="1611"/>
      <c r="N36" s="1611"/>
      <c r="O36" s="1611"/>
      <c r="P36" s="1611"/>
    </row>
    <row r="37" spans="1:16" s="1580" customFormat="1" ht="12.75" x14ac:dyDescent="0.2">
      <c r="A37" s="1595"/>
      <c r="B37" s="1595"/>
      <c r="C37" s="1595"/>
      <c r="D37" s="1595"/>
      <c r="E37" s="1595"/>
      <c r="F37" s="1595"/>
      <c r="G37" s="1595"/>
      <c r="H37" s="1595"/>
      <c r="I37" s="1596" t="s">
        <v>1582</v>
      </c>
      <c r="J37" s="1595"/>
      <c r="K37" s="1596" t="s">
        <v>1583</v>
      </c>
      <c r="L37" s="1611"/>
      <c r="M37" s="1611"/>
      <c r="N37" s="1611"/>
      <c r="O37" s="1611"/>
      <c r="P37" s="1611"/>
    </row>
    <row r="38" spans="1:16" s="1580" customFormat="1" ht="12.75" x14ac:dyDescent="0.2">
      <c r="A38" s="1595"/>
      <c r="B38" s="1595"/>
      <c r="C38" s="1595"/>
      <c r="D38" s="1595"/>
      <c r="E38" s="1595"/>
      <c r="F38" s="1595"/>
      <c r="G38" s="1595"/>
      <c r="H38" s="1595"/>
      <c r="I38" s="1596" t="s">
        <v>1584</v>
      </c>
      <c r="J38" s="1595"/>
      <c r="K38" s="1596" t="s">
        <v>1584</v>
      </c>
      <c r="L38" s="1611"/>
      <c r="M38" s="1611"/>
      <c r="N38" s="1611"/>
      <c r="O38" s="1611"/>
      <c r="P38" s="1611"/>
    </row>
    <row r="39" spans="1:16" s="1580" customFormat="1" ht="12.75" x14ac:dyDescent="0.2">
      <c r="A39" s="1595"/>
      <c r="B39" s="1595"/>
      <c r="C39" s="1595"/>
      <c r="D39" s="1595"/>
      <c r="E39" s="1595"/>
      <c r="F39" s="1595"/>
      <c r="G39" s="1596" t="s">
        <v>1585</v>
      </c>
      <c r="H39" s="1595"/>
      <c r="I39" s="1596" t="s">
        <v>1586</v>
      </c>
      <c r="J39" s="1595"/>
      <c r="K39" s="1596" t="s">
        <v>1586</v>
      </c>
      <c r="L39" s="1611"/>
      <c r="M39" s="1611"/>
      <c r="N39" s="1611"/>
      <c r="O39" s="1611"/>
      <c r="P39" s="1611"/>
    </row>
    <row r="40" spans="1:16" s="1580" customFormat="1" ht="12.75" x14ac:dyDescent="0.2">
      <c r="A40" s="1597" t="s">
        <v>1561</v>
      </c>
      <c r="B40" s="1598"/>
      <c r="C40" s="1597" t="s">
        <v>751</v>
      </c>
      <c r="D40" s="1598"/>
      <c r="E40" s="1597" t="s">
        <v>1562</v>
      </c>
      <c r="F40" s="1598"/>
      <c r="G40" s="1597" t="s">
        <v>1587</v>
      </c>
      <c r="H40" s="1598"/>
      <c r="I40" s="1599" t="s">
        <v>1565</v>
      </c>
      <c r="J40" s="1596"/>
      <c r="K40" s="1599" t="s">
        <v>1565</v>
      </c>
      <c r="L40" s="1611"/>
      <c r="M40" s="1611"/>
      <c r="N40" s="1611"/>
      <c r="O40" s="1611"/>
      <c r="P40" s="1611"/>
    </row>
    <row r="41" spans="1:16" s="1580" customFormat="1" ht="12.75" x14ac:dyDescent="0.2">
      <c r="A41" s="1600"/>
      <c r="B41" s="1601"/>
      <c r="C41" s="1602"/>
      <c r="D41" s="1603"/>
      <c r="E41" s="1604"/>
      <c r="F41" s="1605"/>
      <c r="G41" s="1604"/>
      <c r="H41" s="1606"/>
      <c r="I41" s="1607"/>
      <c r="J41" s="1608"/>
      <c r="K41" s="1607"/>
      <c r="L41" s="1611"/>
      <c r="M41" s="1611"/>
      <c r="N41" s="1611"/>
      <c r="O41" s="1611"/>
      <c r="P41" s="1611"/>
    </row>
    <row r="42" spans="1:16" s="1580" customFormat="1" ht="12.75" x14ac:dyDescent="0.2">
      <c r="A42" s="1600"/>
      <c r="B42" s="1601"/>
      <c r="C42" s="1602"/>
      <c r="D42" s="1603"/>
      <c r="E42" s="1604"/>
      <c r="F42" s="1605"/>
      <c r="G42" s="1604"/>
      <c r="H42" s="1606"/>
      <c r="I42" s="1607"/>
      <c r="J42" s="1608"/>
      <c r="K42" s="1607"/>
      <c r="L42" s="1611"/>
      <c r="M42" s="1611"/>
      <c r="N42" s="1611"/>
      <c r="O42" s="1611"/>
      <c r="P42" s="1611"/>
    </row>
    <row r="43" spans="1:16" s="1580" customFormat="1" ht="12.75" x14ac:dyDescent="0.2">
      <c r="A43" s="1600"/>
      <c r="B43" s="1601"/>
      <c r="C43" s="1602"/>
      <c r="D43" s="1601"/>
      <c r="E43" s="1604"/>
      <c r="F43" s="1605"/>
      <c r="G43" s="1604"/>
      <c r="H43" s="1606"/>
      <c r="I43" s="1607"/>
      <c r="J43" s="1608"/>
      <c r="K43" s="1607"/>
      <c r="L43" s="1611"/>
      <c r="M43" s="1611"/>
      <c r="N43" s="1611"/>
      <c r="O43" s="1611"/>
      <c r="P43" s="1611"/>
    </row>
    <row r="44" spans="1:16" s="1580" customFormat="1" ht="12.75" x14ac:dyDescent="0.2">
      <c r="A44" s="1600"/>
      <c r="B44" s="1601"/>
      <c r="C44" s="1602"/>
      <c r="D44" s="1601"/>
      <c r="E44" s="1604"/>
      <c r="F44" s="1605"/>
      <c r="G44" s="1604"/>
      <c r="H44" s="1606"/>
      <c r="I44" s="1607"/>
      <c r="J44" s="1608"/>
      <c r="K44" s="1607"/>
      <c r="L44" s="1611"/>
      <c r="M44" s="1611"/>
      <c r="N44" s="1611"/>
      <c r="O44" s="1611"/>
      <c r="P44" s="1611"/>
    </row>
    <row r="45" spans="1:16" s="1580" customFormat="1" ht="12.75" x14ac:dyDescent="0.2">
      <c r="A45" s="1600"/>
      <c r="B45" s="1601"/>
      <c r="C45" s="1602"/>
      <c r="D45" s="1603"/>
      <c r="E45" s="1604"/>
      <c r="F45" s="1605"/>
      <c r="G45" s="1604"/>
      <c r="H45" s="1606"/>
      <c r="I45" s="1607"/>
      <c r="J45" s="1612"/>
      <c r="K45" s="1607"/>
      <c r="L45" s="1611"/>
      <c r="M45" s="1611"/>
      <c r="N45" s="1611"/>
      <c r="O45" s="1611"/>
      <c r="P45" s="1611"/>
    </row>
    <row r="46" spans="1:16" s="1580" customFormat="1" ht="12.75" x14ac:dyDescent="0.2">
      <c r="A46" s="1600"/>
      <c r="B46" s="1601"/>
      <c r="C46" s="1602"/>
      <c r="D46" s="1603"/>
      <c r="E46" s="1604"/>
      <c r="F46" s="1605"/>
      <c r="G46" s="1604"/>
      <c r="H46" s="1606"/>
      <c r="I46" s="1607"/>
      <c r="J46" s="2281"/>
      <c r="K46" s="1607"/>
      <c r="L46" s="1611"/>
      <c r="M46" s="1611"/>
      <c r="N46" s="1611"/>
      <c r="O46" s="1611"/>
      <c r="P46" s="1611"/>
    </row>
    <row r="47" spans="1:16" s="1580" customFormat="1" ht="12.75" x14ac:dyDescent="0.2">
      <c r="A47" s="1600"/>
      <c r="B47" s="1601"/>
      <c r="C47" s="1602"/>
      <c r="D47" s="1601"/>
      <c r="E47" s="1604"/>
      <c r="F47" s="1605"/>
      <c r="G47" s="1604"/>
      <c r="H47" s="1606"/>
      <c r="I47" s="1607"/>
      <c r="J47" s="2281"/>
      <c r="K47" s="1607"/>
      <c r="L47" s="1611"/>
      <c r="M47" s="1611"/>
      <c r="N47" s="1611"/>
      <c r="O47" s="1611"/>
      <c r="P47" s="1611"/>
    </row>
    <row r="48" spans="1:16" s="1580" customFormat="1" ht="12.75" x14ac:dyDescent="0.2">
      <c r="A48" s="1600"/>
      <c r="B48" s="1601"/>
      <c r="C48" s="1602"/>
      <c r="D48" s="1601"/>
      <c r="E48" s="1604"/>
      <c r="F48" s="1605"/>
      <c r="G48" s="1604"/>
      <c r="H48" s="1606"/>
      <c r="I48" s="1607"/>
      <c r="J48" s="1595"/>
      <c r="K48" s="1607"/>
      <c r="L48" s="1611"/>
      <c r="M48" s="1611"/>
      <c r="N48" s="1611"/>
      <c r="O48" s="1611"/>
      <c r="P48" s="1611"/>
    </row>
    <row r="49" spans="1:11" ht="12.75" x14ac:dyDescent="0.2">
      <c r="A49" s="1600"/>
      <c r="B49" s="1601"/>
      <c r="C49" s="1602"/>
      <c r="D49" s="1603"/>
      <c r="E49" s="1604"/>
      <c r="F49" s="1605"/>
      <c r="G49" s="1604"/>
      <c r="H49" s="1606"/>
      <c r="I49" s="1607"/>
      <c r="J49" s="1595"/>
      <c r="K49" s="1607"/>
    </row>
    <row r="50" spans="1:11" ht="12.75" x14ac:dyDescent="0.2">
      <c r="A50" s="1600"/>
      <c r="B50" s="1601"/>
      <c r="C50" s="1602"/>
      <c r="D50" s="1603"/>
      <c r="E50" s="1604"/>
      <c r="F50" s="1605"/>
      <c r="G50" s="1604"/>
      <c r="H50" s="1606"/>
      <c r="I50" s="1607"/>
      <c r="J50" s="1595"/>
      <c r="K50" s="1607"/>
    </row>
    <row r="51" spans="1:11" ht="12.75" x14ac:dyDescent="0.2">
      <c r="A51" s="1600"/>
      <c r="B51" s="1601"/>
      <c r="C51" s="1602"/>
      <c r="D51" s="1601"/>
      <c r="E51" s="1604"/>
      <c r="F51" s="1605"/>
      <c r="G51" s="1604"/>
      <c r="H51" s="1606"/>
      <c r="I51" s="1607"/>
      <c r="J51" s="1596"/>
      <c r="K51" s="1607"/>
    </row>
    <row r="52" spans="1:11" ht="12.75" x14ac:dyDescent="0.2">
      <c r="A52" s="1600"/>
      <c r="B52" s="1601"/>
      <c r="C52" s="1602"/>
      <c r="D52" s="1601"/>
      <c r="E52" s="1604"/>
      <c r="F52" s="1605"/>
      <c r="G52" s="1604"/>
      <c r="H52" s="1606"/>
      <c r="I52" s="1607"/>
      <c r="J52" s="1608"/>
      <c r="K52" s="1607"/>
    </row>
    <row r="53" spans="1:11" ht="12.75" x14ac:dyDescent="0.2">
      <c r="A53" s="1613"/>
      <c r="B53" s="1601"/>
      <c r="C53" s="1605"/>
      <c r="D53" s="1601"/>
      <c r="E53" s="1614"/>
      <c r="F53" s="1605"/>
      <c r="G53" s="1614"/>
      <c r="H53" s="1606"/>
      <c r="I53" s="1608"/>
      <c r="J53" s="1608"/>
      <c r="K53" s="1608"/>
    </row>
    <row r="54" spans="1:11" ht="12.75" x14ac:dyDescent="0.2">
      <c r="A54" s="1613"/>
      <c r="B54" s="1601"/>
      <c r="C54" s="1605"/>
      <c r="D54" s="1601"/>
      <c r="E54" s="1614"/>
      <c r="F54" s="1605"/>
      <c r="G54" s="1614"/>
      <c r="H54" s="1606"/>
      <c r="I54" s="1608"/>
      <c r="J54" s="1608"/>
      <c r="K54" s="1608"/>
    </row>
    <row r="55" spans="1:11" ht="12.75" x14ac:dyDescent="0.2">
      <c r="A55" s="1613"/>
      <c r="B55" s="1601"/>
      <c r="C55" s="1605"/>
      <c r="D55" s="1601"/>
      <c r="E55" s="1614"/>
      <c r="F55" s="1605"/>
      <c r="G55" s="1614"/>
      <c r="H55" s="1606"/>
      <c r="I55" s="1608"/>
      <c r="J55" s="1608"/>
      <c r="K55" s="1608"/>
    </row>
    <row r="56" spans="1:11" ht="12.75" x14ac:dyDescent="0.2">
      <c r="A56" s="1615"/>
      <c r="B56" s="1616"/>
      <c r="C56" s="1616"/>
      <c r="D56" s="1580"/>
      <c r="E56" s="1617"/>
      <c r="F56" s="1618"/>
      <c r="G56" s="2649"/>
      <c r="H56" s="2649"/>
      <c r="I56" s="2649"/>
      <c r="J56" s="2286"/>
      <c r="K56" s="1580"/>
    </row>
    <row r="57" spans="1:11" ht="12.75" x14ac:dyDescent="0.2">
      <c r="A57" s="1615"/>
      <c r="B57" s="1616"/>
      <c r="C57" s="1616"/>
      <c r="D57" s="1619"/>
      <c r="E57" s="1617"/>
      <c r="F57" s="1618"/>
      <c r="G57" s="1618"/>
      <c r="H57" s="1618"/>
      <c r="I57" s="1618"/>
      <c r="J57" s="2286"/>
    </row>
    <row r="58" spans="1:11" ht="12.75" x14ac:dyDescent="0.2">
      <c r="A58" s="1615"/>
      <c r="B58" s="1616"/>
      <c r="C58" s="1616"/>
      <c r="D58" s="1616"/>
      <c r="E58" s="1617"/>
      <c r="F58" s="1618"/>
      <c r="G58" s="1618"/>
      <c r="H58" s="1618"/>
      <c r="I58" s="1618"/>
      <c r="J58" s="2286"/>
    </row>
    <row r="59" spans="1:11" ht="12.75" x14ac:dyDescent="0.2">
      <c r="A59" s="1615"/>
      <c r="B59" s="1616"/>
      <c r="C59" s="1616"/>
      <c r="D59" s="1616"/>
      <c r="E59" s="1617"/>
      <c r="F59" s="1618"/>
      <c r="G59" s="1618"/>
      <c r="H59" s="1618"/>
      <c r="I59" s="1618"/>
      <c r="J59" s="2286"/>
    </row>
    <row r="60" spans="1:11" ht="12.75" x14ac:dyDescent="0.2">
      <c r="A60" s="1615"/>
      <c r="B60" s="1616"/>
      <c r="C60" s="1616"/>
      <c r="D60" s="1616"/>
      <c r="E60" s="1617"/>
      <c r="F60" s="1618"/>
      <c r="G60" s="1618"/>
      <c r="H60" s="1618"/>
      <c r="I60" s="1618"/>
      <c r="J60" s="2286"/>
    </row>
  </sheetData>
  <sheetProtection algorithmName="SHA-512" hashValue="NGuZ+d5xCgE4PXTbDIA8pfq5+ak8i1+ptAlycfzRBD11Gk/SUn9aQKuyCSO+OSbfItMLndWrHdJvNCuDsdVl7Q==" saltValue="mlp9CyVZyusO9cNMGns6Dw==" spinCount="100000" sheet="1" objects="1" scenarios="1" autoFilter="0"/>
  <mergeCells count="17">
    <mergeCell ref="A15:K15"/>
    <mergeCell ref="A16:K16"/>
    <mergeCell ref="A18:K18"/>
    <mergeCell ref="A35:K35"/>
    <mergeCell ref="G56:I56"/>
    <mergeCell ref="A24:K24"/>
    <mergeCell ref="A14:K14"/>
    <mergeCell ref="A1:K1"/>
    <mergeCell ref="A2:K2"/>
    <mergeCell ref="A3:K3"/>
    <mergeCell ref="G5:I5"/>
    <mergeCell ref="I6:K6"/>
    <mergeCell ref="I7:K7"/>
    <mergeCell ref="I8:K8"/>
    <mergeCell ref="A11:K11"/>
    <mergeCell ref="A12:K12"/>
    <mergeCell ref="A13:K13"/>
  </mergeCells>
  <conditionalFormatting sqref="D20">
    <cfRule type="containsText" dxfId="102" priority="3" stopIfTrue="1" operator="containsText" text="Answer Missing">
      <formula>NOT(ISERROR(SEARCH("Answer Missing",D20)))</formula>
    </cfRule>
  </conditionalFormatting>
  <conditionalFormatting sqref="G20">
    <cfRule type="containsText" dxfId="101" priority="2" stopIfTrue="1" operator="containsText" text="Answer Missing">
      <formula>NOT(ISERROR(SEARCH("Answer Missing",G20)))</formula>
    </cfRule>
  </conditionalFormatting>
  <conditionalFormatting sqref="L1:L3">
    <cfRule type="cellIs" dxfId="100" priority="1" stopIfTrue="1" operator="equal">
      <formula>"na"</formula>
    </cfRule>
  </conditionalFormatting>
  <hyperlinks>
    <hyperlink ref="A1:K1" location="Index!A1" display="Index!A1" xr:uid="{EB726115-7F79-4F5B-83CB-2EEF820B02FF}"/>
  </hyperlinks>
  <pageMargins left="0.6" right="0.6" top="0.5" bottom="0.5" header="0.3" footer="0.3"/>
  <pageSetup scale="79" orientation="landscape" r:id="rId1"/>
  <rowBreaks count="1" manualBreakCount="1">
    <brk id="5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pageSetUpPr fitToPage="1"/>
  </sheetPr>
  <dimension ref="A1:M50"/>
  <sheetViews>
    <sheetView zoomScaleNormal="100" workbookViewId="0">
      <selection activeCell="A2" sqref="A2:H2"/>
    </sheetView>
  </sheetViews>
  <sheetFormatPr defaultColWidth="9.42578125" defaultRowHeight="15" x14ac:dyDescent="0.25"/>
  <cols>
    <col min="1" max="1" width="12.5703125" style="488" customWidth="1"/>
    <col min="2" max="2" width="8.5703125" style="488" customWidth="1"/>
    <col min="3" max="3" width="12.42578125" style="488" customWidth="1"/>
    <col min="4" max="8" width="15.5703125" style="488" customWidth="1"/>
    <col min="9" max="9" width="1.42578125" style="488" customWidth="1"/>
    <col min="10" max="10" width="4" style="488" customWidth="1"/>
    <col min="11" max="11" width="62.42578125" style="488" customWidth="1"/>
    <col min="12" max="13" width="9.42578125" style="1495"/>
    <col min="14" max="16384" width="9.42578125" style="488"/>
  </cols>
  <sheetData>
    <row r="1" spans="1:9" ht="18" customHeight="1" x14ac:dyDescent="0.25">
      <c r="A1" s="2455" t="str">
        <f>Index!A1</f>
        <v xml:space="preserve">                                                               Office of the State Controller                                                                </v>
      </c>
      <c r="B1" s="2455"/>
      <c r="C1" s="2455"/>
      <c r="D1" s="2455"/>
      <c r="E1" s="2455"/>
      <c r="F1" s="2455"/>
      <c r="G1" s="2455"/>
      <c r="H1" s="2455"/>
      <c r="I1" s="881"/>
    </row>
    <row r="2" spans="1:9" ht="18" customHeight="1" x14ac:dyDescent="0.25">
      <c r="A2" s="2681" t="str">
        <f>Index!A2</f>
        <v>2023 ACFR Worksheets</v>
      </c>
      <c r="B2" s="2681"/>
      <c r="C2" s="2681"/>
      <c r="D2" s="2681"/>
      <c r="E2" s="2681"/>
      <c r="F2" s="2681"/>
      <c r="G2" s="2681"/>
      <c r="H2" s="2681"/>
    </row>
    <row r="3" spans="1:9" ht="18" customHeight="1" x14ac:dyDescent="0.25">
      <c r="A3" s="2681" t="s">
        <v>1590</v>
      </c>
      <c r="B3" s="2681"/>
      <c r="C3" s="2681"/>
      <c r="D3" s="2681"/>
      <c r="E3" s="2681"/>
      <c r="F3" s="2681"/>
      <c r="G3" s="2681"/>
      <c r="H3" s="2681"/>
    </row>
    <row r="4" spans="1:9" ht="18" customHeight="1" x14ac:dyDescent="0.25">
      <c r="A4" s="2681" t="s">
        <v>1591</v>
      </c>
      <c r="B4" s="2681"/>
      <c r="C4" s="2681"/>
      <c r="D4" s="2681"/>
      <c r="E4" s="2681"/>
      <c r="F4" s="2681"/>
      <c r="G4" s="2681"/>
      <c r="H4" s="2681"/>
    </row>
    <row r="5" spans="1:9" ht="18" customHeight="1" x14ac:dyDescent="0.25">
      <c r="A5" s="1112"/>
      <c r="B5" s="1112"/>
      <c r="C5" s="1112"/>
      <c r="D5" s="1112"/>
      <c r="E5" s="1112"/>
      <c r="F5" s="561" t="s">
        <v>1592</v>
      </c>
      <c r="G5" s="1112"/>
      <c r="H5" s="2215" t="str">
        <f>IF(Index!$B$54="na","NA","")</f>
        <v/>
      </c>
    </row>
    <row r="6" spans="1:9" ht="18" customHeight="1" x14ac:dyDescent="0.25">
      <c r="A6" s="1112"/>
      <c r="B6" s="1112"/>
      <c r="C6" s="1827"/>
      <c r="D6" s="1112"/>
      <c r="E6" s="1111" t="s">
        <v>317</v>
      </c>
      <c r="F6" s="2454" t="str">
        <f>+Index!$E$10</f>
        <v>01</v>
      </c>
      <c r="G6" s="2454"/>
      <c r="H6" s="2454"/>
      <c r="I6" s="2454"/>
    </row>
    <row r="7" spans="1:9" ht="18" customHeight="1" x14ac:dyDescent="0.25">
      <c r="A7" s="1112"/>
      <c r="B7" s="1112"/>
      <c r="C7" s="1112"/>
      <c r="D7" s="1112"/>
      <c r="E7" s="1111" t="s">
        <v>318</v>
      </c>
      <c r="F7" s="2451" t="str">
        <f>+Index!$E$11</f>
        <v>North Carolina General Assembly</v>
      </c>
      <c r="G7" s="2451"/>
      <c r="H7" s="2451"/>
      <c r="I7" s="2451"/>
    </row>
    <row r="8" spans="1:9" ht="18" customHeight="1" x14ac:dyDescent="0.25">
      <c r="A8" s="1112" t="s">
        <v>568</v>
      </c>
      <c r="B8" s="1112"/>
      <c r="C8" s="1828" t="s">
        <v>1593</v>
      </c>
      <c r="D8" s="1112"/>
      <c r="E8" s="1111" t="s">
        <v>319</v>
      </c>
      <c r="F8" s="2451" t="str">
        <f>CONCATENATE(Index!$E$12," ",Index!$E$14)</f>
        <v xml:space="preserve"> </v>
      </c>
      <c r="G8" s="2451"/>
      <c r="H8" s="2451"/>
      <c r="I8" s="2451"/>
    </row>
    <row r="9" spans="1:9" ht="18" customHeight="1" x14ac:dyDescent="0.25">
      <c r="A9" s="1112"/>
      <c r="B9" s="1112"/>
      <c r="C9" s="1827"/>
      <c r="D9" s="1112"/>
      <c r="E9" s="1111" t="s">
        <v>71</v>
      </c>
      <c r="F9" s="2451">
        <f>+Index!$E$13</f>
        <v>0</v>
      </c>
      <c r="G9" s="2451"/>
      <c r="H9" s="2451"/>
      <c r="I9" s="2451"/>
    </row>
    <row r="10" spans="1:9" ht="14.1" customHeight="1" thickBot="1" x14ac:dyDescent="0.3">
      <c r="A10" s="1829"/>
      <c r="B10" s="1829"/>
      <c r="C10" s="1829"/>
      <c r="D10" s="1829"/>
      <c r="E10" s="1829"/>
      <c r="F10" s="1829"/>
      <c r="G10" s="1829"/>
      <c r="H10" s="1829"/>
    </row>
    <row r="11" spans="1:9" x14ac:dyDescent="0.25">
      <c r="A11" s="1112"/>
      <c r="B11" s="1112"/>
      <c r="C11" s="1112"/>
      <c r="D11" s="1112"/>
      <c r="E11" s="1112"/>
      <c r="F11" s="1112"/>
      <c r="G11" s="1112"/>
      <c r="H11" s="1112"/>
    </row>
    <row r="12" spans="1:9" x14ac:dyDescent="0.25">
      <c r="A12" s="1112" t="s">
        <v>1515</v>
      </c>
      <c r="B12" s="1112"/>
      <c r="C12" s="1112"/>
      <c r="D12" s="1425" t="s">
        <v>1594</v>
      </c>
      <c r="E12" s="1112"/>
      <c r="G12" s="1112"/>
      <c r="H12" s="1112"/>
    </row>
    <row r="13" spans="1:9" ht="17.100000000000001" customHeight="1" x14ac:dyDescent="0.25">
      <c r="A13" s="1112"/>
      <c r="B13" s="1112"/>
      <c r="C13" s="1112"/>
      <c r="D13" s="1112"/>
      <c r="E13" s="1112"/>
      <c r="F13" s="1112"/>
      <c r="G13" s="1112"/>
      <c r="H13" s="1112"/>
    </row>
    <row r="14" spans="1:9" ht="30" customHeight="1" x14ac:dyDescent="0.25">
      <c r="A14" s="2673" t="s">
        <v>1595</v>
      </c>
      <c r="B14" s="2674"/>
      <c r="C14" s="2675"/>
      <c r="D14" s="2675"/>
      <c r="E14" s="2675"/>
      <c r="F14" s="2675"/>
      <c r="G14" s="2675"/>
      <c r="H14" s="2676"/>
    </row>
    <row r="15" spans="1:9" ht="17.100000000000001" customHeight="1" x14ac:dyDescent="0.25">
      <c r="A15" s="1830"/>
      <c r="B15" s="1830"/>
      <c r="C15" s="562"/>
      <c r="D15" s="562"/>
      <c r="E15" s="562"/>
      <c r="F15" s="562"/>
      <c r="G15" s="562"/>
      <c r="H15" s="562"/>
    </row>
    <row r="16" spans="1:9" x14ac:dyDescent="0.25">
      <c r="A16" s="2680"/>
      <c r="B16" s="2680"/>
      <c r="C16" s="2680"/>
      <c r="D16" s="563" t="s">
        <v>1596</v>
      </c>
      <c r="E16" s="563" t="s">
        <v>1596</v>
      </c>
      <c r="F16" s="563" t="s">
        <v>1596</v>
      </c>
      <c r="G16" s="563" t="s">
        <v>1596</v>
      </c>
      <c r="H16" s="563" t="s">
        <v>1596</v>
      </c>
    </row>
    <row r="17" spans="1:13" x14ac:dyDescent="0.25">
      <c r="A17" s="2677" t="s">
        <v>1597</v>
      </c>
      <c r="B17" s="2677"/>
      <c r="C17" s="2677"/>
      <c r="D17" s="724"/>
      <c r="E17" s="724"/>
      <c r="F17" s="724"/>
      <c r="G17" s="724"/>
      <c r="H17" s="724"/>
    </row>
    <row r="18" spans="1:13" ht="17.100000000000001" customHeight="1" x14ac:dyDescent="0.25">
      <c r="A18" s="489" t="s">
        <v>1598</v>
      </c>
      <c r="B18" s="2288"/>
      <c r="C18" s="2292"/>
      <c r="D18" s="2678"/>
      <c r="E18" s="2678"/>
      <c r="F18" s="2678"/>
      <c r="G18" s="2678"/>
      <c r="H18" s="2678"/>
    </row>
    <row r="19" spans="1:13" ht="17.100000000000001" customHeight="1" x14ac:dyDescent="0.25">
      <c r="A19" s="2288" t="s">
        <v>1599</v>
      </c>
      <c r="B19" s="2288"/>
      <c r="C19" s="2292"/>
      <c r="D19" s="2679"/>
      <c r="E19" s="2679"/>
      <c r="F19" s="2679"/>
      <c r="G19" s="2679"/>
      <c r="H19" s="2679"/>
    </row>
    <row r="20" spans="1:13" ht="31.35" customHeight="1" x14ac:dyDescent="0.25">
      <c r="A20" s="2665" t="s">
        <v>1600</v>
      </c>
      <c r="B20" s="2665"/>
      <c r="C20" s="2665"/>
      <c r="D20" s="1831"/>
      <c r="E20" s="1831"/>
      <c r="F20" s="1831"/>
      <c r="G20" s="1831"/>
      <c r="H20" s="1831"/>
      <c r="J20" s="2666" t="s">
        <v>1601</v>
      </c>
      <c r="K20" s="2666"/>
      <c r="L20" s="1495" t="s">
        <v>1602</v>
      </c>
      <c r="M20" s="1495" t="s">
        <v>673</v>
      </c>
    </row>
    <row r="21" spans="1:13" ht="17.100000000000001" customHeight="1" x14ac:dyDescent="0.25">
      <c r="A21" s="2671" t="s">
        <v>1603</v>
      </c>
      <c r="B21" s="2383"/>
      <c r="C21" s="2672"/>
      <c r="D21" s="1831"/>
      <c r="E21" s="1831"/>
      <c r="F21" s="1831"/>
      <c r="G21" s="1831"/>
      <c r="H21" s="1831"/>
      <c r="J21" s="765" t="s">
        <v>1604</v>
      </c>
      <c r="K21" s="739"/>
      <c r="L21" s="1495" t="s">
        <v>1605</v>
      </c>
      <c r="M21" s="1495" t="s">
        <v>673</v>
      </c>
    </row>
    <row r="22" spans="1:13" ht="17.100000000000001" customHeight="1" x14ac:dyDescent="0.25">
      <c r="A22" s="2665" t="s">
        <v>1606</v>
      </c>
      <c r="B22" s="2665"/>
      <c r="C22" s="2658"/>
      <c r="D22" s="1831"/>
      <c r="E22" s="1831"/>
      <c r="F22" s="1831"/>
      <c r="G22" s="1831"/>
      <c r="H22" s="1831"/>
      <c r="I22" s="565"/>
      <c r="J22" s="2667" t="s">
        <v>1607</v>
      </c>
      <c r="K22" s="2668"/>
      <c r="L22" s="1495" t="s">
        <v>1608</v>
      </c>
      <c r="M22" s="1495" t="s">
        <v>673</v>
      </c>
    </row>
    <row r="23" spans="1:13" ht="17.100000000000001" customHeight="1" x14ac:dyDescent="0.25">
      <c r="A23" s="2662" t="s">
        <v>1609</v>
      </c>
      <c r="B23" s="2663"/>
      <c r="C23" s="2664"/>
      <c r="D23" s="1831"/>
      <c r="E23" s="1831"/>
      <c r="F23" s="1831"/>
      <c r="G23" s="1831"/>
      <c r="H23" s="1831"/>
      <c r="I23" s="565"/>
      <c r="J23" s="2669"/>
      <c r="K23" s="2669"/>
      <c r="L23" s="1495" t="s">
        <v>1610</v>
      </c>
      <c r="M23" s="1495" t="s">
        <v>673</v>
      </c>
    </row>
    <row r="24" spans="1:13" ht="17.100000000000001" customHeight="1" x14ac:dyDescent="0.25">
      <c r="A24" s="2665" t="s">
        <v>1611</v>
      </c>
      <c r="B24" s="2663"/>
      <c r="C24" s="2664"/>
      <c r="D24" s="1831"/>
      <c r="E24" s="1831"/>
      <c r="F24" s="1831"/>
      <c r="G24" s="1831"/>
      <c r="H24" s="1831"/>
      <c r="I24" s="565"/>
      <c r="J24" s="2669"/>
      <c r="K24" s="2669"/>
      <c r="L24" s="1495" t="s">
        <v>1612</v>
      </c>
      <c r="M24" s="1495" t="s">
        <v>673</v>
      </c>
    </row>
    <row r="25" spans="1:13" ht="15.75" customHeight="1" x14ac:dyDescent="0.25">
      <c r="A25" s="2288" t="s">
        <v>1613</v>
      </c>
      <c r="B25" s="2292"/>
      <c r="C25" s="2292"/>
      <c r="D25" s="1832"/>
      <c r="E25" s="1832"/>
      <c r="F25" s="1832"/>
      <c r="G25" s="1832"/>
      <c r="H25" s="1832"/>
      <c r="J25" s="2670"/>
      <c r="K25" s="2670"/>
    </row>
    <row r="26" spans="1:13" ht="17.100000000000001" customHeight="1" x14ac:dyDescent="0.25">
      <c r="A26" s="2651" t="s">
        <v>1614</v>
      </c>
      <c r="B26" s="2651"/>
      <c r="C26" s="2651"/>
      <c r="D26" s="1831"/>
      <c r="E26" s="1831"/>
      <c r="F26" s="1831"/>
      <c r="G26" s="1831"/>
      <c r="H26" s="1831"/>
      <c r="J26" s="565"/>
      <c r="L26" s="1495" t="s">
        <v>1615</v>
      </c>
      <c r="M26" s="1495" t="str">
        <f>IF(A26="General Government","Gen Gov",
IF(A26="Primary and secondary education","Prim Sec Ed",
IF(A26="Higher Education","Higher Ed",
IF(A26="Higher education student aid","Higher Ed stu aid",
IF(A26="Health and human services","HHS",
IF(A26="Economic development","Econ Dev",
IF(A26="Environment and natural resources","ENR",
IF(A26="Public safety, corrections, and regulation","Public Safety",
IF(A26="Transportation","Trans",
IF(A26="Highway construction/preservation","Highway Const",
IF(A26="Highway maintenance","Highway Const",
IF(A26="Debt Service","Debt Serv",
IF(A26="Agriculture","Agric",
IF(A26="Capital projects/repairs and renovations","CapProjectsReno",
IF(A26="Disaster relief (OSC only)","Relief",
IF(A26="Subsequent year's budget (OSC only)","SubsYearBudget",
"No Function"))))))))))))))))</f>
        <v>No Function</v>
      </c>
    </row>
    <row r="27" spans="1:13" ht="17.100000000000001" customHeight="1" x14ac:dyDescent="0.25">
      <c r="A27" s="2651" t="s">
        <v>1614</v>
      </c>
      <c r="B27" s="2651"/>
      <c r="C27" s="2651"/>
      <c r="D27" s="1831">
        <v>0</v>
      </c>
      <c r="E27" s="1831"/>
      <c r="F27" s="1831"/>
      <c r="G27" s="1831"/>
      <c r="H27" s="1831"/>
      <c r="L27" s="1495" t="s">
        <v>1615</v>
      </c>
      <c r="M27" s="1495" t="str">
        <f t="shared" ref="M27:M28" si="0">IF(A27="General Government","Gen Gov",
IF(A27="Primary and secondary education","Prim Sec Ed",
IF(A27="Higher Education","Higher Ed",
IF(A27="Higher education student aid","Higher Ed stu aid",
IF(A27="Health and human services","HHS",
IF(A27="Economic development","Econ Dev",
IF(A27="Environment and natural resources","ENR",
IF(A27="Public safety, corrections, and regulation","Public Safety",
IF(A27="Transportation","Trans",
IF(A27="Highway construction/preservation","Highway Const",
IF(A27="Highway maintenance","Highway Const",
IF(A27="Debt Service","Debt Serv",
IF(A27="Agriculture","Agric",
IF(A27="Capital projects/repairs and renovations","CapProjectsReno",
IF(A27="Disaster relief (OSC only)","Relief",
IF(A27="Subsequent year's budget (OSC only)","SubsYearBudget",
"No Function"))))))))))))))))</f>
        <v>No Function</v>
      </c>
    </row>
    <row r="28" spans="1:13" ht="17.100000000000001" customHeight="1" x14ac:dyDescent="0.25">
      <c r="A28" s="2651" t="s">
        <v>1614</v>
      </c>
      <c r="B28" s="2651"/>
      <c r="C28" s="2651"/>
      <c r="D28" s="1831"/>
      <c r="E28" s="1831"/>
      <c r="F28" s="1831"/>
      <c r="G28" s="1831"/>
      <c r="H28" s="1831"/>
      <c r="L28" s="1495" t="s">
        <v>1615</v>
      </c>
      <c r="M28" s="1495" t="str">
        <f t="shared" si="0"/>
        <v>No Function</v>
      </c>
    </row>
    <row r="29" spans="1:13" ht="17.100000000000001" customHeight="1" x14ac:dyDescent="0.25">
      <c r="A29" s="2288" t="s">
        <v>1616</v>
      </c>
      <c r="B29" s="2287"/>
      <c r="C29" s="2287"/>
      <c r="D29" s="1832"/>
      <c r="E29" s="1832"/>
      <c r="F29" s="1832"/>
      <c r="G29" s="1832"/>
      <c r="H29" s="1832"/>
    </row>
    <row r="30" spans="1:13" ht="17.100000000000001" customHeight="1" x14ac:dyDescent="0.25">
      <c r="A30" s="2651" t="s">
        <v>1614</v>
      </c>
      <c r="B30" s="2651"/>
      <c r="C30" s="2651"/>
      <c r="D30" s="1831"/>
      <c r="E30" s="1831"/>
      <c r="F30" s="1831"/>
      <c r="G30" s="1831"/>
      <c r="H30" s="1831"/>
      <c r="L30" s="1495" t="s">
        <v>1617</v>
      </c>
      <c r="M30" s="1495" t="str">
        <f>IF(A30="General Government","Gen Gov",
IF(A30="Primary and secondary education","Prim Sec Ed",
IF(A30="Higher Education","Higher Ed",
IF(A30="Higher education student aid","Higher Ed stu aid",
IF(A30="Health and human services","HHS",
IF(A30="Economic development","Econ Dev",
IF(A30="Environment and natural resources","ENR",
IF(A30="Public safety, corrections, and regulation","Public Safety",
IF(A30="Public school capital projects/repairs &amp; renovations","Public school capital proj repair and reno",
IF(A30="Transportation","Trans",
IF(A30="Highway construction/preservation","Highway Const",
IF(A30="Highway maintenance","Highway Const",
IF(A30="Debt Service","Debt Serv",
IF(A30="Agriculture","Agric",
IF(A30="Capital projects/repairs and renovations","CapProjectsReno",
IF(A30="Disaster relief (OSC only)","Relief",
IF(A30="Subsequent year's budget (OSC only)","SubsYearBudget",
"No Function")))))))))))))))))</f>
        <v>No Function</v>
      </c>
    </row>
    <row r="31" spans="1:13" ht="17.100000000000001" customHeight="1" x14ac:dyDescent="0.25">
      <c r="A31" s="2651" t="s">
        <v>1614</v>
      </c>
      <c r="B31" s="2651"/>
      <c r="C31" s="2651"/>
      <c r="D31" s="1831"/>
      <c r="E31" s="1831"/>
      <c r="F31" s="1831"/>
      <c r="G31" s="1831"/>
      <c r="H31" s="1831"/>
      <c r="L31" s="1495" t="s">
        <v>1617</v>
      </c>
      <c r="M31" s="1495" t="str">
        <f>IF(A31="General Government","Gen Gov",
IF(A31="Primary and secondary education","Prim Sec Ed",
IF(A31="Higher Education","Higher Ed",
IF(A31="Higher education student aid","Higher Ed stu aid",
IF(A31="Health and human services","HHS",
IF(A31="Economic development","Econ Dev",
IF(A31="Environment and natural resources","ENR",
IF(A31="Public safety, corrections, and regulation","Public Safety",
IF(A31="Public school capital projects/repairs &amp; renovations","Public school capital proj repair and reno",
IF(A31="Transportation","Trans",
IF(A31="Highway construction/preservation","Highway Const",
IF(A31="Highway maintenance","Highway Const",
IF(A31="Debt Service","Debt Serv",
IF(A31="Agriculture","Agric",
IF(A31="Capital projects/repairs and renovations","CapProjectsReno",
IF(A31="Disaster relief (OSC only)","Relief",
IF(A31="Subsequent year's budget (OSC only)","SubsYearBudget",
"No Function")))))))))))))))))</f>
        <v>No Function</v>
      </c>
    </row>
    <row r="32" spans="1:13" ht="17.100000000000001" customHeight="1" x14ac:dyDescent="0.25">
      <c r="A32" s="2651" t="s">
        <v>1614</v>
      </c>
      <c r="B32" s="2651"/>
      <c r="C32" s="2651"/>
      <c r="D32" s="1831"/>
      <c r="E32" s="1831"/>
      <c r="F32" s="1831"/>
      <c r="G32" s="1831"/>
      <c r="H32" s="1831"/>
      <c r="L32" s="1495" t="s">
        <v>1617</v>
      </c>
      <c r="M32" s="1495" t="str">
        <f t="shared" ref="M32:M34" si="1">IF(A32="General Government","Gen Gov",
IF(A32="Primary and secondary education","Prim Sec Ed",
IF(A32="Higher Education","Higher Ed",
IF(A32="Higher education student aid","Higher Ed stu aid",
IF(A32="Health and human services","HHS",
IF(A32="Economic development","Econ Dev",
IF(A32="Environment and natural resources","ENR",
IF(A32="Public safety, corrections, and regulation","Public Safety",
IF(A32="Public school capital projects/repairs &amp; renovations","Public school capital proj repair and reno",
IF(A32="Transportation","Trans",
IF(A32="Highway construction/preservation","Highway Const",
IF(A32="Highway maintenance","Highway Const",
IF(A32="Debt Service","Debt Serv",
IF(A32="Agriculture","Agric",
IF(A32="Capital projects/repairs and renovations","CapProjectsReno",
IF(A32="Disaster relief (OSC only)","Relief",
IF(A32="Subsequent year's budget (OSC only)","SubsYearBudget",
"No Function")))))))))))))))))</f>
        <v>No Function</v>
      </c>
    </row>
    <row r="33" spans="1:13" ht="17.100000000000001" customHeight="1" x14ac:dyDescent="0.25">
      <c r="A33" s="2660" t="s">
        <v>1614</v>
      </c>
      <c r="B33" s="2660"/>
      <c r="C33" s="2661"/>
      <c r="D33" s="1831"/>
      <c r="E33" s="1831"/>
      <c r="F33" s="1831"/>
      <c r="G33" s="1831"/>
      <c r="H33" s="1831"/>
      <c r="L33" s="1495" t="s">
        <v>1617</v>
      </c>
      <c r="M33" s="1495" t="str">
        <f t="shared" si="1"/>
        <v>No Function</v>
      </c>
    </row>
    <row r="34" spans="1:13" ht="17.100000000000001" customHeight="1" x14ac:dyDescent="0.25">
      <c r="A34" s="2651" t="s">
        <v>1614</v>
      </c>
      <c r="B34" s="2651"/>
      <c r="C34" s="2651"/>
      <c r="D34" s="1831"/>
      <c r="E34" s="1831"/>
      <c r="F34" s="1831"/>
      <c r="G34" s="1831"/>
      <c r="H34" s="1831"/>
      <c r="L34" s="1495" t="s">
        <v>1617</v>
      </c>
      <c r="M34" s="1495" t="str">
        <f t="shared" si="1"/>
        <v>No Function</v>
      </c>
    </row>
    <row r="35" spans="1:13" ht="17.100000000000001" customHeight="1" x14ac:dyDescent="0.25">
      <c r="A35" s="2288" t="s">
        <v>1618</v>
      </c>
      <c r="B35" s="2287"/>
      <c r="C35" s="2287"/>
      <c r="D35" s="1832"/>
      <c r="E35" s="1832"/>
      <c r="F35" s="1832"/>
      <c r="G35" s="1832"/>
      <c r="H35" s="1832"/>
    </row>
    <row r="36" spans="1:13" ht="17.100000000000001" customHeight="1" x14ac:dyDescent="0.25">
      <c r="A36" s="2651" t="s">
        <v>1614</v>
      </c>
      <c r="B36" s="2651"/>
      <c r="C36" s="2651"/>
      <c r="D36" s="1831"/>
      <c r="E36" s="1831"/>
      <c r="F36" s="1831"/>
      <c r="G36" s="1831"/>
      <c r="H36" s="1831"/>
      <c r="L36" s="1495" t="s">
        <v>1619</v>
      </c>
      <c r="M36" s="1495" t="str">
        <f t="shared" ref="M36:M37" si="2">IF(A36="General Government","Gen Gov",
IF(A36="Primary and secondary education","Prim Sec Ed",
IF(A36="Higher Education","Higher Ed",
IF(A36="Higher education student aid","Higher Ed stu aid",
IF(A36="Health and human services","HHS",
IF(A36="Economic development","Econ Dev",
IF(A36="Environment and natural resources","ENR",
IF(A36="Public safety, corrections, and regulation","Public Safety",
IF(A36="Transportation","Trans",
IF(A36="Highway construction/preservation","Highway Const",
IF(A36="Highway maintenance","Highway Const",
IF(A36="Debt Service","Debt Serv",
IF(A36="Agriculture","Agric",
IF(A36="Capital projects/repairs and renovations","CapProjectsReno",
IF(A36="Disaster relief (OSC only)","Relief",
IF(A36="Subsequent year's budget (OSC only)","SubsYearBudget",
"No Function"))))))))))))))))</f>
        <v>No Function</v>
      </c>
    </row>
    <row r="37" spans="1:13" ht="17.100000000000001" customHeight="1" x14ac:dyDescent="0.25">
      <c r="A37" s="2651" t="s">
        <v>1614</v>
      </c>
      <c r="B37" s="2651"/>
      <c r="C37" s="2651"/>
      <c r="D37" s="1831"/>
      <c r="E37" s="1831"/>
      <c r="F37" s="1831"/>
      <c r="G37" s="1831"/>
      <c r="H37" s="1831"/>
      <c r="L37" s="1495" t="s">
        <v>1619</v>
      </c>
      <c r="M37" s="1495" t="str">
        <f t="shared" si="2"/>
        <v>No Function</v>
      </c>
    </row>
    <row r="38" spans="1:13" ht="17.100000000000001" customHeight="1" x14ac:dyDescent="0.25">
      <c r="A38" s="2652" t="s">
        <v>1620</v>
      </c>
      <c r="B38" s="2653"/>
      <c r="C38" s="2654"/>
      <c r="D38" s="1833"/>
      <c r="E38" s="1833"/>
      <c r="F38" s="1833"/>
      <c r="G38" s="1833"/>
      <c r="H38" s="1833"/>
      <c r="J38" s="2655"/>
      <c r="K38" s="2656"/>
      <c r="L38" s="1495" t="s">
        <v>1620</v>
      </c>
      <c r="M38" s="1495" t="s">
        <v>673</v>
      </c>
    </row>
    <row r="39" spans="1:13" ht="28.5" customHeight="1" thickBot="1" x14ac:dyDescent="0.3">
      <c r="A39" s="2657" t="s">
        <v>1621</v>
      </c>
      <c r="B39" s="2656"/>
      <c r="C39" s="2658"/>
      <c r="D39" s="1834">
        <f>SUM(D20:D24)+SUM(D26:D28)+SUM(D30:D34)+SUM(D36:D38)</f>
        <v>0</v>
      </c>
      <c r="E39" s="1834">
        <f>SUM(E20:E24)+SUM(E26:E28)+SUM(E30:E34)+SUM(E36:E38)</f>
        <v>0</v>
      </c>
      <c r="F39" s="1834">
        <f>SUM(F20:F24)+SUM(F26:F28)+SUM(F30:F34)+SUM(F36:F38)</f>
        <v>0</v>
      </c>
      <c r="G39" s="1834">
        <f>SUM(G20:G24)+SUM(G26:G28)+SUM(G30:G34)+SUM(G36:G38)</f>
        <v>0</v>
      </c>
      <c r="H39" s="1834">
        <f>SUM(H20:H24)+SUM(H26:H28)+SUM(H30:H34)+SUM(H36:H38)</f>
        <v>0</v>
      </c>
      <c r="J39" s="2656"/>
      <c r="K39" s="2656"/>
    </row>
    <row r="40" spans="1:13" ht="12.75" customHeight="1" thickTop="1" x14ac:dyDescent="0.25">
      <c r="A40" s="566"/>
      <c r="B40" s="566"/>
      <c r="C40" s="566"/>
      <c r="D40" s="566"/>
      <c r="E40" s="566"/>
      <c r="F40" s="566"/>
      <c r="G40" s="566"/>
      <c r="H40" s="566"/>
    </row>
    <row r="41" spans="1:13" ht="12.75" customHeight="1" x14ac:dyDescent="0.25">
      <c r="A41" s="489" t="s">
        <v>1622</v>
      </c>
      <c r="B41" s="1835" t="s">
        <v>1623</v>
      </c>
      <c r="C41" s="2292"/>
      <c r="D41" s="2288"/>
      <c r="E41" s="2288"/>
      <c r="F41" s="2288"/>
      <c r="G41" s="2288"/>
      <c r="H41" s="2288"/>
    </row>
    <row r="42" spans="1:13" ht="12.75" customHeight="1" x14ac:dyDescent="0.25">
      <c r="A42" s="489"/>
      <c r="B42" s="1835" t="s">
        <v>1624</v>
      </c>
      <c r="C42" s="2292"/>
      <c r="D42" s="2288"/>
      <c r="E42" s="2288"/>
      <c r="F42" s="2288"/>
      <c r="G42" s="2288"/>
      <c r="H42" s="2288"/>
    </row>
    <row r="43" spans="1:13" ht="12.75" customHeight="1" x14ac:dyDescent="0.25">
      <c r="A43" s="489"/>
      <c r="B43" s="1835" t="s">
        <v>1625</v>
      </c>
      <c r="C43" s="2292"/>
      <c r="D43" s="2288"/>
      <c r="E43" s="2288"/>
      <c r="F43" s="2288"/>
      <c r="G43" s="2288"/>
      <c r="H43" s="2288"/>
    </row>
    <row r="44" spans="1:13" ht="15" customHeight="1" x14ac:dyDescent="0.25">
      <c r="A44" s="489" t="s">
        <v>1626</v>
      </c>
      <c r="B44" s="1835" t="s">
        <v>1627</v>
      </c>
      <c r="C44" s="2292"/>
      <c r="D44" s="2288"/>
      <c r="E44" s="2288"/>
      <c r="F44" s="2288"/>
      <c r="G44" s="2288"/>
      <c r="H44" s="2288"/>
    </row>
    <row r="45" spans="1:13" ht="12.75" customHeight="1" x14ac:dyDescent="0.25">
      <c r="A45" s="489"/>
      <c r="B45" s="2292"/>
      <c r="C45" s="2292"/>
      <c r="D45" s="2288"/>
      <c r="E45" s="2288"/>
      <c r="F45" s="2288"/>
      <c r="G45" s="2288"/>
      <c r="H45" s="2288"/>
    </row>
    <row r="46" spans="1:13" x14ac:dyDescent="0.25">
      <c r="D46" s="2659" t="s">
        <v>1628</v>
      </c>
      <c r="E46" s="2659"/>
      <c r="F46" s="2659"/>
      <c r="G46" s="2659"/>
      <c r="H46" s="2659"/>
    </row>
    <row r="47" spans="1:13" ht="17.100000000000001" customHeight="1" x14ac:dyDescent="0.25">
      <c r="A47" s="2288" t="s">
        <v>1615</v>
      </c>
      <c r="B47" s="2288"/>
      <c r="C47" s="2288"/>
      <c r="D47" s="861">
        <f>D26+D27+D28+D21</f>
        <v>0</v>
      </c>
      <c r="E47" s="861">
        <f>E26+E27+E28+E21</f>
        <v>0</v>
      </c>
      <c r="F47" s="861">
        <f>F26+F27+F28+F21</f>
        <v>0</v>
      </c>
      <c r="G47" s="861">
        <f>G26+G27+G28+G21</f>
        <v>0</v>
      </c>
      <c r="H47" s="861">
        <f>H26+H27+H28+H21</f>
        <v>0</v>
      </c>
    </row>
    <row r="48" spans="1:13" ht="17.100000000000001" customHeight="1" x14ac:dyDescent="0.25">
      <c r="A48" s="2288" t="s">
        <v>1629</v>
      </c>
      <c r="B48" s="2288"/>
      <c r="C48" s="2288"/>
      <c r="D48" s="861">
        <f>D20+SUM(D22:D24)+SUM(D30:D34)+SUM(D36:D38)</f>
        <v>0</v>
      </c>
      <c r="E48" s="861">
        <f>E20+SUM(E22:E24)+SUM(E30:E34)+SUM(E36:E38)</f>
        <v>0</v>
      </c>
      <c r="F48" s="861">
        <f>F20+SUM(F22:F24)+SUM(F30:F34)+SUM(F36:F38)</f>
        <v>0</v>
      </c>
      <c r="G48" s="861">
        <f>G20+SUM(G22:G24)+SUM(G30:G34)+SUM(G36:G38)</f>
        <v>0</v>
      </c>
      <c r="H48" s="861">
        <f>H20+SUM(H22:H24)+SUM(H30:H34)+SUM(H36:H38)</f>
        <v>0</v>
      </c>
    </row>
    <row r="49" spans="1:8" ht="17.100000000000001" customHeight="1" thickBot="1" x14ac:dyDescent="0.3">
      <c r="A49" s="2288" t="s">
        <v>1630</v>
      </c>
      <c r="B49" s="2288"/>
      <c r="C49" s="2288"/>
      <c r="D49" s="1836">
        <f>SUM(D47:D48)</f>
        <v>0</v>
      </c>
      <c r="E49" s="1836">
        <f>SUM(E47:E48)</f>
        <v>0</v>
      </c>
      <c r="F49" s="1836">
        <f>SUM(F47:F48)</f>
        <v>0</v>
      </c>
      <c r="G49" s="1836">
        <f>SUM(G47:G48)</f>
        <v>0</v>
      </c>
      <c r="H49" s="1836">
        <f>SUM(H47:H48)</f>
        <v>0</v>
      </c>
    </row>
    <row r="50" spans="1:8" ht="17.100000000000001" customHeight="1" thickTop="1" x14ac:dyDescent="0.25">
      <c r="A50" s="2650" t="s">
        <v>1631</v>
      </c>
      <c r="B50" s="2650"/>
      <c r="C50" s="2650"/>
      <c r="D50" s="567"/>
      <c r="E50" s="1837"/>
      <c r="F50" s="1837"/>
      <c r="G50" s="1837"/>
      <c r="H50" s="1837"/>
    </row>
  </sheetData>
  <sheetProtection algorithmName="SHA-512" hashValue="9YRjc7/dDS9CXQiNfW7pcNybkB4tmG/zlUvUUoKSt2cJic6Kp8mfPjrGADGIlm0IBSVwxYKBqUctQj1BQDymmw==" saltValue="76Lq3wbMDroNOPnXmLy05A==" spinCount="100000" sheet="1" objects="1" scenarios="1" autoFilter="0"/>
  <customSheetViews>
    <customSheetView guid="{9FCFC836-1CA5-48BF-958D-24D2EA94B219}" fitToPage="1">
      <selection activeCell="A17" sqref="A17:C17"/>
      <pageMargins left="0" right="0" top="0" bottom="0" header="0" footer="0"/>
      <pageSetup scale="83" orientation="portrait" r:id="rId1"/>
      <headerFooter alignWithMargins="0">
        <oddFooter>&amp;R&amp;A</oddFooter>
      </headerFooter>
    </customSheetView>
    <customSheetView guid="{B08879A4-635B-4C39-9937-AC7883D562FC}" fitToPage="1">
      <selection activeCell="A17" sqref="A17:C17"/>
      <pageMargins left="0" right="0" top="0" bottom="0" header="0" footer="0"/>
      <pageSetup scale="83" orientation="portrait" r:id="rId2"/>
      <headerFooter alignWithMargins="0">
        <oddFooter>&amp;R&amp;A</oddFooter>
      </headerFooter>
    </customSheetView>
  </customSheetViews>
  <mergeCells count="38">
    <mergeCell ref="F7:I7"/>
    <mergeCell ref="F8:I8"/>
    <mergeCell ref="F9:I9"/>
    <mergeCell ref="A1:H1"/>
    <mergeCell ref="A2:H2"/>
    <mergeCell ref="A3:H3"/>
    <mergeCell ref="A4:H4"/>
    <mergeCell ref="F6:I6"/>
    <mergeCell ref="A14:H14"/>
    <mergeCell ref="A17:C17"/>
    <mergeCell ref="D18:D19"/>
    <mergeCell ref="A16:C16"/>
    <mergeCell ref="A20:C20"/>
    <mergeCell ref="E18:E19"/>
    <mergeCell ref="F18:F19"/>
    <mergeCell ref="G18:G19"/>
    <mergeCell ref="H18:H19"/>
    <mergeCell ref="A23:C23"/>
    <mergeCell ref="A24:C24"/>
    <mergeCell ref="A26:C26"/>
    <mergeCell ref="J20:K20"/>
    <mergeCell ref="J22:K25"/>
    <mergeCell ref="A21:C21"/>
    <mergeCell ref="A22:C22"/>
    <mergeCell ref="A27:C27"/>
    <mergeCell ref="A28:C28"/>
    <mergeCell ref="A30:C30"/>
    <mergeCell ref="A32:C32"/>
    <mergeCell ref="A34:C34"/>
    <mergeCell ref="A31:C31"/>
    <mergeCell ref="A33:C33"/>
    <mergeCell ref="A50:C50"/>
    <mergeCell ref="A36:C36"/>
    <mergeCell ref="A37:C37"/>
    <mergeCell ref="A38:C38"/>
    <mergeCell ref="J38:K39"/>
    <mergeCell ref="A39:C39"/>
    <mergeCell ref="D46:H46"/>
  </mergeCells>
  <conditionalFormatting sqref="H5">
    <cfRule type="cellIs" dxfId="99" priority="1" stopIfTrue="1" operator="equal">
      <formula>"na"</formula>
    </cfRule>
  </conditionalFormatting>
  <conditionalFormatting sqref="I1">
    <cfRule type="cellIs" dxfId="98" priority="2" stopIfTrue="1" operator="equal">
      <formula>"na"</formula>
    </cfRule>
  </conditionalFormatting>
  <dataValidations count="5">
    <dataValidation type="decimal" operator="greaterThanOrEqual" allowBlank="1" showInputMessage="1" showErrorMessage="1" errorTitle="Invalid Data" error="Amount cannot be negative" sqref="D26:H28 D20:H24 D30:H34 D36:H37" xr:uid="{00000000-0002-0000-1C00-000000000000}">
      <formula1>0</formula1>
    </dataValidation>
    <dataValidation type="list" allowBlank="1" showInputMessage="1" showErrorMessage="1" sqref="A26:A28 B35:C35 B26:C29" xr:uid="{00000000-0002-0000-1C00-000001000000}">
      <formula1>function</formula1>
    </dataValidation>
    <dataValidation type="textLength" operator="equal" allowBlank="1" showInputMessage="1" showErrorMessage="1" errorTitle="Invalid data!" error="GASB number must be 4 digits." sqref="D17:H17" xr:uid="{00000000-0002-0000-1C00-000002000000}">
      <formula1>4</formula1>
    </dataValidation>
    <dataValidation type="list" allowBlank="1" showInputMessage="1" showErrorMessage="1" sqref="A30:A34 B30:C32 B34:C34" xr:uid="{00000000-0002-0000-1C00-000003000000}">
      <formula1>functionC</formula1>
    </dataValidation>
    <dataValidation type="list" allowBlank="1" showInputMessage="1" showErrorMessage="1" sqref="A36:C37" xr:uid="{00000000-0002-0000-1C00-000004000000}">
      <formula1>functionA</formula1>
    </dataValidation>
  </dataValidations>
  <hyperlinks>
    <hyperlink ref="A1:H1" location="Index!A1" display="Index!A1" xr:uid="{00000000-0004-0000-1C00-000000000000}"/>
    <hyperlink ref="D12" r:id="rId3" display="https://www.osc.nc.gov/1015-statewide-accounting-policy-fund-balance-reporting" xr:uid="{25D6A107-8A30-410F-BA63-98B35CCEBF2C}"/>
  </hyperlinks>
  <pageMargins left="0.6" right="0.6" top="0.5" bottom="0.5" header="0.3" footer="0.3"/>
  <pageSetup scale="84" fitToHeight="0" orientation="portrait"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9">
    <pageSetUpPr fitToPage="1"/>
  </sheetPr>
  <dimension ref="A1:M47"/>
  <sheetViews>
    <sheetView zoomScaleNormal="100" workbookViewId="0">
      <selection activeCell="A2" sqref="A2:H2"/>
    </sheetView>
  </sheetViews>
  <sheetFormatPr defaultColWidth="9.42578125" defaultRowHeight="15" x14ac:dyDescent="0.25"/>
  <cols>
    <col min="1" max="1" width="12.5703125" style="488" customWidth="1"/>
    <col min="2" max="2" width="8.5703125" style="488" customWidth="1"/>
    <col min="3" max="3" width="12.42578125" style="488" customWidth="1"/>
    <col min="4" max="8" width="15.5703125" style="488" customWidth="1"/>
    <col min="9" max="9" width="1.42578125" style="488" customWidth="1"/>
    <col min="10" max="10" width="4" style="488" customWidth="1"/>
    <col min="11" max="11" width="52.5703125" style="488" customWidth="1"/>
    <col min="12" max="12" width="15.7109375" style="488" customWidth="1"/>
    <col min="13" max="13" width="21" style="488" customWidth="1"/>
    <col min="14" max="16384" width="9.42578125" style="488"/>
  </cols>
  <sheetData>
    <row r="1" spans="1:9" ht="18" customHeight="1" x14ac:dyDescent="0.25">
      <c r="A1" s="2455" t="str">
        <f>Index!A1</f>
        <v xml:space="preserve">                                                               Office of the State Controller                                                                </v>
      </c>
      <c r="B1" s="2455"/>
      <c r="C1" s="2455"/>
      <c r="D1" s="2455"/>
      <c r="E1" s="2455"/>
      <c r="F1" s="2455"/>
      <c r="G1" s="2455"/>
      <c r="H1" s="2455"/>
      <c r="I1" s="2215"/>
    </row>
    <row r="2" spans="1:9" ht="18" customHeight="1" x14ac:dyDescent="0.25">
      <c r="A2" s="2681" t="str">
        <f>Index!A2</f>
        <v>2023 ACFR Worksheets</v>
      </c>
      <c r="B2" s="2681"/>
      <c r="C2" s="2681"/>
      <c r="D2" s="2681"/>
      <c r="E2" s="2681"/>
      <c r="F2" s="2681"/>
      <c r="G2" s="2681"/>
      <c r="H2" s="2681"/>
    </row>
    <row r="3" spans="1:9" ht="18" customHeight="1" x14ac:dyDescent="0.25">
      <c r="A3" s="2681" t="s">
        <v>1590</v>
      </c>
      <c r="B3" s="2681"/>
      <c r="C3" s="2681"/>
      <c r="D3" s="2681"/>
      <c r="E3" s="2681"/>
      <c r="F3" s="2681"/>
      <c r="G3" s="2681"/>
      <c r="H3" s="2681"/>
    </row>
    <row r="4" spans="1:9" ht="18" customHeight="1" x14ac:dyDescent="0.25">
      <c r="A4" s="2681" t="s">
        <v>1632</v>
      </c>
      <c r="B4" s="2681"/>
      <c r="C4" s="2681"/>
      <c r="D4" s="2681"/>
      <c r="E4" s="2681"/>
      <c r="F4" s="2681"/>
      <c r="G4" s="2681"/>
      <c r="H4" s="2681"/>
      <c r="I4" s="2294"/>
    </row>
    <row r="5" spans="1:9" ht="18" customHeight="1" x14ac:dyDescent="0.25">
      <c r="A5" s="1112"/>
      <c r="B5" s="1112"/>
      <c r="C5" s="1112"/>
      <c r="D5" s="1112"/>
      <c r="E5" s="1112"/>
      <c r="F5" s="561" t="s">
        <v>1592</v>
      </c>
      <c r="G5" s="1112"/>
      <c r="H5" s="886" t="str">
        <f>IF(Index!$B$55="na","NA","")</f>
        <v/>
      </c>
      <c r="I5" s="1112"/>
    </row>
    <row r="6" spans="1:9" ht="18" customHeight="1" x14ac:dyDescent="0.25">
      <c r="A6" s="1112"/>
      <c r="B6" s="1112"/>
      <c r="C6" s="1827"/>
      <c r="D6" s="1112"/>
      <c r="E6" s="1111" t="s">
        <v>317</v>
      </c>
      <c r="F6" s="2454" t="str">
        <f>+Index!$E$10</f>
        <v>01</v>
      </c>
      <c r="G6" s="2454"/>
      <c r="H6" s="2454"/>
      <c r="I6" s="2454"/>
    </row>
    <row r="7" spans="1:9" ht="18" customHeight="1" x14ac:dyDescent="0.25">
      <c r="A7" s="1112"/>
      <c r="B7" s="1112"/>
      <c r="C7" s="1112"/>
      <c r="D7" s="1112"/>
      <c r="E7" s="1111" t="s">
        <v>318</v>
      </c>
      <c r="F7" s="2451" t="str">
        <f>+Index!$E$11</f>
        <v>North Carolina General Assembly</v>
      </c>
      <c r="G7" s="2451"/>
      <c r="H7" s="2451"/>
      <c r="I7" s="2451"/>
    </row>
    <row r="8" spans="1:9" ht="18" customHeight="1" x14ac:dyDescent="0.25">
      <c r="A8" s="1112" t="s">
        <v>568</v>
      </c>
      <c r="B8" s="1112"/>
      <c r="C8" s="1828" t="s">
        <v>1633</v>
      </c>
      <c r="D8" s="1112"/>
      <c r="E8" s="1111" t="s">
        <v>319</v>
      </c>
      <c r="F8" s="2448" t="str">
        <f>CONCATENATE(Index!$E$12," ",Index!$E$14)</f>
        <v xml:space="preserve"> </v>
      </c>
      <c r="G8" s="2448"/>
      <c r="H8" s="2448"/>
      <c r="I8" s="2448"/>
    </row>
    <row r="9" spans="1:9" ht="18" customHeight="1" x14ac:dyDescent="0.25">
      <c r="A9" s="1112"/>
      <c r="B9" s="1112"/>
      <c r="C9" s="1827"/>
      <c r="D9" s="1112"/>
      <c r="E9" s="1111" t="s">
        <v>71</v>
      </c>
      <c r="F9" s="2448">
        <f>+Index!$E$13</f>
        <v>0</v>
      </c>
      <c r="G9" s="2448"/>
      <c r="H9" s="2448"/>
      <c r="I9" s="2448"/>
    </row>
    <row r="10" spans="1:9" ht="14.1" customHeight="1" thickBot="1" x14ac:dyDescent="0.3">
      <c r="A10" s="1829"/>
      <c r="B10" s="1829"/>
      <c r="C10" s="1829"/>
      <c r="D10" s="1829"/>
      <c r="E10" s="1829"/>
      <c r="F10" s="1829"/>
      <c r="G10" s="1829"/>
      <c r="H10" s="1829"/>
      <c r="I10" s="1112"/>
    </row>
    <row r="11" spans="1:9" x14ac:dyDescent="0.25">
      <c r="A11" s="1112"/>
      <c r="B11" s="1112"/>
      <c r="C11" s="1112"/>
      <c r="D11" s="1112"/>
      <c r="E11" s="1112"/>
      <c r="F11" s="1112"/>
      <c r="G11" s="1112"/>
      <c r="H11" s="1112"/>
      <c r="I11" s="1112"/>
    </row>
    <row r="12" spans="1:9" x14ac:dyDescent="0.25">
      <c r="B12" s="1112"/>
      <c r="C12" s="1111" t="s">
        <v>1515</v>
      </c>
      <c r="D12" s="692" t="s">
        <v>1634</v>
      </c>
      <c r="E12" s="1112"/>
      <c r="G12" s="1112"/>
      <c r="H12" s="1112"/>
      <c r="I12" s="1112"/>
    </row>
    <row r="13" spans="1:9" ht="17.100000000000001" customHeight="1" x14ac:dyDescent="0.25">
      <c r="A13" s="1112"/>
      <c r="B13" s="1112"/>
      <c r="C13" s="1112"/>
      <c r="D13" s="1112"/>
      <c r="E13" s="1112"/>
      <c r="F13" s="1112"/>
      <c r="G13" s="1112"/>
      <c r="H13" s="1112"/>
      <c r="I13" s="1112"/>
    </row>
    <row r="14" spans="1:9" ht="30" customHeight="1" x14ac:dyDescent="0.25">
      <c r="A14" s="2673" t="s">
        <v>1635</v>
      </c>
      <c r="B14" s="2674"/>
      <c r="C14" s="2675"/>
      <c r="D14" s="2675"/>
      <c r="E14" s="2675"/>
      <c r="F14" s="2675"/>
      <c r="G14" s="2675"/>
      <c r="H14" s="2676"/>
      <c r="I14" s="562"/>
    </row>
    <row r="15" spans="1:9" ht="17.100000000000001" customHeight="1" x14ac:dyDescent="0.25">
      <c r="A15" s="1830"/>
      <c r="B15" s="1830"/>
      <c r="C15" s="562"/>
      <c r="D15" s="562"/>
      <c r="E15" s="562"/>
      <c r="F15" s="562"/>
      <c r="G15" s="562"/>
      <c r="H15" s="562"/>
      <c r="I15" s="562"/>
    </row>
    <row r="16" spans="1:9" x14ac:dyDescent="0.25">
      <c r="A16" s="1112"/>
      <c r="B16" s="1112"/>
      <c r="C16" s="1112"/>
      <c r="D16" s="563" t="s">
        <v>1596</v>
      </c>
      <c r="E16" s="564" t="s">
        <v>1596</v>
      </c>
      <c r="F16" s="564" t="s">
        <v>1596</v>
      </c>
      <c r="G16" s="564" t="s">
        <v>1596</v>
      </c>
      <c r="H16" s="564" t="s">
        <v>1596</v>
      </c>
      <c r="I16" s="568"/>
    </row>
    <row r="17" spans="1:13" x14ac:dyDescent="0.25">
      <c r="A17" s="2677" t="s">
        <v>1597</v>
      </c>
      <c r="B17" s="2677"/>
      <c r="C17" s="2677"/>
      <c r="D17" s="724"/>
      <c r="E17" s="1838"/>
      <c r="F17" s="724"/>
      <c r="G17" s="724"/>
      <c r="H17" s="1839"/>
      <c r="I17" s="1840"/>
    </row>
    <row r="18" spans="1:13" ht="17.100000000000001" customHeight="1" x14ac:dyDescent="0.25">
      <c r="A18" s="489" t="s">
        <v>1598</v>
      </c>
      <c r="B18" s="2288"/>
      <c r="C18" s="2292"/>
      <c r="D18" s="2678"/>
      <c r="E18" s="2678"/>
      <c r="F18" s="2678"/>
      <c r="G18" s="2678"/>
      <c r="H18" s="2678"/>
      <c r="I18" s="1841"/>
    </row>
    <row r="19" spans="1:13" ht="17.100000000000001" customHeight="1" x14ac:dyDescent="0.25">
      <c r="A19" s="2288" t="s">
        <v>1599</v>
      </c>
      <c r="B19" s="2288"/>
      <c r="C19" s="2292"/>
      <c r="D19" s="2679"/>
      <c r="E19" s="2679"/>
      <c r="F19" s="2679"/>
      <c r="G19" s="2679"/>
      <c r="H19" s="2679"/>
      <c r="I19" s="1841"/>
    </row>
    <row r="20" spans="1:13" ht="28.35" customHeight="1" x14ac:dyDescent="0.25">
      <c r="A20" s="2665" t="s">
        <v>1600</v>
      </c>
      <c r="B20" s="2665"/>
      <c r="C20" s="2665"/>
      <c r="D20" s="1842"/>
      <c r="E20" s="1842"/>
      <c r="F20" s="1842"/>
      <c r="G20" s="1842"/>
      <c r="H20" s="1843"/>
      <c r="I20" s="1841"/>
      <c r="J20" s="2666" t="s">
        <v>1601</v>
      </c>
      <c r="K20" s="2666"/>
      <c r="L20" s="1495" t="s">
        <v>1602</v>
      </c>
      <c r="M20" s="1495" t="s">
        <v>673</v>
      </c>
    </row>
    <row r="21" spans="1:13" ht="17.100000000000001" customHeight="1" x14ac:dyDescent="0.25">
      <c r="A21" s="2671" t="s">
        <v>1603</v>
      </c>
      <c r="B21" s="2383"/>
      <c r="C21" s="2672"/>
      <c r="D21" s="1842"/>
      <c r="E21" s="1842"/>
      <c r="F21" s="1842"/>
      <c r="G21" s="1842"/>
      <c r="H21" s="1843"/>
      <c r="I21" s="1841"/>
      <c r="J21" s="2682" t="s">
        <v>1604</v>
      </c>
      <c r="K21" s="2586"/>
      <c r="L21" s="1495" t="s">
        <v>1605</v>
      </c>
      <c r="M21" s="1495" t="s">
        <v>673</v>
      </c>
    </row>
    <row r="22" spans="1:13" ht="17.100000000000001" customHeight="1" x14ac:dyDescent="0.25">
      <c r="A22" s="2288" t="s">
        <v>1613</v>
      </c>
      <c r="B22" s="2292"/>
      <c r="C22" s="2292"/>
      <c r="D22" s="1844"/>
      <c r="E22" s="1832"/>
      <c r="F22" s="1832"/>
      <c r="G22" s="1832"/>
      <c r="H22" s="1832"/>
      <c r="I22" s="1841"/>
      <c r="J22" s="2669"/>
      <c r="K22" s="2669"/>
      <c r="L22" s="1495"/>
      <c r="M22" s="1495"/>
    </row>
    <row r="23" spans="1:13" ht="17.100000000000001" customHeight="1" x14ac:dyDescent="0.25">
      <c r="A23" s="2651" t="s">
        <v>1636</v>
      </c>
      <c r="B23" s="2651"/>
      <c r="C23" s="2651"/>
      <c r="D23" s="1842"/>
      <c r="E23" s="1842"/>
      <c r="F23" s="1842"/>
      <c r="G23" s="1842"/>
      <c r="H23" s="1843"/>
      <c r="I23" s="1841"/>
      <c r="J23" s="2669"/>
      <c r="K23" s="2669"/>
      <c r="L23" s="1495" t="s">
        <v>1615</v>
      </c>
      <c r="M23" s="1495" t="str">
        <f>IF(A23="General Government","Gen Gov",
IF(A23="Primary and secondary education","Prim Sec Ed",
IF(A23="Higher Education","Higher Ed",
IF(A23="Higher education student aid","Higher Ed stu aid",
IF(A23="Health and human services","HHS",
IF(A23="Economic development","Econ Dev",
IF(A23="Environment and natural resources","ENR",
IF(A23="Public safety, corrections, and regulation","Public Safety",
IF(A23="Transportation","Trans",
IF(A23="Highway construction/preservation","Highway Const",
IF(A23="Highway maintenance","Highway Const",
IF(A23="Debt Service","Debt Serv",
IF(A23="Agriculture","Agric",
IF(A23="Capital projects/repairs and renovations","CapProjectsReno",
IF(A23="Disaster relief (OSC only)","Relief",
IF(A23="Subsequent year's budget (OSC only)","SubsYearBudget",
"No Function"))))))))))))))))</f>
        <v>Prim Sec Ed</v>
      </c>
    </row>
    <row r="24" spans="1:13" ht="17.100000000000001" customHeight="1" x14ac:dyDescent="0.25">
      <c r="A24" s="2651" t="s">
        <v>394</v>
      </c>
      <c r="B24" s="2651"/>
      <c r="C24" s="2651"/>
      <c r="D24" s="1842"/>
      <c r="E24" s="1842"/>
      <c r="F24" s="1842"/>
      <c r="G24" s="1842"/>
      <c r="H24" s="1843"/>
      <c r="I24" s="1841"/>
      <c r="J24" s="2670"/>
      <c r="K24" s="2670"/>
      <c r="L24" s="1495" t="s">
        <v>1615</v>
      </c>
      <c r="M24" s="1495" t="str">
        <f t="shared" ref="M24:M34" si="0">IF(A24="General Government","Gen Gov",
IF(A24="Primary and secondary education","Prim Sec Ed",
IF(A24="Higher Education","Higher Ed",
IF(A24="Higher education student aid","Higher Ed stu aid",
IF(A24="Health and human services","HHS",
IF(A24="Economic development","Econ Dev",
IF(A24="Environment and natural resources","ENR",
IF(A24="Public safety, corrections, and regulation","Public Safety",
IF(A24="Transportation","Trans",
IF(A24="Highway construction/preservation","Highway Const",
IF(A24="Highway maintenance","Highway Const",
IF(A24="Debt Service","Debt Serv",
IF(A24="Agriculture","Agric",
IF(A24="Capital projects/repairs and renovations","CapProjectsReno",
IF(A24="Disaster relief (OSC only)","Relief",
IF(A24="Subsequent year's budget (OSC only)","SubsYearBudget",
"No Function"))))))))))))))))</f>
        <v>Gen Gov</v>
      </c>
    </row>
    <row r="25" spans="1:13" ht="17.100000000000001" customHeight="1" x14ac:dyDescent="0.25">
      <c r="A25" s="2651" t="s">
        <v>1637</v>
      </c>
      <c r="B25" s="2651"/>
      <c r="C25" s="2651"/>
      <c r="D25" s="1842"/>
      <c r="E25" s="1842"/>
      <c r="F25" s="1842"/>
      <c r="G25" s="1842"/>
      <c r="H25" s="1843"/>
      <c r="I25" s="1841"/>
      <c r="J25" s="2263"/>
      <c r="K25" s="2263"/>
      <c r="L25" s="1495" t="s">
        <v>1615</v>
      </c>
      <c r="M25" s="1495" t="str">
        <f t="shared" si="0"/>
        <v>Higher Ed stu aid</v>
      </c>
    </row>
    <row r="26" spans="1:13" ht="17.100000000000001" customHeight="1" x14ac:dyDescent="0.25">
      <c r="A26" s="2651" t="s">
        <v>434</v>
      </c>
      <c r="B26" s="2651"/>
      <c r="C26" s="2651"/>
      <c r="D26" s="1842"/>
      <c r="E26" s="1842"/>
      <c r="F26" s="1842"/>
      <c r="G26" s="1842"/>
      <c r="H26" s="1843"/>
      <c r="I26" s="1841"/>
      <c r="L26" s="1495" t="s">
        <v>1615</v>
      </c>
      <c r="M26" s="1495" t="str">
        <f t="shared" si="0"/>
        <v>Higher Ed</v>
      </c>
    </row>
    <row r="27" spans="1:13" ht="17.100000000000001" customHeight="1" x14ac:dyDescent="0.25">
      <c r="A27" s="2288" t="s">
        <v>1616</v>
      </c>
      <c r="B27" s="2287"/>
      <c r="C27" s="2287"/>
      <c r="D27" s="1844"/>
      <c r="E27" s="1844"/>
      <c r="F27" s="1844"/>
      <c r="G27" s="1844"/>
      <c r="H27" s="1832"/>
      <c r="I27" s="1841"/>
      <c r="L27" s="1495"/>
      <c r="M27" s="1495"/>
    </row>
    <row r="28" spans="1:13" ht="17.100000000000001" customHeight="1" x14ac:dyDescent="0.25">
      <c r="A28" s="2651" t="s">
        <v>434</v>
      </c>
      <c r="B28" s="2651"/>
      <c r="C28" s="2651"/>
      <c r="D28" s="1842"/>
      <c r="E28" s="1842"/>
      <c r="F28" s="1842"/>
      <c r="G28" s="1842"/>
      <c r="H28" s="1843"/>
      <c r="I28" s="1841"/>
      <c r="L28" s="1495" t="s">
        <v>1617</v>
      </c>
      <c r="M28" s="1495" t="str">
        <f t="shared" si="0"/>
        <v>Higher Ed</v>
      </c>
    </row>
    <row r="29" spans="1:13" ht="17.100000000000001" customHeight="1" x14ac:dyDescent="0.25">
      <c r="A29" s="2651" t="s">
        <v>1638</v>
      </c>
      <c r="B29" s="2651"/>
      <c r="C29" s="2651"/>
      <c r="D29" s="1842"/>
      <c r="E29" s="1842"/>
      <c r="F29" s="1842"/>
      <c r="G29" s="1842"/>
      <c r="H29" s="1843"/>
      <c r="I29" s="1841"/>
      <c r="L29" s="1495" t="s">
        <v>1617</v>
      </c>
      <c r="M29" s="1495" t="str">
        <f t="shared" si="0"/>
        <v>HHS</v>
      </c>
    </row>
    <row r="30" spans="1:13" ht="17.100000000000001" customHeight="1" x14ac:dyDescent="0.25">
      <c r="A30" s="2651" t="s">
        <v>1614</v>
      </c>
      <c r="B30" s="2651"/>
      <c r="C30" s="2651"/>
      <c r="D30" s="1842"/>
      <c r="E30" s="1842"/>
      <c r="F30" s="1842"/>
      <c r="G30" s="1842"/>
      <c r="H30" s="1843"/>
      <c r="I30" s="1841"/>
      <c r="L30" s="1495" t="s">
        <v>1617</v>
      </c>
      <c r="M30" s="1495" t="str">
        <f t="shared" si="0"/>
        <v>No Function</v>
      </c>
    </row>
    <row r="31" spans="1:13" ht="17.100000000000001" customHeight="1" x14ac:dyDescent="0.25">
      <c r="A31" s="2288" t="s">
        <v>1618</v>
      </c>
      <c r="B31" s="2287"/>
      <c r="C31" s="2287"/>
      <c r="D31" s="1844"/>
      <c r="E31" s="1844"/>
      <c r="F31" s="1844"/>
      <c r="G31" s="1844"/>
      <c r="H31" s="1832"/>
      <c r="I31" s="1841"/>
      <c r="L31" s="1495"/>
      <c r="M31" s="1495"/>
    </row>
    <row r="32" spans="1:13" ht="17.100000000000001" customHeight="1" x14ac:dyDescent="0.25">
      <c r="A32" s="2651" t="s">
        <v>1638</v>
      </c>
      <c r="B32" s="2651"/>
      <c r="C32" s="2651"/>
      <c r="D32" s="1842"/>
      <c r="E32" s="1842"/>
      <c r="F32" s="1842"/>
      <c r="G32" s="1842"/>
      <c r="H32" s="1843"/>
      <c r="I32" s="1841"/>
      <c r="L32" s="1495" t="s">
        <v>1619</v>
      </c>
      <c r="M32" s="1495" t="str">
        <f t="shared" si="0"/>
        <v>HHS</v>
      </c>
    </row>
    <row r="33" spans="1:13" ht="17.100000000000001" customHeight="1" x14ac:dyDescent="0.25">
      <c r="A33" s="2651" t="s">
        <v>1638</v>
      </c>
      <c r="B33" s="2651"/>
      <c r="C33" s="2651"/>
      <c r="D33" s="1842"/>
      <c r="E33" s="1842"/>
      <c r="F33" s="1842"/>
      <c r="G33" s="1842"/>
      <c r="H33" s="1843"/>
      <c r="I33" s="1841"/>
      <c r="L33" s="1495" t="s">
        <v>1619</v>
      </c>
      <c r="M33" s="1495" t="str">
        <f t="shared" si="0"/>
        <v>HHS</v>
      </c>
    </row>
    <row r="34" spans="1:13" ht="17.100000000000001" customHeight="1" x14ac:dyDescent="0.25">
      <c r="A34" s="2651" t="s">
        <v>394</v>
      </c>
      <c r="B34" s="2651"/>
      <c r="C34" s="2651"/>
      <c r="D34" s="1842"/>
      <c r="E34" s="1842"/>
      <c r="F34" s="1842"/>
      <c r="G34" s="1842"/>
      <c r="H34" s="1843"/>
      <c r="I34" s="1841"/>
      <c r="L34" s="1495" t="s">
        <v>1619</v>
      </c>
      <c r="M34" s="1495" t="str">
        <f t="shared" si="0"/>
        <v>Gen Gov</v>
      </c>
    </row>
    <row r="35" spans="1:13" ht="17.100000000000001" customHeight="1" x14ac:dyDescent="0.25">
      <c r="A35" s="2652" t="s">
        <v>1639</v>
      </c>
      <c r="B35" s="2653"/>
      <c r="C35" s="2654"/>
      <c r="D35" s="1842"/>
      <c r="E35" s="1842"/>
      <c r="F35" s="1842"/>
      <c r="G35" s="1842"/>
      <c r="H35" s="1843"/>
      <c r="I35" s="1841"/>
      <c r="J35" s="2655" t="s">
        <v>1640</v>
      </c>
      <c r="K35" s="2656"/>
      <c r="L35" s="1495" t="s">
        <v>1620</v>
      </c>
      <c r="M35" s="1495" t="s">
        <v>673</v>
      </c>
    </row>
    <row r="36" spans="1:13" ht="27.75" customHeight="1" thickBot="1" x14ac:dyDescent="0.3">
      <c r="A36" s="2657" t="s">
        <v>1621</v>
      </c>
      <c r="B36" s="2656"/>
      <c r="C36" s="2658"/>
      <c r="D36" s="1834">
        <f>D20+D21+SUM(D23:D26)+SUM(D28:D30)+SUM(D32:D35)</f>
        <v>0</v>
      </c>
      <c r="E36" s="1834">
        <f>E20+E21+SUM(E23:E26)+SUM(E28:E30)+SUM(E32:E35)</f>
        <v>0</v>
      </c>
      <c r="F36" s="1834">
        <f>F20+F21+SUM(F23:F26)+SUM(F28:F30)+SUM(F32:F35)</f>
        <v>0</v>
      </c>
      <c r="G36" s="1834">
        <f>G20+G21+SUM(G23:G26)+SUM(G28:G30)+SUM(G32:G35)</f>
        <v>0</v>
      </c>
      <c r="H36" s="1834">
        <f>H20+H21+SUM(H23:H26)+SUM(H28:H30)+SUM(H32:H35)</f>
        <v>0</v>
      </c>
      <c r="I36" s="1845"/>
      <c r="J36" s="2656"/>
      <c r="K36" s="2656"/>
    </row>
    <row r="37" spans="1:13" ht="12.75" customHeight="1" thickTop="1" x14ac:dyDescent="0.25">
      <c r="A37" s="566"/>
      <c r="B37" s="566"/>
      <c r="C37" s="566"/>
      <c r="D37" s="566"/>
      <c r="E37" s="566"/>
      <c r="F37" s="566"/>
      <c r="G37" s="566"/>
      <c r="H37" s="566"/>
      <c r="I37" s="566"/>
      <c r="J37" s="569"/>
      <c r="K37" s="569"/>
    </row>
    <row r="38" spans="1:13" ht="12.75" customHeight="1" x14ac:dyDescent="0.25">
      <c r="A38" s="489" t="s">
        <v>1622</v>
      </c>
      <c r="B38" s="1835" t="s">
        <v>1623</v>
      </c>
      <c r="C38" s="2292"/>
      <c r="D38" s="2288"/>
      <c r="E38" s="2288"/>
      <c r="F38" s="2288"/>
      <c r="G38" s="2288"/>
      <c r="H38" s="2288"/>
      <c r="I38" s="2288"/>
      <c r="J38" s="570"/>
    </row>
    <row r="39" spans="1:13" ht="12.75" customHeight="1" x14ac:dyDescent="0.25">
      <c r="A39" s="489"/>
      <c r="B39" s="1835" t="s">
        <v>1624</v>
      </c>
      <c r="C39" s="2292"/>
      <c r="D39" s="2288"/>
      <c r="E39" s="2288"/>
      <c r="F39" s="2288"/>
      <c r="G39" s="2288"/>
      <c r="H39" s="2288"/>
      <c r="I39" s="2288"/>
    </row>
    <row r="40" spans="1:13" ht="12.75" customHeight="1" x14ac:dyDescent="0.25">
      <c r="A40" s="489"/>
      <c r="B40" s="1835" t="s">
        <v>1625</v>
      </c>
      <c r="C40" s="2292"/>
      <c r="D40" s="2288"/>
      <c r="E40" s="2288"/>
      <c r="F40" s="2288"/>
      <c r="G40" s="2288"/>
      <c r="H40" s="2288"/>
      <c r="I40" s="2288"/>
    </row>
    <row r="41" spans="1:13" ht="15" customHeight="1" x14ac:dyDescent="0.25">
      <c r="A41" s="489" t="s">
        <v>1626</v>
      </c>
      <c r="B41" s="1835" t="s">
        <v>1627</v>
      </c>
      <c r="C41" s="2292"/>
      <c r="D41" s="2288"/>
      <c r="E41" s="2288"/>
      <c r="F41" s="2288"/>
      <c r="G41" s="2288"/>
      <c r="H41" s="2288"/>
      <c r="I41" s="2288"/>
    </row>
    <row r="42" spans="1:13" ht="12.75" customHeight="1" x14ac:dyDescent="0.25">
      <c r="A42" s="489"/>
      <c r="B42" s="2292"/>
      <c r="C42" s="2292"/>
      <c r="D42" s="2288"/>
      <c r="E42" s="2288"/>
      <c r="F42" s="2288"/>
      <c r="G42" s="2288"/>
      <c r="H42" s="2288"/>
      <c r="I42" s="2288"/>
    </row>
    <row r="43" spans="1:13" x14ac:dyDescent="0.25">
      <c r="D43" s="2659" t="s">
        <v>1628</v>
      </c>
      <c r="E43" s="2659"/>
      <c r="F43" s="2659"/>
      <c r="G43" s="2659"/>
      <c r="H43" s="2659"/>
      <c r="I43" s="571"/>
    </row>
    <row r="44" spans="1:13" ht="17.100000000000001" customHeight="1" x14ac:dyDescent="0.25">
      <c r="A44" s="2288" t="s">
        <v>1615</v>
      </c>
      <c r="B44" s="2288"/>
      <c r="C44" s="2288"/>
      <c r="D44" s="861">
        <f>D23+D24+D25+D26+D21</f>
        <v>0</v>
      </c>
      <c r="E44" s="861">
        <f t="shared" ref="E44:H44" si="1">E23+E24+E25+E26+E21</f>
        <v>0</v>
      </c>
      <c r="F44" s="861">
        <f t="shared" si="1"/>
        <v>0</v>
      </c>
      <c r="G44" s="861">
        <f t="shared" si="1"/>
        <v>0</v>
      </c>
      <c r="H44" s="861">
        <f t="shared" si="1"/>
        <v>0</v>
      </c>
      <c r="I44" s="572"/>
    </row>
    <row r="45" spans="1:13" ht="17.100000000000001" customHeight="1" x14ac:dyDescent="0.25">
      <c r="A45" s="2288" t="s">
        <v>1629</v>
      </c>
      <c r="B45" s="2288"/>
      <c r="C45" s="2288"/>
      <c r="D45" s="861">
        <f>D20+SUM(D28:D30)+SUM(D32:D35)</f>
        <v>0</v>
      </c>
      <c r="E45" s="861">
        <f>E20+SUM(E28:E30)+SUM(E32:E35)</f>
        <v>0</v>
      </c>
      <c r="F45" s="861">
        <f>F20+SUM(F28:F30)+SUM(F32:F35)</f>
        <v>0</v>
      </c>
      <c r="G45" s="861">
        <f>G20+SUM(G28:G30)+SUM(G32:G35)</f>
        <v>0</v>
      </c>
      <c r="H45" s="861">
        <f>H20+SUM(H28:H30)+SUM(H32:H35)</f>
        <v>0</v>
      </c>
      <c r="I45" s="1846"/>
    </row>
    <row r="46" spans="1:13" ht="17.100000000000001" customHeight="1" thickBot="1" x14ac:dyDescent="0.3">
      <c r="A46" s="2288" t="s">
        <v>1630</v>
      </c>
      <c r="B46" s="2288"/>
      <c r="C46" s="2288"/>
      <c r="D46" s="1836">
        <f>SUM(D44:D45)</f>
        <v>0</v>
      </c>
      <c r="E46" s="1836">
        <f>SUM(E44:E45)</f>
        <v>0</v>
      </c>
      <c r="F46" s="1836">
        <f>SUM(F44:F45)</f>
        <v>0</v>
      </c>
      <c r="G46" s="1836">
        <f>SUM(G44:G45)</f>
        <v>0</v>
      </c>
      <c r="H46" s="1836">
        <f>SUM(H44:H45)</f>
        <v>0</v>
      </c>
      <c r="I46" s="1846"/>
    </row>
    <row r="47" spans="1:13" ht="17.100000000000001" customHeight="1" thickTop="1" x14ac:dyDescent="0.25">
      <c r="A47" s="2650" t="s">
        <v>1631</v>
      </c>
      <c r="B47" s="2650"/>
      <c r="C47" s="2650"/>
      <c r="D47" s="567"/>
      <c r="E47" s="567" t="str">
        <f>IF(E48&lt;&gt;0,"Out of Balance","")</f>
        <v/>
      </c>
      <c r="F47" s="567" t="str">
        <f>IF(F48&lt;&gt;0,"Out of Balance","")</f>
        <v/>
      </c>
      <c r="G47" s="567" t="str">
        <f>IF(G48&lt;&gt;0,"Out of Balance","")</f>
        <v/>
      </c>
      <c r="H47" s="567" t="str">
        <f>IF(H48&lt;&gt;0,"Out of Balance","")</f>
        <v/>
      </c>
      <c r="I47" s="567"/>
    </row>
  </sheetData>
  <sheetProtection algorithmName="SHA-512" hashValue="8/COvMFOw6rk37cP7HHQYghU1kW0fqfsqDgJq69m75aQs3jyucTVDdWZmYYl/fcyPAhZ7JCXtgNGo60++RE6MQ==" saltValue="+PY1ExT6wRpD5ewmLuJJbg==" spinCount="100000" sheet="1" objects="1" scenarios="1" autoFilter="0"/>
  <customSheetViews>
    <customSheetView guid="{9FCFC836-1CA5-48BF-958D-24D2EA94B219}" fitToPage="1" topLeftCell="A16">
      <selection activeCell="A26" sqref="A26:C26"/>
      <pageMargins left="0" right="0" top="0" bottom="0" header="0" footer="0"/>
      <pageSetup scale="83" orientation="portrait" r:id="rId1"/>
      <headerFooter>
        <oddFooter>&amp;R&amp;A</oddFooter>
      </headerFooter>
    </customSheetView>
    <customSheetView guid="{B08879A4-635B-4C39-9937-AC7883D562FC}" fitToPage="1" topLeftCell="A16">
      <selection activeCell="A26" sqref="A26:C26"/>
      <pageMargins left="0" right="0" top="0" bottom="0" header="0" footer="0"/>
      <pageSetup scale="83" orientation="portrait" r:id="rId2"/>
      <headerFooter>
        <oddFooter>&amp;R&amp;A</oddFooter>
      </headerFooter>
    </customSheetView>
  </customSheetViews>
  <mergeCells count="35">
    <mergeCell ref="A14:H14"/>
    <mergeCell ref="J22:K24"/>
    <mergeCell ref="J21:K21"/>
    <mergeCell ref="F7:I7"/>
    <mergeCell ref="F8:I8"/>
    <mergeCell ref="F9:I9"/>
    <mergeCell ref="A17:C17"/>
    <mergeCell ref="D18:D19"/>
    <mergeCell ref="E18:E19"/>
    <mergeCell ref="F18:F19"/>
    <mergeCell ref="G18:G19"/>
    <mergeCell ref="H18:H19"/>
    <mergeCell ref="A1:H1"/>
    <mergeCell ref="A2:H2"/>
    <mergeCell ref="A3:H3"/>
    <mergeCell ref="A4:H4"/>
    <mergeCell ref="F6:I6"/>
    <mergeCell ref="J35:K36"/>
    <mergeCell ref="A36:C36"/>
    <mergeCell ref="A20:C20"/>
    <mergeCell ref="A23:C23"/>
    <mergeCell ref="A24:C24"/>
    <mergeCell ref="A26:C26"/>
    <mergeCell ref="A28:C28"/>
    <mergeCell ref="A29:C29"/>
    <mergeCell ref="J20:K20"/>
    <mergeCell ref="A21:C21"/>
    <mergeCell ref="A25:C25"/>
    <mergeCell ref="D43:H43"/>
    <mergeCell ref="A47:C47"/>
    <mergeCell ref="A30:C30"/>
    <mergeCell ref="A32:C32"/>
    <mergeCell ref="A33:C33"/>
    <mergeCell ref="A34:C34"/>
    <mergeCell ref="A35:C35"/>
  </mergeCells>
  <conditionalFormatting sqref="H5">
    <cfRule type="containsText" dxfId="97" priority="1" stopIfTrue="1" operator="containsText" text="NA">
      <formula>NOT(ISERROR(SEARCH("NA",H5)))</formula>
    </cfRule>
  </conditionalFormatting>
  <conditionalFormatting sqref="I1">
    <cfRule type="cellIs" dxfId="96" priority="2" stopIfTrue="1" operator="equal">
      <formula>"na"</formula>
    </cfRule>
  </conditionalFormatting>
  <conditionalFormatting sqref="I2:J3">
    <cfRule type="cellIs" dxfId="95" priority="3" stopIfTrue="1" operator="equal">
      <formula>"na"</formula>
    </cfRule>
  </conditionalFormatting>
  <dataValidations count="6">
    <dataValidation type="textLength" operator="equal" allowBlank="1" showInputMessage="1" showErrorMessage="1" errorTitle="Invalid data!" error="GASB number must be 4 digits." sqref="D17:I17" xr:uid="{00000000-0002-0000-1D00-000000000000}">
      <formula1>4</formula1>
    </dataValidation>
    <dataValidation type="decimal" operator="lessThanOrEqual" allowBlank="1" showInputMessage="1" showErrorMessage="1" errorTitle="Invalid Data" error="Cannot have positive &quot;Unassigned&quot; fund balance in funds other than the General Fund" sqref="D35:I35" xr:uid="{00000000-0002-0000-1D00-000001000000}">
      <formula1>0</formula1>
    </dataValidation>
    <dataValidation type="list" allowBlank="1" showInputMessage="1" showErrorMessage="1" sqref="B31:C31 B23:C27 A23:A26" xr:uid="{00000000-0002-0000-1D00-000002000000}">
      <formula1>function</formula1>
    </dataValidation>
    <dataValidation type="decimal" operator="greaterThanOrEqual" allowBlank="1" showInputMessage="1" showErrorMessage="1" errorTitle="Invalid Data" error="Amount cannot be negative" sqref="D23:I26 D28:I30 D32:I34 D20:I21" xr:uid="{00000000-0002-0000-1D00-000003000000}">
      <formula1>0</formula1>
    </dataValidation>
    <dataValidation type="list" allowBlank="1" showInputMessage="1" showErrorMessage="1" sqref="A28:C30" xr:uid="{00000000-0002-0000-1D00-000004000000}">
      <formula1>functionC</formula1>
    </dataValidation>
    <dataValidation type="list" allowBlank="1" showInputMessage="1" showErrorMessage="1" sqref="A32:C34" xr:uid="{00000000-0002-0000-1D00-000005000000}">
      <formula1>functionA</formula1>
    </dataValidation>
  </dataValidations>
  <hyperlinks>
    <hyperlink ref="A1:H1" location="Index!A1" display="Index!A1" xr:uid="{00000000-0004-0000-1D00-000000000000}"/>
    <hyperlink ref="D12" r:id="rId3" xr:uid="{00000000-0004-0000-1D00-000001000000}"/>
  </hyperlinks>
  <pageMargins left="0.6" right="0.6" top="0.5" bottom="0.5" header="0.3" footer="0.3"/>
  <pageSetup scale="84" fitToHeight="0" orientation="portrait"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pageSetUpPr fitToPage="1"/>
  </sheetPr>
  <dimension ref="A1:M54"/>
  <sheetViews>
    <sheetView zoomScaleNormal="100" workbookViewId="0">
      <selection activeCell="A2" sqref="A2:H2"/>
    </sheetView>
  </sheetViews>
  <sheetFormatPr defaultColWidth="9.42578125" defaultRowHeight="15" x14ac:dyDescent="0.25"/>
  <cols>
    <col min="1" max="1" width="12.5703125" style="488" customWidth="1"/>
    <col min="2" max="2" width="8.5703125" style="488" customWidth="1"/>
    <col min="3" max="3" width="12.42578125" style="488" customWidth="1"/>
    <col min="4" max="8" width="15.5703125" style="488" customWidth="1"/>
    <col min="9" max="9" width="1.42578125" style="488" customWidth="1"/>
    <col min="10" max="10" width="4" style="488" customWidth="1"/>
    <col min="11" max="11" width="52.5703125" style="488" customWidth="1"/>
    <col min="12" max="16384" width="9.42578125" style="488"/>
  </cols>
  <sheetData>
    <row r="1" spans="1:9" ht="18" customHeight="1" x14ac:dyDescent="0.25">
      <c r="A1" s="2455" t="str">
        <f>Index!A1</f>
        <v xml:space="preserve">                                                               Office of the State Controller                                                                </v>
      </c>
      <c r="B1" s="2455"/>
      <c r="C1" s="2455"/>
      <c r="D1" s="2455"/>
      <c r="E1" s="2455"/>
      <c r="F1" s="2455"/>
      <c r="G1" s="2455"/>
      <c r="H1" s="2455"/>
      <c r="I1" s="881"/>
    </row>
    <row r="2" spans="1:9" ht="18" customHeight="1" x14ac:dyDescent="0.25">
      <c r="A2" s="2681" t="str">
        <f>Index!A2</f>
        <v>2023 ACFR Worksheets</v>
      </c>
      <c r="B2" s="2681"/>
      <c r="C2" s="2681"/>
      <c r="D2" s="2681"/>
      <c r="E2" s="2681"/>
      <c r="F2" s="2681"/>
      <c r="G2" s="2681"/>
      <c r="H2" s="2681"/>
    </row>
    <row r="3" spans="1:9" ht="18" customHeight="1" x14ac:dyDescent="0.25">
      <c r="A3" s="2681" t="s">
        <v>1590</v>
      </c>
      <c r="B3" s="2681"/>
      <c r="C3" s="2681"/>
      <c r="D3" s="2681"/>
      <c r="E3" s="2681"/>
      <c r="F3" s="2681"/>
      <c r="G3" s="2681"/>
      <c r="H3" s="2681"/>
    </row>
    <row r="4" spans="1:9" ht="18" customHeight="1" x14ac:dyDescent="0.25">
      <c r="A4" s="2681" t="s">
        <v>1641</v>
      </c>
      <c r="B4" s="2681"/>
      <c r="C4" s="2681"/>
      <c r="D4" s="2681"/>
      <c r="E4" s="2681"/>
      <c r="F4" s="2681"/>
      <c r="G4" s="2681"/>
      <c r="H4" s="2681"/>
    </row>
    <row r="5" spans="1:9" ht="18" customHeight="1" x14ac:dyDescent="0.25">
      <c r="A5" s="1112"/>
      <c r="B5" s="1112"/>
      <c r="C5" s="1112"/>
      <c r="D5" s="1112"/>
      <c r="E5" s="1112"/>
      <c r="F5" s="561" t="s">
        <v>1592</v>
      </c>
      <c r="G5" s="1112"/>
      <c r="H5" s="2215" t="str">
        <f>IF(Index!$B$56="na","NA","")</f>
        <v/>
      </c>
    </row>
    <row r="6" spans="1:9" ht="18" customHeight="1" x14ac:dyDescent="0.25">
      <c r="A6" s="1112"/>
      <c r="B6" s="1112"/>
      <c r="C6" s="1827"/>
      <c r="D6" s="1112"/>
      <c r="E6" s="1111" t="s">
        <v>317</v>
      </c>
      <c r="F6" s="2454" t="str">
        <f>+Index!$E$10</f>
        <v>01</v>
      </c>
      <c r="G6" s="2454"/>
      <c r="H6" s="2454"/>
      <c r="I6" s="2454"/>
    </row>
    <row r="7" spans="1:9" ht="18" customHeight="1" x14ac:dyDescent="0.25">
      <c r="A7" s="1112"/>
      <c r="B7" s="1112"/>
      <c r="C7" s="1112"/>
      <c r="D7" s="1112"/>
      <c r="E7" s="1111" t="s">
        <v>318</v>
      </c>
      <c r="F7" s="2451" t="str">
        <f>+Index!$E$11</f>
        <v>North Carolina General Assembly</v>
      </c>
      <c r="G7" s="2451"/>
      <c r="H7" s="2451"/>
      <c r="I7" s="2451"/>
    </row>
    <row r="8" spans="1:9" ht="18" customHeight="1" x14ac:dyDescent="0.25">
      <c r="A8" s="1112" t="s">
        <v>568</v>
      </c>
      <c r="B8" s="1112"/>
      <c r="C8" s="1828" t="s">
        <v>1642</v>
      </c>
      <c r="D8" s="1112"/>
      <c r="E8" s="1111" t="s">
        <v>319</v>
      </c>
      <c r="F8" s="2448" t="str">
        <f>CONCATENATE(Index!$E$12," ",Index!$E$14)</f>
        <v xml:space="preserve"> </v>
      </c>
      <c r="G8" s="2448"/>
      <c r="H8" s="2448"/>
      <c r="I8" s="2448"/>
    </row>
    <row r="9" spans="1:9" ht="18" customHeight="1" x14ac:dyDescent="0.25">
      <c r="A9" s="1112"/>
      <c r="B9" s="1112"/>
      <c r="C9" s="1827"/>
      <c r="D9" s="1112"/>
      <c r="E9" s="1111" t="s">
        <v>71</v>
      </c>
      <c r="F9" s="2448">
        <f>+Index!$E$13</f>
        <v>0</v>
      </c>
      <c r="G9" s="2448"/>
      <c r="H9" s="2448"/>
      <c r="I9" s="2448"/>
    </row>
    <row r="10" spans="1:9" ht="14.1" customHeight="1" thickBot="1" x14ac:dyDescent="0.3">
      <c r="A10" s="1829"/>
      <c r="B10" s="1829"/>
      <c r="C10" s="1829"/>
      <c r="D10" s="1829"/>
      <c r="E10" s="1829"/>
      <c r="F10" s="1829"/>
      <c r="G10" s="1829"/>
      <c r="H10" s="1829"/>
    </row>
    <row r="11" spans="1:9" x14ac:dyDescent="0.25">
      <c r="A11" s="1112"/>
      <c r="B11" s="1112"/>
      <c r="C11" s="1112"/>
      <c r="D11" s="1112"/>
      <c r="E11" s="1112"/>
      <c r="F11" s="1112"/>
      <c r="G11" s="1112"/>
      <c r="H11" s="1112"/>
    </row>
    <row r="12" spans="1:9" x14ac:dyDescent="0.25">
      <c r="C12" s="1111" t="s">
        <v>1643</v>
      </c>
      <c r="D12" s="692" t="s">
        <v>1634</v>
      </c>
      <c r="E12" s="1112"/>
      <c r="G12" s="1112"/>
      <c r="H12" s="1112"/>
    </row>
    <row r="13" spans="1:9" ht="17.100000000000001" customHeight="1" x14ac:dyDescent="0.25">
      <c r="A13" s="1112"/>
      <c r="B13" s="1112"/>
      <c r="C13" s="1112"/>
      <c r="D13" s="1112"/>
      <c r="E13" s="1112"/>
      <c r="F13" s="1112"/>
      <c r="G13" s="1112"/>
      <c r="H13" s="1112"/>
    </row>
    <row r="14" spans="1:9" ht="30" customHeight="1" x14ac:dyDescent="0.25">
      <c r="A14" s="2673" t="s">
        <v>1635</v>
      </c>
      <c r="B14" s="2674"/>
      <c r="C14" s="2675"/>
      <c r="D14" s="2675"/>
      <c r="E14" s="2675"/>
      <c r="F14" s="2675"/>
      <c r="G14" s="2675"/>
      <c r="H14" s="2676"/>
    </row>
    <row r="15" spans="1:9" ht="17.100000000000001" customHeight="1" x14ac:dyDescent="0.25">
      <c r="A15" s="1830"/>
      <c r="B15" s="1830"/>
      <c r="C15" s="562"/>
      <c r="D15" s="562"/>
      <c r="E15" s="562"/>
      <c r="F15" s="562"/>
      <c r="G15" s="562"/>
      <c r="H15" s="562"/>
    </row>
    <row r="16" spans="1:9" x14ac:dyDescent="0.25">
      <c r="A16" s="1112"/>
      <c r="B16" s="1112"/>
      <c r="C16" s="1112"/>
      <c r="D16" s="563" t="s">
        <v>1596</v>
      </c>
      <c r="E16" s="564" t="s">
        <v>1596</v>
      </c>
      <c r="F16" s="564" t="s">
        <v>1596</v>
      </c>
      <c r="G16" s="564" t="s">
        <v>1596</v>
      </c>
      <c r="H16" s="564" t="s">
        <v>1596</v>
      </c>
    </row>
    <row r="17" spans="1:13" x14ac:dyDescent="0.25">
      <c r="A17" s="2677" t="s">
        <v>1597</v>
      </c>
      <c r="B17" s="2677"/>
      <c r="C17" s="2677"/>
      <c r="D17" s="724"/>
      <c r="E17" s="1838"/>
      <c r="F17" s="724"/>
      <c r="G17" s="724"/>
      <c r="H17" s="1839"/>
    </row>
    <row r="18" spans="1:13" ht="17.100000000000001" customHeight="1" x14ac:dyDescent="0.25">
      <c r="A18" s="489" t="s">
        <v>1598</v>
      </c>
      <c r="B18" s="2288"/>
      <c r="C18" s="2292"/>
      <c r="D18" s="2678"/>
      <c r="E18" s="2678"/>
      <c r="F18" s="2678"/>
      <c r="G18" s="2678"/>
      <c r="H18" s="2678"/>
    </row>
    <row r="19" spans="1:13" ht="17.100000000000001" customHeight="1" x14ac:dyDescent="0.25">
      <c r="A19" s="2288" t="s">
        <v>1599</v>
      </c>
      <c r="B19" s="2288"/>
      <c r="C19" s="2292"/>
      <c r="D19" s="2679"/>
      <c r="E19" s="2679"/>
      <c r="F19" s="2679"/>
      <c r="G19" s="2679"/>
      <c r="H19" s="2679"/>
    </row>
    <row r="20" spans="1:13" ht="28.35" customHeight="1" x14ac:dyDescent="0.25">
      <c r="A20" s="2665" t="s">
        <v>1600</v>
      </c>
      <c r="B20" s="2665"/>
      <c r="C20" s="2665"/>
      <c r="D20" s="1842"/>
      <c r="E20" s="1842"/>
      <c r="F20" s="1842"/>
      <c r="G20" s="1842"/>
      <c r="H20" s="1843"/>
      <c r="J20" s="2666" t="s">
        <v>1601</v>
      </c>
      <c r="K20" s="2666"/>
      <c r="L20" s="1496" t="s">
        <v>1602</v>
      </c>
      <c r="M20" s="1496" t="s">
        <v>673</v>
      </c>
    </row>
    <row r="21" spans="1:13" ht="17.100000000000001" customHeight="1" x14ac:dyDescent="0.25">
      <c r="A21" s="2671" t="s">
        <v>1603</v>
      </c>
      <c r="B21" s="2383"/>
      <c r="C21" s="2672"/>
      <c r="D21" s="1842"/>
      <c r="E21" s="1842"/>
      <c r="F21" s="1842"/>
      <c r="G21" s="1842"/>
      <c r="H21" s="1843"/>
      <c r="J21" s="2682" t="s">
        <v>1604</v>
      </c>
      <c r="K21" s="2586"/>
      <c r="L21" s="1496" t="s">
        <v>1605</v>
      </c>
      <c r="M21" s="1496" t="s">
        <v>673</v>
      </c>
    </row>
    <row r="22" spans="1:13" ht="17.100000000000001" customHeight="1" x14ac:dyDescent="0.25">
      <c r="A22" s="2288" t="s">
        <v>1613</v>
      </c>
      <c r="B22" s="2292"/>
      <c r="C22" s="2292"/>
      <c r="D22" s="1844"/>
      <c r="E22" s="1832"/>
      <c r="F22" s="1832"/>
      <c r="G22" s="1832"/>
      <c r="H22" s="1832"/>
      <c r="J22" s="2291"/>
      <c r="K22" s="2291"/>
      <c r="L22" s="1496"/>
      <c r="M22" s="1496"/>
    </row>
    <row r="23" spans="1:13" ht="17.100000000000001" customHeight="1" x14ac:dyDescent="0.25">
      <c r="A23" s="2671" t="s">
        <v>1644</v>
      </c>
      <c r="B23" s="2671"/>
      <c r="C23" s="2671"/>
      <c r="D23" s="1842"/>
      <c r="E23" s="1842"/>
      <c r="F23" s="1842"/>
      <c r="G23" s="1842"/>
      <c r="H23" s="1843"/>
      <c r="J23" s="2291"/>
      <c r="K23" s="2291"/>
      <c r="L23" s="1496" t="s">
        <v>1615</v>
      </c>
      <c r="M23" s="1496" t="s">
        <v>1645</v>
      </c>
    </row>
    <row r="24" spans="1:13" ht="17.100000000000001" customHeight="1" x14ac:dyDescent="0.25">
      <c r="A24" s="2671" t="s">
        <v>1646</v>
      </c>
      <c r="B24" s="2671"/>
      <c r="C24" s="2671"/>
      <c r="D24" s="1842"/>
      <c r="E24" s="1842"/>
      <c r="F24" s="1842"/>
      <c r="G24" s="1842"/>
      <c r="H24" s="1843"/>
      <c r="J24" s="2263"/>
      <c r="K24" s="2263"/>
      <c r="L24" s="1496" t="s">
        <v>1615</v>
      </c>
      <c r="M24" s="1496" t="s">
        <v>1647</v>
      </c>
    </row>
    <row r="25" spans="1:13" ht="17.100000000000001" customHeight="1" x14ac:dyDescent="0.25">
      <c r="A25" s="2671" t="s">
        <v>1648</v>
      </c>
      <c r="B25" s="2671"/>
      <c r="C25" s="2671"/>
      <c r="D25" s="1842"/>
      <c r="E25" s="1842"/>
      <c r="F25" s="1842"/>
      <c r="G25" s="1842"/>
      <c r="H25" s="1843"/>
      <c r="L25" s="1496" t="s">
        <v>1615</v>
      </c>
      <c r="M25" s="1496" t="s">
        <v>1649</v>
      </c>
    </row>
    <row r="26" spans="1:13" ht="17.100000000000001" customHeight="1" x14ac:dyDescent="0.25">
      <c r="A26" s="2288" t="s">
        <v>1616</v>
      </c>
      <c r="B26" s="2287"/>
      <c r="C26" s="2287"/>
      <c r="D26" s="1844"/>
      <c r="E26" s="1844"/>
      <c r="F26" s="1844"/>
      <c r="G26" s="1844"/>
      <c r="H26" s="1832"/>
      <c r="L26" s="1496"/>
      <c r="M26" s="1496"/>
    </row>
    <row r="27" spans="1:13" ht="17.100000000000001" customHeight="1" x14ac:dyDescent="0.25">
      <c r="A27" s="2671" t="s">
        <v>1644</v>
      </c>
      <c r="B27" s="2671"/>
      <c r="C27" s="2671"/>
      <c r="D27" s="1842"/>
      <c r="E27" s="1842"/>
      <c r="F27" s="1842"/>
      <c r="G27" s="1842"/>
      <c r="H27" s="1843"/>
      <c r="L27" s="1496" t="s">
        <v>1617</v>
      </c>
      <c r="M27" s="1496" t="s">
        <v>1645</v>
      </c>
    </row>
    <row r="28" spans="1:13" ht="17.100000000000001" customHeight="1" x14ac:dyDescent="0.25">
      <c r="A28" s="2671" t="s">
        <v>394</v>
      </c>
      <c r="B28" s="2671"/>
      <c r="C28" s="2671"/>
      <c r="D28" s="1842"/>
      <c r="E28" s="1842"/>
      <c r="F28" s="1842"/>
      <c r="G28" s="1842"/>
      <c r="H28" s="1843"/>
      <c r="L28" s="1496" t="s">
        <v>1617</v>
      </c>
      <c r="M28" s="1496" t="s">
        <v>755</v>
      </c>
    </row>
    <row r="29" spans="1:13" ht="17.100000000000001" customHeight="1" x14ac:dyDescent="0.25">
      <c r="A29" s="2671" t="s">
        <v>1648</v>
      </c>
      <c r="B29" s="2671"/>
      <c r="C29" s="2671"/>
      <c r="D29" s="1842"/>
      <c r="E29" s="1842"/>
      <c r="F29" s="1842"/>
      <c r="G29" s="1842"/>
      <c r="H29" s="1843"/>
      <c r="L29" s="1496" t="s">
        <v>1617</v>
      </c>
      <c r="M29" s="1496" t="s">
        <v>1649</v>
      </c>
    </row>
    <row r="30" spans="1:13" ht="17.100000000000001" customHeight="1" x14ac:dyDescent="0.25">
      <c r="A30" s="2288" t="s">
        <v>1618</v>
      </c>
      <c r="B30" s="2287"/>
      <c r="C30" s="2287"/>
      <c r="D30" s="1844"/>
      <c r="E30" s="1844"/>
      <c r="F30" s="1844"/>
      <c r="G30" s="1844"/>
      <c r="H30" s="1832"/>
      <c r="L30" s="1496"/>
      <c r="M30" s="1496"/>
    </row>
    <row r="31" spans="1:13" ht="17.100000000000001" customHeight="1" x14ac:dyDescent="0.25">
      <c r="A31" s="2671" t="s">
        <v>1644</v>
      </c>
      <c r="B31" s="2671"/>
      <c r="C31" s="2671"/>
      <c r="D31" s="1842"/>
      <c r="E31" s="1842"/>
      <c r="F31" s="1842"/>
      <c r="G31" s="1842"/>
      <c r="H31" s="1843"/>
      <c r="L31" s="1496" t="s">
        <v>1619</v>
      </c>
      <c r="M31" s="1496" t="s">
        <v>1645</v>
      </c>
    </row>
    <row r="32" spans="1:13" ht="17.100000000000001" customHeight="1" x14ac:dyDescent="0.25">
      <c r="A32" s="2671" t="s">
        <v>394</v>
      </c>
      <c r="B32" s="2671"/>
      <c r="C32" s="2671"/>
      <c r="D32" s="1842"/>
      <c r="E32" s="1842"/>
      <c r="F32" s="1842"/>
      <c r="G32" s="1842"/>
      <c r="H32" s="1843"/>
      <c r="L32" s="1496" t="s">
        <v>1619</v>
      </c>
      <c r="M32" s="1496" t="s">
        <v>755</v>
      </c>
    </row>
    <row r="33" spans="1:13" ht="17.100000000000001" customHeight="1" x14ac:dyDescent="0.25">
      <c r="A33" s="2671" t="s">
        <v>1648</v>
      </c>
      <c r="B33" s="2671"/>
      <c r="C33" s="2671"/>
      <c r="D33" s="1842"/>
      <c r="E33" s="1842"/>
      <c r="F33" s="1842"/>
      <c r="G33" s="1842"/>
      <c r="H33" s="1843"/>
      <c r="L33" s="1496" t="s">
        <v>1619</v>
      </c>
      <c r="M33" s="1496" t="s">
        <v>1649</v>
      </c>
    </row>
    <row r="34" spans="1:13" ht="17.100000000000001" customHeight="1" x14ac:dyDescent="0.25">
      <c r="A34" s="2652" t="s">
        <v>1639</v>
      </c>
      <c r="B34" s="2653"/>
      <c r="C34" s="2654"/>
      <c r="D34" s="1842"/>
      <c r="E34" s="1842"/>
      <c r="F34" s="1842"/>
      <c r="G34" s="1842"/>
      <c r="H34" s="1843"/>
      <c r="I34" s="565"/>
      <c r="J34" s="2655" t="s">
        <v>1640</v>
      </c>
      <c r="K34" s="2656"/>
      <c r="L34" s="1496" t="s">
        <v>1620</v>
      </c>
      <c r="M34" s="1496" t="s">
        <v>673</v>
      </c>
    </row>
    <row r="35" spans="1:13" ht="29.25" customHeight="1" thickBot="1" x14ac:dyDescent="0.3">
      <c r="A35" s="2657" t="s">
        <v>1621</v>
      </c>
      <c r="B35" s="2656"/>
      <c r="C35" s="2658"/>
      <c r="D35" s="1834">
        <f>SUM(D20:D21)+SUM(D23:D25)+SUM(D27:D29)+SUM(D31:D34)</f>
        <v>0</v>
      </c>
      <c r="E35" s="1834">
        <f>SUM(E20:E21)+SUM(E23:E25)+SUM(E27:E29)+SUM(E31:E34)</f>
        <v>0</v>
      </c>
      <c r="F35" s="1834">
        <f>SUM(F20:F21)+SUM(F23:F25)+SUM(F27:F29)+SUM(F31:F34)</f>
        <v>0</v>
      </c>
      <c r="G35" s="1834">
        <f>SUM(G20:G21)+SUM(G23:G25)+SUM(G27:G29)+SUM(G31:G34)</f>
        <v>0</v>
      </c>
      <c r="H35" s="1834">
        <f>SUM(H20:H21)+SUM(H23:H25)+SUM(H27:H29)+SUM(H31:H34)</f>
        <v>0</v>
      </c>
      <c r="J35" s="2656"/>
      <c r="K35" s="2656"/>
    </row>
    <row r="36" spans="1:13" ht="12.75" customHeight="1" thickTop="1" x14ac:dyDescent="0.25">
      <c r="A36" s="566"/>
      <c r="B36" s="566"/>
      <c r="C36" s="566"/>
      <c r="D36" s="566"/>
      <c r="E36" s="566"/>
      <c r="F36" s="566"/>
      <c r="G36" s="566"/>
      <c r="H36" s="566"/>
    </row>
    <row r="37" spans="1:13" ht="12.75" customHeight="1" x14ac:dyDescent="0.25">
      <c r="A37" s="489" t="s">
        <v>1622</v>
      </c>
      <c r="B37" s="1835" t="s">
        <v>1623</v>
      </c>
      <c r="C37" s="2292"/>
      <c r="D37" s="2288"/>
      <c r="E37" s="2288"/>
      <c r="F37" s="2288"/>
      <c r="G37" s="2288"/>
      <c r="H37" s="2288"/>
    </row>
    <row r="38" spans="1:13" ht="12.75" customHeight="1" x14ac:dyDescent="0.25">
      <c r="A38" s="489"/>
      <c r="B38" s="1835" t="s">
        <v>1624</v>
      </c>
      <c r="C38" s="2292"/>
      <c r="D38" s="2288"/>
      <c r="E38" s="2288"/>
      <c r="F38" s="2288"/>
      <c r="G38" s="2288"/>
      <c r="H38" s="2288"/>
    </row>
    <row r="39" spans="1:13" ht="12.75" customHeight="1" x14ac:dyDescent="0.25">
      <c r="A39" s="489"/>
      <c r="B39" s="1835" t="s">
        <v>1625</v>
      </c>
      <c r="C39" s="2292"/>
      <c r="D39" s="2288"/>
      <c r="E39" s="2288"/>
      <c r="F39" s="2288"/>
      <c r="G39" s="2288"/>
      <c r="H39" s="2288"/>
    </row>
    <row r="40" spans="1:13" ht="15" customHeight="1" x14ac:dyDescent="0.25">
      <c r="A40" s="489" t="s">
        <v>1626</v>
      </c>
      <c r="B40" s="1835" t="s">
        <v>1627</v>
      </c>
      <c r="C40" s="2292"/>
      <c r="D40" s="2288"/>
      <c r="E40" s="2288"/>
      <c r="F40" s="2288"/>
      <c r="G40" s="2288"/>
      <c r="H40" s="2288"/>
    </row>
    <row r="41" spans="1:13" ht="12.75" customHeight="1" x14ac:dyDescent="0.25">
      <c r="A41" s="489"/>
      <c r="B41" s="2292"/>
      <c r="C41" s="2292"/>
      <c r="D41" s="2288"/>
      <c r="E41" s="2288"/>
      <c r="F41" s="2288"/>
      <c r="G41" s="2288"/>
      <c r="H41" s="2288"/>
    </row>
    <row r="42" spans="1:13" x14ac:dyDescent="0.25">
      <c r="D42" s="2659" t="s">
        <v>1628</v>
      </c>
      <c r="E42" s="2659"/>
      <c r="F42" s="2659"/>
      <c r="G42" s="2659"/>
      <c r="H42" s="2659"/>
    </row>
    <row r="43" spans="1:13" ht="17.100000000000001" customHeight="1" x14ac:dyDescent="0.25">
      <c r="A43" s="2288" t="s">
        <v>1615</v>
      </c>
      <c r="B43" s="2288"/>
      <c r="C43" s="2288"/>
      <c r="D43" s="861">
        <f>D23+D24+D25+D21</f>
        <v>0</v>
      </c>
      <c r="E43" s="861">
        <f>E23+E24+E25+E21</f>
        <v>0</v>
      </c>
      <c r="F43" s="861">
        <f>F23+F24+F25+F21</f>
        <v>0</v>
      </c>
      <c r="G43" s="861">
        <f>G23+G24+G25+G21</f>
        <v>0</v>
      </c>
      <c r="H43" s="861">
        <f>H23+H24+H25+H21</f>
        <v>0</v>
      </c>
    </row>
    <row r="44" spans="1:13" ht="17.100000000000001" customHeight="1" thickBot="1" x14ac:dyDescent="0.3">
      <c r="A44" s="2288" t="s">
        <v>1629</v>
      </c>
      <c r="B44" s="2288"/>
      <c r="C44" s="2288"/>
      <c r="D44" s="862">
        <f>D20+SUM(D27:D29)+SUM(D31:D34)</f>
        <v>0</v>
      </c>
      <c r="E44" s="862">
        <f>E20+SUM(E27:E29)+SUM(E31:E34)</f>
        <v>0</v>
      </c>
      <c r="F44" s="862">
        <f>F20+SUM(F27:F29)+SUM(F31:F34)</f>
        <v>0</v>
      </c>
      <c r="G44" s="862">
        <f>G20+SUM(G27:G29)+SUM(G31:G34)</f>
        <v>0</v>
      </c>
      <c r="H44" s="862">
        <f>H20+SUM(H27:H29)+SUM(H31:H34)</f>
        <v>0</v>
      </c>
    </row>
    <row r="45" spans="1:13" ht="17.100000000000001" customHeight="1" thickBot="1" x14ac:dyDescent="0.3">
      <c r="A45" s="2288" t="s">
        <v>1630</v>
      </c>
      <c r="B45" s="2288"/>
      <c r="C45" s="2288"/>
      <c r="D45" s="1836">
        <f>SUM(D43:D44)</f>
        <v>0</v>
      </c>
      <c r="E45" s="1836">
        <f>SUM(E43:E44)</f>
        <v>0</v>
      </c>
      <c r="F45" s="1836">
        <f>SUM(F43:F44)</f>
        <v>0</v>
      </c>
      <c r="G45" s="1836">
        <f>SUM(G43:G44)</f>
        <v>0</v>
      </c>
      <c r="H45" s="1836">
        <f>SUM(H43:H44)</f>
        <v>0</v>
      </c>
    </row>
    <row r="46" spans="1:13" ht="17.100000000000001" customHeight="1" thickTop="1" x14ac:dyDescent="0.25">
      <c r="A46" s="2650" t="s">
        <v>1631</v>
      </c>
      <c r="B46" s="2650"/>
      <c r="C46" s="2650"/>
      <c r="D46" s="567"/>
      <c r="E46" s="567" t="str">
        <f>IF(E47&lt;&gt;0,"Out of Balance","")</f>
        <v/>
      </c>
      <c r="F46" s="567" t="str">
        <f>IF(F47&lt;&gt;0,"Out of Balance","")</f>
        <v/>
      </c>
      <c r="G46" s="567" t="str">
        <f>IF(G47&lt;&gt;0,"Out of Balance","")</f>
        <v/>
      </c>
      <c r="H46" s="567" t="str">
        <f>IF(H47&lt;&gt;0,"Out of Balance","")</f>
        <v/>
      </c>
    </row>
    <row r="48" spans="1:13" x14ac:dyDescent="0.25">
      <c r="A48" s="159" t="s">
        <v>1650</v>
      </c>
      <c r="B48"/>
      <c r="C48"/>
      <c r="D48"/>
      <c r="E48"/>
      <c r="F48"/>
    </row>
    <row r="49" spans="1:8" x14ac:dyDescent="0.25">
      <c r="A49" s="159" t="s">
        <v>1651</v>
      </c>
      <c r="B49"/>
      <c r="C49"/>
      <c r="D49"/>
      <c r="E49"/>
      <c r="F49"/>
    </row>
    <row r="50" spans="1:8" ht="7.5" customHeight="1" x14ac:dyDescent="0.25">
      <c r="A50" s="159"/>
      <c r="B50"/>
      <c r="C50"/>
      <c r="D50"/>
      <c r="E50"/>
      <c r="F50"/>
    </row>
    <row r="51" spans="1:8" x14ac:dyDescent="0.25">
      <c r="A51" s="2251"/>
      <c r="B51" s="2251"/>
      <c r="C51" s="2251"/>
      <c r="D51" s="2251"/>
      <c r="E51" s="2251"/>
      <c r="F51" s="2251"/>
      <c r="G51" s="2251"/>
      <c r="H51" s="2251"/>
    </row>
    <row r="52" spans="1:8" x14ac:dyDescent="0.25">
      <c r="A52" s="2247"/>
      <c r="B52" s="2247"/>
      <c r="C52" s="2247"/>
      <c r="D52" s="2247"/>
      <c r="E52" s="2247"/>
      <c r="F52" s="2247"/>
      <c r="G52" s="2247"/>
      <c r="H52" s="2247"/>
    </row>
    <row r="53" spans="1:8" x14ac:dyDescent="0.25">
      <c r="A53" s="2247"/>
      <c r="B53" s="2247"/>
      <c r="C53" s="2247"/>
      <c r="D53" s="2247"/>
      <c r="E53" s="2247"/>
      <c r="F53" s="2247"/>
      <c r="G53" s="2247"/>
      <c r="H53" s="2247"/>
    </row>
    <row r="54" spans="1:8" x14ac:dyDescent="0.25">
      <c r="A54" s="2247"/>
      <c r="B54" s="2247"/>
      <c r="C54" s="2247"/>
      <c r="D54" s="2247"/>
      <c r="E54" s="2247"/>
      <c r="F54" s="2247"/>
      <c r="G54" s="2247"/>
      <c r="H54" s="2247"/>
    </row>
  </sheetData>
  <sheetProtection algorithmName="SHA-512" hashValue="GTobKV4nGb7ExNRBqw4T5uMLDYLGUIi4DgMiEzOtWKvlNOG4vpzdu8BNI0LE+XDkOXSna2XAIC2Pm/48251moQ==" saltValue="bF+kgMtz77LmlkPs/+WOnw==" spinCount="100000" sheet="1" objects="1" scenarios="1" autoFilter="0"/>
  <customSheetViews>
    <customSheetView guid="{9FCFC836-1CA5-48BF-958D-24D2EA94B219}" fitToPage="1" topLeftCell="A13">
      <selection activeCell="A28" sqref="A28:C28"/>
      <pageMargins left="0" right="0" top="0" bottom="0" header="0" footer="0"/>
      <pageSetup scale="83" orientation="portrait" r:id="rId1"/>
      <headerFooter>
        <oddFooter>&amp;R&amp;A</oddFooter>
      </headerFooter>
    </customSheetView>
    <customSheetView guid="{B08879A4-635B-4C39-9937-AC7883D562FC}" fitToPage="1" topLeftCell="A13">
      <selection activeCell="A28" sqref="A28:C28"/>
      <pageMargins left="0" right="0" top="0" bottom="0" header="0" footer="0"/>
      <pageSetup scale="83" orientation="portrait" r:id="rId2"/>
      <headerFooter>
        <oddFooter>&amp;R&amp;A</oddFooter>
      </headerFooter>
    </customSheetView>
  </customSheetViews>
  <mergeCells count="33">
    <mergeCell ref="A14:H14"/>
    <mergeCell ref="J21:K21"/>
    <mergeCell ref="F7:I7"/>
    <mergeCell ref="F8:I8"/>
    <mergeCell ref="F9:I9"/>
    <mergeCell ref="A17:C17"/>
    <mergeCell ref="D18:D19"/>
    <mergeCell ref="E18:E19"/>
    <mergeCell ref="F18:F19"/>
    <mergeCell ref="G18:G19"/>
    <mergeCell ref="H18:H19"/>
    <mergeCell ref="A1:H1"/>
    <mergeCell ref="A2:H2"/>
    <mergeCell ref="A3:H3"/>
    <mergeCell ref="A4:H4"/>
    <mergeCell ref="F6:I6"/>
    <mergeCell ref="J34:K35"/>
    <mergeCell ref="A35:C35"/>
    <mergeCell ref="A20:C20"/>
    <mergeCell ref="A23:C23"/>
    <mergeCell ref="A24:C24"/>
    <mergeCell ref="A25:C25"/>
    <mergeCell ref="A27:C27"/>
    <mergeCell ref="A28:C28"/>
    <mergeCell ref="J20:K20"/>
    <mergeCell ref="A21:C21"/>
    <mergeCell ref="D42:H42"/>
    <mergeCell ref="A46:C46"/>
    <mergeCell ref="A29:C29"/>
    <mergeCell ref="A31:C31"/>
    <mergeCell ref="A32:C32"/>
    <mergeCell ref="A33:C33"/>
    <mergeCell ref="A34:C34"/>
  </mergeCells>
  <conditionalFormatting sqref="H5">
    <cfRule type="cellIs" dxfId="94" priority="1" stopIfTrue="1" operator="equal">
      <formula>"na"</formula>
    </cfRule>
  </conditionalFormatting>
  <conditionalFormatting sqref="I1:I3">
    <cfRule type="cellIs" dxfId="93" priority="4" stopIfTrue="1" operator="equal">
      <formula>"na"</formula>
    </cfRule>
  </conditionalFormatting>
  <conditionalFormatting sqref="I2:J3">
    <cfRule type="cellIs" dxfId="92" priority="5" stopIfTrue="1" operator="equal">
      <formula>"na"</formula>
    </cfRule>
  </conditionalFormatting>
  <dataValidations count="4">
    <dataValidation type="decimal" operator="greaterThanOrEqual" allowBlank="1" showInputMessage="1" showErrorMessage="1" errorTitle="Invalid Data" error="Amount cannot be negative" sqref="D23:H25 D20:H21 D31:H33 D27:H29" xr:uid="{00000000-0002-0000-1E00-000000000000}">
      <formula1>0</formula1>
    </dataValidation>
    <dataValidation type="list" allowBlank="1" showInputMessage="1" showErrorMessage="1" sqref="B30:C30 B26:C26" xr:uid="{00000000-0002-0000-1E00-000001000000}">
      <formula1>function</formula1>
    </dataValidation>
    <dataValidation type="decimal" operator="lessThanOrEqual" allowBlank="1" showInputMessage="1" showErrorMessage="1" errorTitle="Invalid Data" error="Cannot have positive &quot;Unassigned&quot; fund balance in funds other than the General Fund" sqref="D34:H34" xr:uid="{00000000-0002-0000-1E00-000002000000}">
      <formula1>0</formula1>
    </dataValidation>
    <dataValidation type="textLength" operator="equal" allowBlank="1" showInputMessage="1" showErrorMessage="1" errorTitle="Invalid data!" error="GASB number must be 4 digits." sqref="D17:H17" xr:uid="{00000000-0002-0000-1E00-000003000000}">
      <formula1>4</formula1>
    </dataValidation>
  </dataValidations>
  <hyperlinks>
    <hyperlink ref="A1:H1" location="Index!A1" display="Index!A1" xr:uid="{00000000-0004-0000-1E00-000000000000}"/>
    <hyperlink ref="D12" r:id="rId3" xr:uid="{E2ABBDA3-5EAB-42B5-B541-EF5D7E55E48E}"/>
  </hyperlinks>
  <pageMargins left="0.6" right="0.6" top="0.5" bottom="0.5" header="0.3" footer="0.3"/>
  <pageSetup scale="84" fitToHeight="0" orientation="portrait" r:id="rId4"/>
  <rowBreaks count="1" manualBreakCount="1">
    <brk id="55"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pageSetUpPr fitToPage="1"/>
  </sheetPr>
  <dimension ref="A1:M49"/>
  <sheetViews>
    <sheetView zoomScaleNormal="100" workbookViewId="0">
      <selection activeCell="A2" sqref="A2:H2"/>
    </sheetView>
  </sheetViews>
  <sheetFormatPr defaultColWidth="9.42578125" defaultRowHeight="15" x14ac:dyDescent="0.25"/>
  <cols>
    <col min="1" max="1" width="12.5703125" style="488" customWidth="1"/>
    <col min="2" max="2" width="8.5703125" style="488" customWidth="1"/>
    <col min="3" max="3" width="12.42578125" style="488" customWidth="1"/>
    <col min="4" max="8" width="15.5703125" style="488" customWidth="1"/>
    <col min="9" max="9" width="1.42578125" style="488" customWidth="1"/>
    <col min="10" max="10" width="4" style="488" customWidth="1"/>
    <col min="11" max="11" width="52.5703125" style="488" customWidth="1"/>
    <col min="12" max="13" width="11.85546875" style="488" bestFit="1" customWidth="1"/>
    <col min="14" max="16384" width="9.42578125" style="488"/>
  </cols>
  <sheetData>
    <row r="1" spans="1:9" ht="18" customHeight="1" x14ac:dyDescent="0.25">
      <c r="A1" s="2455" t="str">
        <f>Index!A1</f>
        <v xml:space="preserve">                                                               Office of the State Controller                                                                </v>
      </c>
      <c r="B1" s="2455"/>
      <c r="C1" s="2455"/>
      <c r="D1" s="2455"/>
      <c r="E1" s="2455"/>
      <c r="F1" s="2455"/>
      <c r="G1" s="2455"/>
      <c r="H1" s="2455"/>
      <c r="I1" s="881"/>
    </row>
    <row r="2" spans="1:9" ht="18" customHeight="1" x14ac:dyDescent="0.25">
      <c r="A2" s="2681" t="str">
        <f>Index!A2</f>
        <v>2023 ACFR Worksheets</v>
      </c>
      <c r="B2" s="2681"/>
      <c r="C2" s="2681"/>
      <c r="D2" s="2681"/>
      <c r="E2" s="2681"/>
      <c r="F2" s="2681"/>
      <c r="G2" s="2681"/>
      <c r="H2" s="2681"/>
    </row>
    <row r="3" spans="1:9" ht="18" customHeight="1" x14ac:dyDescent="0.25">
      <c r="A3" s="2681" t="s">
        <v>1590</v>
      </c>
      <c r="B3" s="2681"/>
      <c r="C3" s="2681"/>
      <c r="D3" s="2681"/>
      <c r="E3" s="2681"/>
      <c r="F3" s="2681"/>
      <c r="G3" s="2681"/>
      <c r="H3" s="2681"/>
    </row>
    <row r="4" spans="1:9" ht="18" customHeight="1" x14ac:dyDescent="0.25">
      <c r="A4" s="2681" t="s">
        <v>1652</v>
      </c>
      <c r="B4" s="2681"/>
      <c r="C4" s="2681"/>
      <c r="D4" s="2681"/>
      <c r="E4" s="2681"/>
      <c r="F4" s="2681"/>
      <c r="G4" s="2681"/>
      <c r="H4" s="2681"/>
    </row>
    <row r="5" spans="1:9" ht="18" customHeight="1" x14ac:dyDescent="0.25">
      <c r="A5" s="1112"/>
      <c r="B5" s="1112"/>
      <c r="C5" s="1112"/>
      <c r="D5" s="1112"/>
      <c r="E5" s="1112"/>
      <c r="F5" s="561" t="s">
        <v>1592</v>
      </c>
      <c r="G5" s="1112"/>
      <c r="H5" s="886" t="str">
        <f>IF(Index!$B$57="na", "NA", "")</f>
        <v/>
      </c>
    </row>
    <row r="6" spans="1:9" ht="18" customHeight="1" x14ac:dyDescent="0.25">
      <c r="A6" s="1112"/>
      <c r="B6" s="1112"/>
      <c r="C6" s="1827"/>
      <c r="D6" s="1112"/>
      <c r="E6" s="1111" t="s">
        <v>317</v>
      </c>
      <c r="F6" s="2454" t="str">
        <f>+Index!$E$10</f>
        <v>01</v>
      </c>
      <c r="G6" s="2454"/>
      <c r="H6" s="2454"/>
      <c r="I6" s="2454"/>
    </row>
    <row r="7" spans="1:9" ht="18" customHeight="1" x14ac:dyDescent="0.25">
      <c r="A7" s="1112"/>
      <c r="B7" s="1112"/>
      <c r="C7" s="1112"/>
      <c r="D7" s="1112"/>
      <c r="E7" s="1111" t="s">
        <v>318</v>
      </c>
      <c r="F7" s="2451" t="str">
        <f>+Index!$E$11</f>
        <v>North Carolina General Assembly</v>
      </c>
      <c r="G7" s="2451"/>
      <c r="H7" s="2451"/>
      <c r="I7" s="2451"/>
    </row>
    <row r="8" spans="1:9" ht="18" customHeight="1" x14ac:dyDescent="0.25">
      <c r="A8" s="1112" t="s">
        <v>568</v>
      </c>
      <c r="B8" s="1112"/>
      <c r="C8" s="1828" t="s">
        <v>1653</v>
      </c>
      <c r="D8" s="1112"/>
      <c r="E8" s="1111" t="s">
        <v>319</v>
      </c>
      <c r="F8" s="2448" t="str">
        <f>CONCATENATE(Index!$E$12," ",Index!$E$14)</f>
        <v xml:space="preserve"> </v>
      </c>
      <c r="G8" s="2448"/>
      <c r="H8" s="2448"/>
      <c r="I8" s="2448"/>
    </row>
    <row r="9" spans="1:9" ht="18" customHeight="1" x14ac:dyDescent="0.25">
      <c r="A9" s="1112"/>
      <c r="B9" s="1112"/>
      <c r="C9" s="1827"/>
      <c r="D9" s="1112"/>
      <c r="E9" s="1111" t="s">
        <v>71</v>
      </c>
      <c r="F9" s="2448">
        <f>+Index!$E$13</f>
        <v>0</v>
      </c>
      <c r="G9" s="2448"/>
      <c r="H9" s="2448"/>
      <c r="I9" s="2448"/>
    </row>
    <row r="10" spans="1:9" ht="14.1" customHeight="1" thickBot="1" x14ac:dyDescent="0.3">
      <c r="A10" s="1829"/>
      <c r="B10" s="1829"/>
      <c r="C10" s="1829"/>
      <c r="D10" s="1829"/>
      <c r="E10" s="1829"/>
      <c r="F10" s="1829"/>
      <c r="G10" s="1829"/>
      <c r="H10" s="1829"/>
    </row>
    <row r="11" spans="1:9" x14ac:dyDescent="0.25">
      <c r="A11" s="1112"/>
      <c r="B11" s="1112"/>
      <c r="C11" s="1112"/>
      <c r="D11" s="1112"/>
      <c r="E11" s="1112"/>
      <c r="F11" s="1112"/>
      <c r="G11" s="1112"/>
      <c r="H11" s="1112"/>
    </row>
    <row r="12" spans="1:9" x14ac:dyDescent="0.25">
      <c r="A12" s="1112" t="s">
        <v>1515</v>
      </c>
      <c r="B12" s="1112"/>
      <c r="C12" s="692" t="s">
        <v>1634</v>
      </c>
      <c r="D12" s="692"/>
      <c r="E12" s="1112"/>
      <c r="G12" s="1112"/>
      <c r="H12" s="1112"/>
    </row>
    <row r="13" spans="1:9" ht="17.100000000000001" customHeight="1" x14ac:dyDescent="0.25">
      <c r="A13" s="1112"/>
      <c r="B13" s="1112"/>
      <c r="C13" s="1112"/>
      <c r="D13" s="1112"/>
      <c r="E13" s="1112"/>
      <c r="F13" s="1112"/>
      <c r="G13" s="1112"/>
      <c r="H13" s="1112"/>
    </row>
    <row r="14" spans="1:9" ht="30" customHeight="1" x14ac:dyDescent="0.25">
      <c r="A14" s="2673" t="s">
        <v>1635</v>
      </c>
      <c r="B14" s="2674"/>
      <c r="C14" s="2675"/>
      <c r="D14" s="2675"/>
      <c r="E14" s="2675"/>
      <c r="F14" s="2675"/>
      <c r="G14" s="2675"/>
      <c r="H14" s="2676"/>
    </row>
    <row r="15" spans="1:9" ht="17.100000000000001" customHeight="1" x14ac:dyDescent="0.25">
      <c r="A15" s="1830"/>
      <c r="B15" s="1830"/>
      <c r="C15" s="562"/>
      <c r="D15" s="562"/>
      <c r="E15" s="562"/>
      <c r="F15" s="562"/>
      <c r="G15" s="562"/>
      <c r="H15" s="562"/>
    </row>
    <row r="16" spans="1:9" x14ac:dyDescent="0.25">
      <c r="A16" s="1112"/>
      <c r="B16" s="1112"/>
      <c r="C16" s="1112"/>
      <c r="D16" s="563" t="s">
        <v>1596</v>
      </c>
      <c r="E16" s="564" t="s">
        <v>1596</v>
      </c>
      <c r="F16" s="564" t="s">
        <v>1596</v>
      </c>
      <c r="G16" s="564" t="s">
        <v>1596</v>
      </c>
      <c r="H16" s="564" t="s">
        <v>1596</v>
      </c>
    </row>
    <row r="17" spans="1:13" x14ac:dyDescent="0.25">
      <c r="A17" s="2677" t="s">
        <v>1597</v>
      </c>
      <c r="B17" s="2677"/>
      <c r="C17" s="2677"/>
      <c r="D17" s="724"/>
      <c r="E17" s="1838"/>
      <c r="F17" s="724"/>
      <c r="G17" s="724"/>
      <c r="H17" s="1839"/>
    </row>
    <row r="18" spans="1:13" ht="17.100000000000001" customHeight="1" x14ac:dyDescent="0.25">
      <c r="A18" s="489" t="s">
        <v>1598</v>
      </c>
      <c r="B18" s="2288"/>
      <c r="C18" s="2292"/>
      <c r="D18" s="2678"/>
      <c r="E18" s="2678"/>
      <c r="F18" s="2678"/>
      <c r="G18" s="2678"/>
      <c r="H18" s="2678"/>
    </row>
    <row r="19" spans="1:13" ht="17.100000000000001" customHeight="1" x14ac:dyDescent="0.25">
      <c r="A19" s="2288" t="s">
        <v>1599</v>
      </c>
      <c r="B19" s="2288"/>
      <c r="C19" s="2292"/>
      <c r="D19" s="2679"/>
      <c r="E19" s="2679"/>
      <c r="F19" s="2679"/>
      <c r="G19" s="2679"/>
      <c r="H19" s="2679"/>
      <c r="L19" s="1495"/>
    </row>
    <row r="20" spans="1:13" ht="17.100000000000001" customHeight="1" x14ac:dyDescent="0.25">
      <c r="A20" s="2665" t="s">
        <v>1654</v>
      </c>
      <c r="B20" s="2665"/>
      <c r="C20" s="2665"/>
      <c r="D20" s="1844"/>
      <c r="E20" s="1832"/>
      <c r="F20" s="1832"/>
      <c r="G20" s="1832"/>
      <c r="H20" s="1832"/>
      <c r="L20" s="1495"/>
      <c r="M20" s="1495"/>
    </row>
    <row r="21" spans="1:13" ht="17.100000000000001" customHeight="1" x14ac:dyDescent="0.25">
      <c r="A21" s="2651" t="s">
        <v>1614</v>
      </c>
      <c r="B21" s="2651"/>
      <c r="C21" s="2651"/>
      <c r="D21" s="1842"/>
      <c r="E21" s="1842"/>
      <c r="F21" s="1842"/>
      <c r="G21" s="1842"/>
      <c r="H21" s="1843"/>
      <c r="L21" s="1495" t="s">
        <v>1605</v>
      </c>
      <c r="M21" s="1495" t="str">
        <f t="shared" ref="M21" si="0">IF(A21="General Government","Gen Gov",
IF(A21="Primary and secondary education","Prim Sec Ed",
IF(A21="Higher Education","Higher Ed",
IF(A21="Higher education student aid","Higher Ed stu aid",
IF(A21="Health and human services","HHS",
IF(A21="Economic development","Econ Dev",
IF(A21="Environment and natural resources","ENR",
IF(A21="Public safety, corrections, and regulation","Public Safety",
IF(A21="Transportation","Trans",
IF(A21="Highway construction/preservation","Highway Const",
IF(A21="Highway maintenance","Highway Const",
IF(A21="Debt Service","Debt Serv",
IF(A21="Agriculture","Agric",
IF(A21="Capital projects/repairs and renovations","CapProjectsReno",
IF(A21="Disaster relief (OSC only)","Relief",
IF(A21="Subsequent year's budget (OSC only)","SubsYearBudget",
"No Function"))))))))))))))))</f>
        <v>No Function</v>
      </c>
    </row>
    <row r="22" spans="1:13" ht="28.35" customHeight="1" x14ac:dyDescent="0.25">
      <c r="A22" s="2665" t="s">
        <v>1600</v>
      </c>
      <c r="B22" s="2665"/>
      <c r="C22" s="2665"/>
      <c r="D22" s="1842"/>
      <c r="E22" s="1842"/>
      <c r="F22" s="1842"/>
      <c r="G22" s="1842"/>
      <c r="H22" s="1843"/>
      <c r="J22" s="2666" t="s">
        <v>1601</v>
      </c>
      <c r="K22" s="2666"/>
      <c r="L22" s="1495" t="s">
        <v>1602</v>
      </c>
      <c r="M22" s="1495" t="s">
        <v>673</v>
      </c>
    </row>
    <row r="23" spans="1:13" ht="17.100000000000001" customHeight="1" x14ac:dyDescent="0.25">
      <c r="A23" s="2288" t="s">
        <v>1613</v>
      </c>
      <c r="B23" s="2292"/>
      <c r="C23" s="2292"/>
      <c r="D23" s="1844"/>
      <c r="E23" s="1832"/>
      <c r="F23" s="1832"/>
      <c r="G23" s="1832"/>
      <c r="H23" s="1832"/>
      <c r="J23" s="2669"/>
      <c r="K23" s="2669"/>
      <c r="L23" s="1495"/>
      <c r="M23" s="1495"/>
    </row>
    <row r="24" spans="1:13" ht="17.100000000000001" customHeight="1" x14ac:dyDescent="0.25">
      <c r="A24" s="2651" t="s">
        <v>1614</v>
      </c>
      <c r="B24" s="2651"/>
      <c r="C24" s="2651"/>
      <c r="D24" s="1842"/>
      <c r="E24" s="1842"/>
      <c r="F24" s="1842"/>
      <c r="G24" s="1842"/>
      <c r="H24" s="1842"/>
      <c r="J24" s="2669"/>
      <c r="K24" s="2669"/>
      <c r="L24" s="1495" t="s">
        <v>1615</v>
      </c>
      <c r="M24" s="1495" t="str">
        <f>IF(A24="General Government","Gen Gov",
IF(A24="Primary and secondary education","Prim Sec Ed",
IF(A24="Higher Education","Higher Ed",
IF(A24="Higher education student aid","Higher Ed stu aid",
IF(A24="Health and human services","HHS",
IF(A24="Economic development","Econ Dev",
IF(A24="Environment and natural resources","ENR",
IF(A24="Public safety, corrections, and regulation","Public Safety",
IF(A24="Transportation","Trans",
IF(A24="Highway construction/preservation","Highway Const",
IF(A24="Highway maintenance","Highway Const",
IF(A24="Debt Service","Debt Serv",
IF(A24="Agriculture","Agric",
IF(A24="Capital projects/repairs and renovations","CapProjectsReno",
IF(A24="Disaster relief (OSC only)","Relief",
IF(A24="Subsequent year's budget (OSC only)","SubsYearBudget",
"No Function"))))))))))))))))</f>
        <v>No Function</v>
      </c>
    </row>
    <row r="25" spans="1:13" ht="17.100000000000001" customHeight="1" x14ac:dyDescent="0.25">
      <c r="A25" s="2651" t="s">
        <v>1614</v>
      </c>
      <c r="B25" s="2651"/>
      <c r="C25" s="2651"/>
      <c r="D25" s="1842"/>
      <c r="E25" s="1842"/>
      <c r="F25" s="1842"/>
      <c r="G25" s="1842"/>
      <c r="H25" s="1843"/>
      <c r="J25" s="2670"/>
      <c r="K25" s="2670"/>
      <c r="L25" s="1495" t="s">
        <v>1615</v>
      </c>
      <c r="M25" s="1495" t="str">
        <f t="shared" ref="M25:M34" si="1">IF(A25="General Government","Gen Gov",
IF(A25="Primary and secondary education","Prim Sec Ed",
IF(A25="Higher Education","Higher Ed",
IF(A25="Higher education student aid","Higher Ed stu aid",
IF(A25="Health and human services","HHS",
IF(A25="Economic development","Econ Dev",
IF(A25="Environment and natural resources","ENR",
IF(A25="Public safety, corrections, and regulation","Public Safety",
IF(A25="Transportation","Trans",
IF(A25="Highway construction/preservation","Highway Const",
IF(A25="Highway maintenance","Highway Const",
IF(A25="Debt Service","Debt Serv",
IF(A25="Agriculture","Agric",
IF(A25="Capital projects/repairs and renovations","CapProjectsReno",
IF(A25="Disaster relief (OSC only)","Relief",
IF(A25="Subsequent year's budget (OSC only)","SubsYearBudget",
"No Function"))))))))))))))))</f>
        <v>No Function</v>
      </c>
    </row>
    <row r="26" spans="1:13" ht="17.100000000000001" customHeight="1" x14ac:dyDescent="0.25">
      <c r="A26" s="2651" t="s">
        <v>1614</v>
      </c>
      <c r="B26" s="2651"/>
      <c r="C26" s="2651"/>
      <c r="D26" s="1842"/>
      <c r="E26" s="1842"/>
      <c r="F26" s="1842"/>
      <c r="G26" s="1842"/>
      <c r="H26" s="1843"/>
      <c r="L26" s="1495" t="s">
        <v>1615</v>
      </c>
      <c r="M26" s="1495" t="str">
        <f t="shared" si="1"/>
        <v>No Function</v>
      </c>
    </row>
    <row r="27" spans="1:13" ht="17.100000000000001" customHeight="1" x14ac:dyDescent="0.25">
      <c r="A27" s="2288" t="s">
        <v>1616</v>
      </c>
      <c r="B27" s="2287"/>
      <c r="C27" s="2287"/>
      <c r="D27" s="1844"/>
      <c r="E27" s="1844"/>
      <c r="F27" s="1844"/>
      <c r="G27" s="1844"/>
      <c r="H27" s="1832"/>
      <c r="L27" s="1495"/>
      <c r="M27" s="1495"/>
    </row>
    <row r="28" spans="1:13" ht="17.100000000000001" customHeight="1" x14ac:dyDescent="0.25">
      <c r="A28" s="2651" t="s">
        <v>1614</v>
      </c>
      <c r="B28" s="2651"/>
      <c r="C28" s="2651"/>
      <c r="D28" s="1842"/>
      <c r="E28" s="1842"/>
      <c r="F28" s="1842"/>
      <c r="G28" s="1842"/>
      <c r="H28" s="1843"/>
      <c r="L28" s="1495" t="s">
        <v>1617</v>
      </c>
      <c r="M28" s="1495" t="str">
        <f t="shared" si="1"/>
        <v>No Function</v>
      </c>
    </row>
    <row r="29" spans="1:13" ht="17.100000000000001" customHeight="1" x14ac:dyDescent="0.25">
      <c r="A29" s="2651" t="s">
        <v>1614</v>
      </c>
      <c r="B29" s="2651"/>
      <c r="C29" s="2651"/>
      <c r="D29" s="1842"/>
      <c r="E29" s="1842"/>
      <c r="F29" s="1842"/>
      <c r="G29" s="1842"/>
      <c r="H29" s="1842"/>
      <c r="L29" s="1495" t="s">
        <v>1617</v>
      </c>
      <c r="M29" s="1495" t="str">
        <f t="shared" si="1"/>
        <v>No Function</v>
      </c>
    </row>
    <row r="30" spans="1:13" ht="17.100000000000001" customHeight="1" x14ac:dyDescent="0.25">
      <c r="A30" s="2651" t="s">
        <v>1614</v>
      </c>
      <c r="B30" s="2651"/>
      <c r="C30" s="2651"/>
      <c r="D30" s="1842"/>
      <c r="E30" s="1842"/>
      <c r="F30" s="1842"/>
      <c r="G30" s="1842"/>
      <c r="H30" s="1843"/>
      <c r="L30" s="1495" t="s">
        <v>1617</v>
      </c>
      <c r="M30" s="1495" t="str">
        <f t="shared" si="1"/>
        <v>No Function</v>
      </c>
    </row>
    <row r="31" spans="1:13" ht="17.100000000000001" customHeight="1" x14ac:dyDescent="0.25">
      <c r="A31" s="2288" t="s">
        <v>1618</v>
      </c>
      <c r="B31" s="2287"/>
      <c r="C31" s="2287"/>
      <c r="D31" s="1844"/>
      <c r="E31" s="1844"/>
      <c r="F31" s="1844"/>
      <c r="G31" s="1844"/>
      <c r="H31" s="1832"/>
      <c r="L31" s="1495"/>
      <c r="M31" s="1495"/>
    </row>
    <row r="32" spans="1:13" ht="17.100000000000001" customHeight="1" x14ac:dyDescent="0.25">
      <c r="A32" s="2651" t="s">
        <v>1614</v>
      </c>
      <c r="B32" s="2651"/>
      <c r="C32" s="2651"/>
      <c r="D32" s="1842"/>
      <c r="E32" s="1842"/>
      <c r="F32" s="1842"/>
      <c r="G32" s="1842"/>
      <c r="H32" s="1843"/>
      <c r="L32" s="1495" t="s">
        <v>1619</v>
      </c>
      <c r="M32" s="1495" t="str">
        <f t="shared" si="1"/>
        <v>No Function</v>
      </c>
    </row>
    <row r="33" spans="1:13" ht="17.100000000000001" customHeight="1" x14ac:dyDescent="0.25">
      <c r="A33" s="2651" t="s">
        <v>1614</v>
      </c>
      <c r="B33" s="2651"/>
      <c r="C33" s="2651"/>
      <c r="D33" s="1842"/>
      <c r="E33" s="1842"/>
      <c r="F33" s="1842"/>
      <c r="G33" s="1842"/>
      <c r="H33" s="1843"/>
      <c r="L33" s="1495" t="s">
        <v>1619</v>
      </c>
      <c r="M33" s="1495" t="str">
        <f t="shared" si="1"/>
        <v>No Function</v>
      </c>
    </row>
    <row r="34" spans="1:13" ht="17.100000000000001" customHeight="1" x14ac:dyDescent="0.25">
      <c r="A34" s="2651" t="s">
        <v>1614</v>
      </c>
      <c r="B34" s="2651"/>
      <c r="C34" s="2651"/>
      <c r="D34" s="1842"/>
      <c r="E34" s="1842"/>
      <c r="F34" s="1842"/>
      <c r="G34" s="1842"/>
      <c r="H34" s="1843"/>
      <c r="L34" s="1495" t="s">
        <v>1619</v>
      </c>
      <c r="M34" s="1495" t="str">
        <f t="shared" si="1"/>
        <v>No Function</v>
      </c>
    </row>
    <row r="35" spans="1:13" ht="17.100000000000001" customHeight="1" x14ac:dyDescent="0.25">
      <c r="A35" s="2652" t="s">
        <v>1639</v>
      </c>
      <c r="B35" s="2653"/>
      <c r="C35" s="2654"/>
      <c r="D35" s="1842"/>
      <c r="E35" s="1842"/>
      <c r="F35" s="1842"/>
      <c r="G35" s="1842"/>
      <c r="H35" s="1843"/>
      <c r="I35" s="565"/>
      <c r="J35" s="2655" t="s">
        <v>1640</v>
      </c>
      <c r="K35" s="2656"/>
      <c r="L35" s="1495" t="s">
        <v>1620</v>
      </c>
      <c r="M35" s="1495" t="s">
        <v>673</v>
      </c>
    </row>
    <row r="36" spans="1:13" ht="27.75" customHeight="1" thickBot="1" x14ac:dyDescent="0.3">
      <c r="A36" s="2657" t="s">
        <v>1621</v>
      </c>
      <c r="B36" s="2656"/>
      <c r="C36" s="2658"/>
      <c r="D36" s="1834">
        <f>SUM(D21:D22)+SUM(D24:D26)+SUM(D28:D30)+SUM(D32:D35)</f>
        <v>0</v>
      </c>
      <c r="E36" s="1834">
        <f t="shared" ref="E36:H36" si="2">SUM(E21:E22)+SUM(E24:E26)+SUM(E28:E30)+SUM(E32:E35)</f>
        <v>0</v>
      </c>
      <c r="F36" s="1834">
        <f t="shared" si="2"/>
        <v>0</v>
      </c>
      <c r="G36" s="1834">
        <f t="shared" si="2"/>
        <v>0</v>
      </c>
      <c r="H36" s="1834">
        <f t="shared" si="2"/>
        <v>0</v>
      </c>
      <c r="J36" s="2656"/>
      <c r="K36" s="2656"/>
    </row>
    <row r="37" spans="1:13" ht="12.75" customHeight="1" thickTop="1" x14ac:dyDescent="0.25">
      <c r="A37" s="566"/>
      <c r="B37" s="566"/>
      <c r="C37" s="566"/>
      <c r="D37" s="566"/>
      <c r="E37" s="566"/>
      <c r="F37" s="566"/>
      <c r="G37" s="566"/>
      <c r="H37" s="566"/>
    </row>
    <row r="38" spans="1:13" ht="12.75" customHeight="1" x14ac:dyDescent="0.25">
      <c r="A38" s="489" t="s">
        <v>1622</v>
      </c>
      <c r="B38" s="1835" t="s">
        <v>1623</v>
      </c>
      <c r="C38" s="2292"/>
      <c r="D38" s="2288"/>
      <c r="E38" s="2288"/>
      <c r="F38" s="2288"/>
      <c r="G38" s="2288"/>
      <c r="H38" s="2288"/>
    </row>
    <row r="39" spans="1:13" ht="12.75" customHeight="1" x14ac:dyDescent="0.25">
      <c r="A39" s="489"/>
      <c r="B39" s="1835" t="s">
        <v>1624</v>
      </c>
      <c r="C39" s="2292"/>
      <c r="D39" s="2288"/>
      <c r="E39" s="2288"/>
      <c r="F39" s="2288"/>
      <c r="G39" s="2288"/>
      <c r="H39" s="2288"/>
    </row>
    <row r="40" spans="1:13" ht="12.75" customHeight="1" x14ac:dyDescent="0.25">
      <c r="A40" s="489"/>
      <c r="B40" s="1835" t="s">
        <v>1625</v>
      </c>
      <c r="C40" s="2292"/>
      <c r="D40" s="2288"/>
      <c r="E40" s="2288"/>
      <c r="F40" s="2288"/>
      <c r="G40" s="2288"/>
      <c r="H40" s="2288"/>
    </row>
    <row r="41" spans="1:13" ht="15" customHeight="1" x14ac:dyDescent="0.25">
      <c r="A41" s="489" t="s">
        <v>1626</v>
      </c>
      <c r="B41" s="1835" t="s">
        <v>1627</v>
      </c>
      <c r="C41" s="2292"/>
      <c r="D41" s="2288"/>
      <c r="E41" s="2288"/>
      <c r="F41" s="2288"/>
      <c r="G41" s="2288"/>
      <c r="H41" s="2288"/>
    </row>
    <row r="42" spans="1:13" ht="12.75" customHeight="1" x14ac:dyDescent="0.25">
      <c r="A42" s="489"/>
      <c r="B42" s="2292"/>
      <c r="C42" s="2292"/>
      <c r="D42" s="2288"/>
      <c r="E42" s="2288"/>
      <c r="F42" s="2288"/>
      <c r="G42" s="2288"/>
      <c r="H42" s="2288"/>
    </row>
    <row r="43" spans="1:13" x14ac:dyDescent="0.25">
      <c r="D43" s="2659" t="s">
        <v>1628</v>
      </c>
      <c r="E43" s="2659"/>
      <c r="F43" s="2659"/>
      <c r="G43" s="2659"/>
      <c r="H43" s="2659"/>
    </row>
    <row r="44" spans="1:13" ht="17.100000000000001" customHeight="1" x14ac:dyDescent="0.25">
      <c r="A44" s="2288" t="s">
        <v>1615</v>
      </c>
      <c r="B44" s="2288"/>
      <c r="C44" s="2288"/>
      <c r="D44" s="861">
        <f>D21+D24+D25+D26</f>
        <v>0</v>
      </c>
      <c r="E44" s="861">
        <f t="shared" ref="E44:H44" si="3">E21+E24+E25+E26</f>
        <v>0</v>
      </c>
      <c r="F44" s="861">
        <f t="shared" si="3"/>
        <v>0</v>
      </c>
      <c r="G44" s="861">
        <f t="shared" si="3"/>
        <v>0</v>
      </c>
      <c r="H44" s="861">
        <f t="shared" si="3"/>
        <v>0</v>
      </c>
    </row>
    <row r="45" spans="1:13" ht="17.100000000000001" customHeight="1" thickBot="1" x14ac:dyDescent="0.3">
      <c r="A45" s="2288" t="s">
        <v>1629</v>
      </c>
      <c r="B45" s="2288"/>
      <c r="C45" s="2288"/>
      <c r="D45" s="862">
        <f>D22+SUM(D28:D30)+SUM(D32:D35)</f>
        <v>0</v>
      </c>
      <c r="E45" s="862">
        <f>E22+SUM(E28:E30)+SUM(E32:E35)</f>
        <v>0</v>
      </c>
      <c r="F45" s="862">
        <f>F22+SUM(F28:F30)+SUM(F32:F35)</f>
        <v>0</v>
      </c>
      <c r="G45" s="862">
        <f>G22+SUM(G28:G30)+SUM(G32:G35)</f>
        <v>0</v>
      </c>
      <c r="H45" s="862">
        <f>H22+SUM(H28:H30)+SUM(H32:H35)</f>
        <v>0</v>
      </c>
    </row>
    <row r="46" spans="1:13" ht="17.100000000000001" customHeight="1" thickBot="1" x14ac:dyDescent="0.3">
      <c r="A46" s="2288" t="s">
        <v>1630</v>
      </c>
      <c r="B46" s="2288"/>
      <c r="C46" s="2288"/>
      <c r="D46" s="1836">
        <f>SUM(D44:D45)</f>
        <v>0</v>
      </c>
      <c r="E46" s="1836">
        <f>SUM(E44:E45)</f>
        <v>0</v>
      </c>
      <c r="F46" s="1836">
        <f>SUM(F44:F45)</f>
        <v>0</v>
      </c>
      <c r="G46" s="1836">
        <f>SUM(G44:G45)</f>
        <v>0</v>
      </c>
      <c r="H46" s="1836">
        <f>SUM(H44:H45)</f>
        <v>0</v>
      </c>
    </row>
    <row r="47" spans="1:13" ht="17.100000000000001" customHeight="1" thickTop="1" x14ac:dyDescent="0.25">
      <c r="A47" s="2650" t="s">
        <v>1631</v>
      </c>
      <c r="B47" s="2650"/>
      <c r="C47" s="2650"/>
      <c r="D47" s="567"/>
      <c r="E47" s="567" t="str">
        <f>IF(E48&lt;&gt;0,"Out of Balance","")</f>
        <v/>
      </c>
      <c r="F47" s="567" t="str">
        <f>IF(F48&lt;&gt;0,"Out of Balance","")</f>
        <v/>
      </c>
      <c r="G47" s="567" t="str">
        <f>IF(G48&lt;&gt;0,"Out of Balance","")</f>
        <v/>
      </c>
      <c r="H47" s="567" t="str">
        <f>IF(H48&lt;&gt;0,"Out of Balance","")</f>
        <v/>
      </c>
    </row>
    <row r="48" spans="1:13" x14ac:dyDescent="0.25">
      <c r="J48" s="2684" t="s">
        <v>1655</v>
      </c>
      <c r="K48" s="2684"/>
    </row>
    <row r="49" spans="1:11" x14ac:dyDescent="0.25">
      <c r="A49" s="2683" t="s">
        <v>1656</v>
      </c>
      <c r="B49" s="2683"/>
      <c r="C49" s="488" t="s">
        <v>1657</v>
      </c>
      <c r="G49" s="893"/>
      <c r="H49" s="1847">
        <v>0</v>
      </c>
      <c r="J49" s="2684"/>
      <c r="K49" s="2684"/>
    </row>
  </sheetData>
  <sheetProtection algorithmName="SHA-512" hashValue="rk87XnHiaNYI/X9zXbqwbA+39XfvPOARCuYKOI/EtJNCCs/BdX/0BAxavGeSD25KQ5LtdD9/vjwR1WhosR/7VQ==" saltValue="yH41HQS5G5r+5DjmsDgcsA==" spinCount="100000" sheet="1" objects="1" scenarios="1" autoFilter="0"/>
  <customSheetViews>
    <customSheetView guid="{9FCFC836-1CA5-48BF-958D-24D2EA94B219}" fitToPage="1" topLeftCell="A16">
      <selection activeCell="A29" sqref="A29:C29"/>
      <pageMargins left="0" right="0" top="0" bottom="0" header="0" footer="0"/>
      <pageSetup scale="83" orientation="portrait" r:id="rId1"/>
      <headerFooter>
        <oddFooter>&amp;R&amp;A</oddFooter>
      </headerFooter>
    </customSheetView>
    <customSheetView guid="{B08879A4-635B-4C39-9937-AC7883D562FC}" fitToPage="1" topLeftCell="A16">
      <selection activeCell="A29" sqref="A29:C29"/>
      <pageMargins left="0" right="0" top="0" bottom="0" header="0" footer="0"/>
      <pageSetup scale="83" orientation="portrait" r:id="rId2"/>
      <headerFooter>
        <oddFooter>&amp;R&amp;A</oddFooter>
      </headerFooter>
    </customSheetView>
  </customSheetViews>
  <mergeCells count="36">
    <mergeCell ref="A21:C21"/>
    <mergeCell ref="A1:H1"/>
    <mergeCell ref="A2:H2"/>
    <mergeCell ref="A3:H3"/>
    <mergeCell ref="A4:H4"/>
    <mergeCell ref="F6:I6"/>
    <mergeCell ref="A49:B49"/>
    <mergeCell ref="J48:K49"/>
    <mergeCell ref="F7:I7"/>
    <mergeCell ref="F8:I8"/>
    <mergeCell ref="F9:I9"/>
    <mergeCell ref="A14:H14"/>
    <mergeCell ref="A17:C17"/>
    <mergeCell ref="D18:D19"/>
    <mergeCell ref="E18:E19"/>
    <mergeCell ref="F18:F19"/>
    <mergeCell ref="G18:G19"/>
    <mergeCell ref="H18:H19"/>
    <mergeCell ref="A20:C20"/>
    <mergeCell ref="A22:C22"/>
    <mergeCell ref="A24:C24"/>
    <mergeCell ref="A25:C25"/>
    <mergeCell ref="A47:C47"/>
    <mergeCell ref="A29:C29"/>
    <mergeCell ref="A30:C30"/>
    <mergeCell ref="A32:C32"/>
    <mergeCell ref="A33:C33"/>
    <mergeCell ref="A34:C34"/>
    <mergeCell ref="A35:C35"/>
    <mergeCell ref="J23:K25"/>
    <mergeCell ref="J22:K22"/>
    <mergeCell ref="J35:K36"/>
    <mergeCell ref="A36:C36"/>
    <mergeCell ref="D43:H43"/>
    <mergeCell ref="A28:C28"/>
    <mergeCell ref="A26:C26"/>
  </mergeCells>
  <conditionalFormatting sqref="H5">
    <cfRule type="containsText" dxfId="91" priority="1" stopIfTrue="1" operator="containsText" text="NA">
      <formula>NOT(ISERROR(SEARCH("NA",H5)))</formula>
    </cfRule>
  </conditionalFormatting>
  <conditionalFormatting sqref="I1:I3">
    <cfRule type="cellIs" dxfId="90" priority="2" stopIfTrue="1" operator="equal">
      <formula>"na"</formula>
    </cfRule>
  </conditionalFormatting>
  <conditionalFormatting sqref="I2:J3">
    <cfRule type="cellIs" dxfId="89" priority="3" stopIfTrue="1" operator="equal">
      <formula>"na"</formula>
    </cfRule>
  </conditionalFormatting>
  <dataValidations count="6">
    <dataValidation type="textLength" operator="equal" allowBlank="1" showInputMessage="1" showErrorMessage="1" errorTitle="Invalid data!" error="GASB number must be 4 digits." sqref="D17:H17" xr:uid="{00000000-0002-0000-1F00-000000000000}">
      <formula1>4</formula1>
    </dataValidation>
    <dataValidation type="decimal" operator="lessThanOrEqual" allowBlank="1" showInputMessage="1" showErrorMessage="1" errorTitle="Invalid Data" error="Cannot have positive &quot;Unassigned&quot; fund balance in funds other than the General Fund" sqref="D35:H35" xr:uid="{00000000-0002-0000-1F00-000001000000}">
      <formula1>0</formula1>
    </dataValidation>
    <dataValidation type="list" allowBlank="1" showInputMessage="1" showErrorMessage="1" sqref="A24:A26 B31:C31 B24:C27" xr:uid="{00000000-0002-0000-1F00-000002000000}">
      <formula1>function</formula1>
    </dataValidation>
    <dataValidation type="decimal" operator="greaterThanOrEqual" allowBlank="1" showInputMessage="1" showErrorMessage="1" errorTitle="Invalid Data" error="Amount cannot be negative" sqref="D24:H26 D20:H22 D32:H34 D28:H30" xr:uid="{00000000-0002-0000-1F00-000003000000}">
      <formula1>0</formula1>
    </dataValidation>
    <dataValidation type="list" allowBlank="1" showInputMessage="1" showErrorMessage="1" sqref="A28:C30" xr:uid="{00000000-0002-0000-1F00-000004000000}">
      <formula1>functionC</formula1>
    </dataValidation>
    <dataValidation type="list" allowBlank="1" showInputMessage="1" showErrorMessage="1" sqref="A32:C34" xr:uid="{00000000-0002-0000-1F00-000005000000}">
      <formula1>functionA</formula1>
    </dataValidation>
  </dataValidations>
  <hyperlinks>
    <hyperlink ref="A1:H1" location="Index!A1" display="Index!A1" xr:uid="{00000000-0004-0000-1F00-000000000000}"/>
    <hyperlink ref="C12" r:id="rId3" xr:uid="{77930991-B629-4D77-9F2B-7C254676310D}"/>
  </hyperlinks>
  <pageMargins left="0.6" right="0.6" top="0.5" bottom="0.5" header="0.3" footer="0.3"/>
  <pageSetup scale="84" fitToHeight="0"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39FD1D67-0F11-4339-B45B-E372FD100200}">
          <x14:formula1>
            <xm:f>Notes!$H$51:$H$53</xm:f>
          </x14:formula1>
          <xm:sqref>A21:C21</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6"/>
  <dimension ref="A1:O37"/>
  <sheetViews>
    <sheetView topLeftCell="B1" zoomScaleNormal="100" zoomScaleSheetLayoutView="90" workbookViewId="0">
      <selection activeCell="B2" sqref="B2:I2"/>
    </sheetView>
  </sheetViews>
  <sheetFormatPr defaultRowHeight="12.75" x14ac:dyDescent="0.2"/>
  <cols>
    <col min="1" max="1" width="9.42578125" hidden="1" customWidth="1"/>
    <col min="2" max="2" width="13.5703125" customWidth="1"/>
    <col min="3" max="3" width="8.5703125" customWidth="1"/>
    <col min="4" max="4" width="15.42578125" customWidth="1"/>
    <col min="5" max="7" width="20.42578125" customWidth="1"/>
    <col min="8" max="8" width="20" customWidth="1"/>
    <col min="9" max="9" width="20.42578125" customWidth="1"/>
    <col min="10" max="10" width="4.42578125" customWidth="1"/>
    <col min="11" max="11" width="15.5703125" customWidth="1"/>
    <col min="12" max="12" width="27.42578125" bestFit="1" customWidth="1"/>
    <col min="13" max="13" width="11.85546875" bestFit="1" customWidth="1"/>
  </cols>
  <sheetData>
    <row r="1" spans="1:15" s="80" customFormat="1" ht="15" customHeight="1" x14ac:dyDescent="0.25">
      <c r="A1" s="425"/>
      <c r="B1" s="2455" t="str">
        <f>Index!A1</f>
        <v xml:space="preserve">                                                               Office of the State Controller                                                                </v>
      </c>
      <c r="C1" s="2455"/>
      <c r="D1" s="2455"/>
      <c r="E1" s="2455"/>
      <c r="F1" s="2455"/>
      <c r="G1" s="2455"/>
      <c r="H1" s="2455"/>
      <c r="I1" s="2455"/>
      <c r="J1" s="462"/>
      <c r="K1" s="462"/>
      <c r="L1" s="462"/>
      <c r="M1" s="2456" t="str">
        <f>IF([1]Index!$B$54="na","NA","")</f>
        <v/>
      </c>
      <c r="N1" s="88"/>
      <c r="O1" s="1533" t="s">
        <v>1658</v>
      </c>
    </row>
    <row r="2" spans="1:15" s="80" customFormat="1" ht="15" customHeight="1" x14ac:dyDescent="0.25">
      <c r="A2" s="88"/>
      <c r="B2" s="2689" t="str">
        <f>+Index!$A$2</f>
        <v>2023 ACFR Worksheets</v>
      </c>
      <c r="C2" s="2689"/>
      <c r="D2" s="2689"/>
      <c r="E2" s="2689"/>
      <c r="F2" s="2689"/>
      <c r="G2" s="2689"/>
      <c r="H2" s="2689"/>
      <c r="I2" s="2689"/>
      <c r="J2" s="1327"/>
      <c r="K2" s="1327"/>
      <c r="L2" s="1534"/>
      <c r="M2" s="2456"/>
      <c r="N2" s="88"/>
      <c r="O2" s="88"/>
    </row>
    <row r="3" spans="1:15" s="80" customFormat="1" ht="15" customHeight="1" x14ac:dyDescent="0.25">
      <c r="A3" s="88"/>
      <c r="B3" s="88"/>
      <c r="C3" s="2295"/>
      <c r="D3" s="2295"/>
      <c r="E3" s="2295"/>
      <c r="F3" s="2295" t="s">
        <v>1659</v>
      </c>
      <c r="G3" s="2295"/>
      <c r="H3" s="2295"/>
      <c r="I3" s="886" t="str">
        <f>IF(Index!$B$58="na", "NA", "")</f>
        <v/>
      </c>
      <c r="J3" s="1327"/>
      <c r="K3" s="1327"/>
      <c r="L3" s="1534"/>
      <c r="M3" s="2456"/>
      <c r="N3" s="88"/>
      <c r="O3" s="88"/>
    </row>
    <row r="4" spans="1:15" s="80" customFormat="1" ht="15" customHeight="1" x14ac:dyDescent="0.25">
      <c r="A4" s="88"/>
      <c r="B4" s="2689" t="s">
        <v>1660</v>
      </c>
      <c r="C4" s="2689"/>
      <c r="D4" s="2689"/>
      <c r="E4" s="2689"/>
      <c r="F4" s="2689"/>
      <c r="G4" s="2689"/>
      <c r="H4" s="2689"/>
      <c r="I4" s="2689"/>
      <c r="J4" s="1327"/>
      <c r="K4" s="1327"/>
      <c r="L4" s="1534"/>
      <c r="M4" s="88"/>
      <c r="N4" s="88"/>
      <c r="O4" s="88"/>
    </row>
    <row r="5" spans="1:15" s="80" customFormat="1" ht="15" customHeight="1" x14ac:dyDescent="0.25">
      <c r="A5" s="88"/>
      <c r="B5" s="2295"/>
      <c r="C5" s="2295"/>
      <c r="D5" s="2295"/>
      <c r="E5" s="2295"/>
      <c r="F5" s="2295"/>
      <c r="G5" s="1326" t="s">
        <v>1661</v>
      </c>
      <c r="H5" s="88"/>
      <c r="I5" s="2295"/>
      <c r="J5" s="2295"/>
      <c r="K5" s="2295"/>
      <c r="L5" s="2294"/>
      <c r="M5" s="88"/>
      <c r="N5" s="88"/>
      <c r="O5" s="88"/>
    </row>
    <row r="6" spans="1:15" s="80" customFormat="1" ht="16.5" customHeight="1" x14ac:dyDescent="0.25">
      <c r="A6" s="88"/>
      <c r="B6" s="1328" t="s">
        <v>319</v>
      </c>
      <c r="C6" s="2687"/>
      <c r="D6" s="2687"/>
      <c r="E6" s="2687"/>
      <c r="F6" s="1848" t="s">
        <v>317</v>
      </c>
      <c r="G6" s="2690" t="str">
        <f>+Index!$E$10</f>
        <v>01</v>
      </c>
      <c r="H6" s="2690"/>
      <c r="I6" s="2690"/>
      <c r="J6" s="88"/>
      <c r="K6" s="88"/>
      <c r="L6" s="2294"/>
      <c r="M6" s="88"/>
      <c r="N6" s="88"/>
      <c r="O6" s="88"/>
    </row>
    <row r="7" spans="1:15" s="82" customFormat="1" ht="15.75" customHeight="1" x14ac:dyDescent="0.2">
      <c r="A7" s="159"/>
      <c r="B7" s="1848" t="s">
        <v>71</v>
      </c>
      <c r="C7" s="2688"/>
      <c r="D7" s="2688"/>
      <c r="E7" s="2688"/>
      <c r="F7" s="1848" t="s">
        <v>318</v>
      </c>
      <c r="G7" s="2685" t="str">
        <f>+Index!$E$11</f>
        <v>North Carolina General Assembly</v>
      </c>
      <c r="H7" s="2685"/>
      <c r="I7" s="2685"/>
      <c r="J7" s="81"/>
      <c r="K7" s="81"/>
      <c r="L7" s="566"/>
      <c r="M7" s="159"/>
      <c r="N7" s="159"/>
      <c r="O7" s="159"/>
    </row>
    <row r="8" spans="1:15" s="78" customFormat="1" ht="18" hidden="1" customHeight="1" x14ac:dyDescent="0.2">
      <c r="A8" s="159"/>
      <c r="B8" s="159"/>
      <c r="C8" s="159"/>
      <c r="D8" s="159"/>
      <c r="E8" s="159"/>
      <c r="F8" s="159"/>
      <c r="G8" s="159"/>
      <c r="H8" s="159"/>
      <c r="I8" s="159"/>
      <c r="J8" s="1848"/>
      <c r="K8" s="2691"/>
      <c r="L8" s="2691"/>
      <c r="M8" s="159"/>
      <c r="N8" s="159"/>
      <c r="O8" s="159"/>
    </row>
    <row r="9" spans="1:15" s="78" customFormat="1" ht="9.75" customHeight="1" thickBot="1" x14ac:dyDescent="0.25">
      <c r="A9" s="159"/>
      <c r="B9" s="1826"/>
      <c r="C9" s="1826"/>
      <c r="D9" s="1826"/>
      <c r="E9" s="1826"/>
      <c r="F9" s="1826"/>
      <c r="G9" s="1826"/>
      <c r="H9" s="1826"/>
      <c r="I9" s="1826"/>
      <c r="J9" s="1848"/>
      <c r="K9" s="1849"/>
      <c r="L9" s="1535"/>
      <c r="M9" s="159"/>
      <c r="N9" s="159"/>
      <c r="O9" s="159"/>
    </row>
    <row r="10" spans="1:15" s="78" customFormat="1" ht="15" customHeight="1" x14ac:dyDescent="0.25">
      <c r="A10" s="159"/>
      <c r="B10" s="1112" t="s">
        <v>1515</v>
      </c>
      <c r="C10" s="1112"/>
      <c r="D10" s="1112"/>
      <c r="E10" s="692" t="s">
        <v>1662</v>
      </c>
      <c r="F10" s="1112"/>
      <c r="G10" s="488"/>
      <c r="H10" s="1112"/>
      <c r="I10" s="1112"/>
      <c r="J10" s="159"/>
      <c r="K10" s="1848"/>
      <c r="L10" s="1535"/>
      <c r="M10" s="159"/>
      <c r="N10" s="159"/>
      <c r="O10" s="159"/>
    </row>
    <row r="11" spans="1:15" s="78" customFormat="1" ht="18" customHeight="1" x14ac:dyDescent="0.2">
      <c r="A11" s="159"/>
      <c r="B11" s="1112"/>
      <c r="C11" s="1112"/>
      <c r="D11" s="1112"/>
      <c r="E11" s="1112"/>
      <c r="F11" s="1112"/>
      <c r="G11" s="1112"/>
      <c r="H11" s="1112"/>
      <c r="I11" s="1112"/>
      <c r="J11"/>
      <c r="K11"/>
      <c r="L11"/>
      <c r="M11" s="159"/>
      <c r="N11" s="159"/>
      <c r="O11" s="159"/>
    </row>
    <row r="12" spans="1:15" s="78" customFormat="1" ht="15" customHeight="1" x14ac:dyDescent="0.2">
      <c r="A12" s="159"/>
      <c r="B12" s="2673" t="s">
        <v>1663</v>
      </c>
      <c r="C12" s="2674"/>
      <c r="D12" s="2675"/>
      <c r="E12" s="2675"/>
      <c r="F12" s="2675"/>
      <c r="G12" s="2675"/>
      <c r="H12" s="2675"/>
      <c r="I12" s="2676"/>
      <c r="J12"/>
      <c r="K12"/>
      <c r="L12"/>
      <c r="M12" s="159"/>
      <c r="N12" s="159"/>
      <c r="O12" s="159"/>
    </row>
    <row r="13" spans="1:15" s="78" customFormat="1" ht="18" customHeight="1" x14ac:dyDescent="0.2">
      <c r="A13" s="159"/>
      <c r="B13" s="1830"/>
      <c r="C13" s="1830"/>
      <c r="D13" s="2293" t="s">
        <v>1664</v>
      </c>
      <c r="E13" s="1353" t="s">
        <v>1665</v>
      </c>
      <c r="F13" s="1353" t="s">
        <v>1665</v>
      </c>
      <c r="G13" s="1353" t="s">
        <v>1665</v>
      </c>
      <c r="H13" s="1353" t="s">
        <v>1665</v>
      </c>
      <c r="I13" s="1353" t="s">
        <v>1665</v>
      </c>
      <c r="J13"/>
      <c r="K13"/>
      <c r="L13"/>
      <c r="M13" s="159"/>
      <c r="N13" s="159"/>
      <c r="O13" s="159"/>
    </row>
    <row r="14" spans="1:15" s="78" customFormat="1" ht="18" customHeight="1" x14ac:dyDescent="0.2">
      <c r="A14" s="159"/>
      <c r="B14" s="2680"/>
      <c r="C14" s="2680"/>
      <c r="D14" s="2680"/>
      <c r="E14" s="563" t="s">
        <v>1596</v>
      </c>
      <c r="F14" s="563" t="s">
        <v>1596</v>
      </c>
      <c r="G14" s="563" t="s">
        <v>1596</v>
      </c>
      <c r="H14" s="563" t="s">
        <v>1596</v>
      </c>
      <c r="I14" s="563" t="s">
        <v>1596</v>
      </c>
      <c r="J14"/>
      <c r="K14"/>
      <c r="L14"/>
      <c r="M14" s="159"/>
      <c r="N14" s="159"/>
      <c r="O14" s="159"/>
    </row>
    <row r="15" spans="1:15" s="78" customFormat="1" ht="18" customHeight="1" x14ac:dyDescent="0.2">
      <c r="A15" s="159"/>
      <c r="B15" s="2677" t="s">
        <v>1597</v>
      </c>
      <c r="C15" s="2677"/>
      <c r="D15" s="2677"/>
      <c r="E15" s="724"/>
      <c r="F15" s="724"/>
      <c r="G15" s="724"/>
      <c r="H15" s="724"/>
      <c r="I15" s="724"/>
      <c r="J15"/>
      <c r="K15"/>
      <c r="L15"/>
      <c r="M15" s="159"/>
      <c r="N15" s="159"/>
      <c r="O15" s="159"/>
    </row>
    <row r="16" spans="1:15" s="78" customFormat="1" ht="18" customHeight="1" x14ac:dyDescent="0.2">
      <c r="A16" s="159"/>
      <c r="B16" s="489" t="s">
        <v>1666</v>
      </c>
      <c r="C16" s="2288"/>
      <c r="D16" s="2292"/>
      <c r="E16" s="1850"/>
      <c r="F16" s="1850"/>
      <c r="G16" s="1850"/>
      <c r="H16" s="1850"/>
      <c r="I16" s="1850"/>
      <c r="J16"/>
      <c r="K16"/>
      <c r="L16"/>
      <c r="M16" s="159"/>
      <c r="N16" s="159"/>
      <c r="O16" s="159"/>
    </row>
    <row r="17" spans="1:15" s="78" customFormat="1" ht="18" customHeight="1" x14ac:dyDescent="0.25">
      <c r="A17" s="159"/>
      <c r="B17" s="2665" t="s">
        <v>1667</v>
      </c>
      <c r="C17" s="2665"/>
      <c r="D17" s="2686"/>
      <c r="E17" s="1831"/>
      <c r="F17" s="1831"/>
      <c r="G17" s="1831"/>
      <c r="H17" s="1831"/>
      <c r="I17" s="1831"/>
      <c r="J17"/>
      <c r="K17"/>
      <c r="L17" s="1495" t="s">
        <v>1668</v>
      </c>
      <c r="M17" s="1495" t="s">
        <v>673</v>
      </c>
      <c r="N17" s="159"/>
      <c r="O17" s="159"/>
    </row>
    <row r="18" spans="1:15" s="78" customFormat="1" ht="18" customHeight="1" x14ac:dyDescent="0.25">
      <c r="A18" s="159"/>
      <c r="B18" s="2288" t="s">
        <v>1669</v>
      </c>
      <c r="C18" s="2292"/>
      <c r="D18" s="2292"/>
      <c r="E18" s="1832"/>
      <c r="F18" s="1832"/>
      <c r="G18" s="1832"/>
      <c r="H18" s="1832"/>
      <c r="I18" s="1832"/>
      <c r="J18"/>
      <c r="K18"/>
      <c r="L18" s="1495"/>
      <c r="M18" s="1495"/>
      <c r="N18" s="159"/>
      <c r="O18" s="159"/>
    </row>
    <row r="19" spans="1:15" s="78" customFormat="1" ht="18" customHeight="1" x14ac:dyDescent="0.25">
      <c r="A19" s="159"/>
      <c r="B19" s="2651" t="s">
        <v>1614</v>
      </c>
      <c r="C19" s="2651"/>
      <c r="D19" s="2651"/>
      <c r="E19" s="1831"/>
      <c r="F19" s="1831"/>
      <c r="G19" s="1831"/>
      <c r="H19" s="1831"/>
      <c r="I19" s="1831"/>
      <c r="J19"/>
      <c r="K19"/>
      <c r="L19" s="1495" t="s">
        <v>1670</v>
      </c>
      <c r="M19" s="1495" t="str">
        <f>IF(B19="General Government","Gen Gov",
IF(B19="Primary and secondary education","Prim Sec Ed",
IF(B19="Higher Education","Higher Ed",
IF(B19="Higher education student aid","Higher Ed stu aid",
IF(B19="Health and human services","HHS",
IF(B19="Economic development","Econ Dev",
IF(B19="Environment and natural resources","ENR",
IF(B19="Public safety, corrections, and regulation","Public Safety",
IF(B19="Transportation","Trans",
IF(B19="Highway construction/preservation","Highway Const",
IF(B19="Highway maintenance","Highway Const",
IF(B19="Debt Service","Debt Serv",
IF(B19="Agriculture","Agric",
IF(B19="Capital projects/repairs and renovations","CapProjectsReno",
IF(B19="Disaster relief (OSC only)","Relief",
IF(B19="Subsequent year's budget (OSC only)","SubsYearBudget",
IF(B19="Other purposes","OthPur",
"No Function")))))))))))))))))</f>
        <v>No Function</v>
      </c>
      <c r="N19" s="159"/>
      <c r="O19" s="159"/>
    </row>
    <row r="20" spans="1:15" s="78" customFormat="1" ht="18" customHeight="1" x14ac:dyDescent="0.25">
      <c r="A20" s="159"/>
      <c r="B20" s="2651" t="s">
        <v>1614</v>
      </c>
      <c r="C20" s="2651"/>
      <c r="D20" s="2651"/>
      <c r="E20" s="1831"/>
      <c r="F20" s="1831"/>
      <c r="G20" s="1831"/>
      <c r="H20" s="1831"/>
      <c r="I20" s="1831"/>
      <c r="J20"/>
      <c r="K20"/>
      <c r="L20" s="1495" t="s">
        <v>1670</v>
      </c>
      <c r="M20" s="1495" t="str">
        <f t="shared" ref="M20:M21" si="0">IF(B20="General Government","Gen Gov",
IF(B20="Primary and secondary education","Prim Sec Ed",
IF(B20="Higher Education","Higher Ed",
IF(B20="Higher education student aid","Higher Ed stu aid",
IF(B20="Health and human services","HHS",
IF(B20="Economic development","Econ Dev",
IF(B20="Environment and natural resources","ENR",
IF(B20="Public safety, corrections, and regulation","Public Safety",
IF(B20="Transportation","Trans",
IF(B20="Highway construction/preservation","Highway Const",
IF(B20="Highway maintenance","Highway Const",
IF(B20="Debt Service","Debt Serv",
IF(B20="Agriculture","Agric",
IF(B20="Capital projects/repairs and renovations","CapProjectsReno",
IF(B20="Disaster relief (OSC only)","Relief",
IF(B20="Subsequent year's budget (OSC only)","SubsYearBudget",
"No Function"))))))))))))))))</f>
        <v>No Function</v>
      </c>
      <c r="N20" s="159"/>
      <c r="O20" s="159"/>
    </row>
    <row r="21" spans="1:15" s="78" customFormat="1" ht="18" customHeight="1" x14ac:dyDescent="0.25">
      <c r="A21" s="159"/>
      <c r="B21" s="2651" t="s">
        <v>1614</v>
      </c>
      <c r="C21" s="2651"/>
      <c r="D21" s="2651"/>
      <c r="E21" s="1831"/>
      <c r="F21" s="1831"/>
      <c r="G21" s="1831"/>
      <c r="H21" s="1831"/>
      <c r="I21" s="1831"/>
      <c r="J21"/>
      <c r="K21"/>
      <c r="L21" s="1495" t="s">
        <v>1670</v>
      </c>
      <c r="M21" s="1495" t="str">
        <f t="shared" si="0"/>
        <v>No Function</v>
      </c>
      <c r="N21" s="159"/>
      <c r="O21" s="159"/>
    </row>
    <row r="22" spans="1:15" ht="18" customHeight="1" x14ac:dyDescent="0.25">
      <c r="B22" s="2652" t="s">
        <v>1671</v>
      </c>
      <c r="C22" s="2653"/>
      <c r="D22" s="2654"/>
      <c r="E22" s="1833"/>
      <c r="F22" s="1833"/>
      <c r="G22" s="1833"/>
      <c r="H22" s="1833"/>
      <c r="I22" s="1833"/>
      <c r="L22" s="1495" t="s">
        <v>1672</v>
      </c>
      <c r="M22" s="1495" t="str">
        <f t="shared" ref="M22" si="1">IF(B22="Primary and secondary education","Prim Sec Ed",IF(B22="Economic development","Econ Dev",IF(B22="Environment and natural resources","ENR",IF(B22="Public safety, corrections, and regulation","Public Safety",IF(B22="Transportation","Trans",IF(B22="Agriculture","Agric",IF(B22="Debt service","Debt Serv",IF(B22="Other purposes","OthPur",IF(B22="Capital projects/repairs and renovations","CapProjectsReno","No Function")))))))))</f>
        <v>No Function</v>
      </c>
    </row>
    <row r="23" spans="1:15" ht="18" customHeight="1" thickBot="1" x14ac:dyDescent="0.3">
      <c r="B23" s="2288" t="s">
        <v>1630</v>
      </c>
      <c r="C23" s="488"/>
      <c r="D23" s="2290"/>
      <c r="E23" s="1834">
        <f>SUM(E17:E17)+SUM(E19:E21)+SUM(E22:E22)</f>
        <v>0</v>
      </c>
      <c r="F23" s="1834">
        <f>SUM(F17:F17)+SUM(F19:F21)+SUM(F22:F22)</f>
        <v>0</v>
      </c>
      <c r="G23" s="1834">
        <f>SUM(G17:G17)+SUM(G19:G21)+SUM(G22:G22)</f>
        <v>0</v>
      </c>
      <c r="H23" s="1834">
        <f>SUM(H17:H17)+SUM(H19:H21)+SUM(H22:H22)</f>
        <v>0</v>
      </c>
      <c r="I23" s="1834">
        <f>SUM(I17:I17)+SUM(I19:I21)+SUM(I22:I22)</f>
        <v>0</v>
      </c>
    </row>
    <row r="24" spans="1:15" ht="18" customHeight="1" thickTop="1" x14ac:dyDescent="0.2">
      <c r="B24" s="1325" t="s">
        <v>1673</v>
      </c>
      <c r="C24" s="566"/>
      <c r="D24" s="566"/>
      <c r="E24" s="566"/>
      <c r="F24" s="566"/>
      <c r="G24" s="566"/>
      <c r="H24" s="566"/>
      <c r="I24" s="566"/>
    </row>
    <row r="25" spans="1:15" x14ac:dyDescent="0.2">
      <c r="B25" s="1325"/>
      <c r="C25" s="566"/>
      <c r="D25" s="566"/>
      <c r="E25" s="566"/>
      <c r="F25" s="566"/>
      <c r="G25" s="566"/>
      <c r="H25" s="566"/>
      <c r="I25" s="566"/>
    </row>
    <row r="26" spans="1:15" ht="15" x14ac:dyDescent="0.2">
      <c r="A26" s="445" t="str">
        <f ca="1">MID(CELL("filename",A1),FIND("]",CELL("filename",A1))+1,256)</f>
        <v>420</v>
      </c>
      <c r="B26" s="489" t="s">
        <v>1622</v>
      </c>
      <c r="C26" s="1835" t="s">
        <v>1623</v>
      </c>
      <c r="D26" s="2292"/>
      <c r="E26" s="2288"/>
      <c r="F26" s="2288"/>
      <c r="G26" s="2288"/>
      <c r="H26" s="2288"/>
      <c r="I26" s="2288"/>
    </row>
    <row r="27" spans="1:15" ht="15" x14ac:dyDescent="0.2">
      <c r="A27" s="445" t="s">
        <v>380</v>
      </c>
      <c r="B27" s="489"/>
      <c r="C27" s="1835" t="s">
        <v>1624</v>
      </c>
      <c r="D27" s="2292"/>
      <c r="E27" s="2288"/>
      <c r="F27" s="2288"/>
      <c r="G27" s="2288"/>
      <c r="H27" s="2288"/>
      <c r="I27" s="2288"/>
    </row>
    <row r="28" spans="1:15" ht="15" x14ac:dyDescent="0.2">
      <c r="A28" s="445" t="s">
        <v>381</v>
      </c>
      <c r="B28" s="489"/>
      <c r="C28" s="1835" t="s">
        <v>1625</v>
      </c>
      <c r="D28" s="2292"/>
      <c r="E28" s="2288"/>
      <c r="F28" s="2288"/>
      <c r="G28" s="2288"/>
      <c r="H28" s="2288"/>
      <c r="I28" s="2288"/>
    </row>
    <row r="29" spans="1:15" ht="15" x14ac:dyDescent="0.2">
      <c r="A29" s="445" t="s">
        <v>382</v>
      </c>
      <c r="B29" s="489" t="s">
        <v>1626</v>
      </c>
      <c r="C29" s="1835" t="s">
        <v>1627</v>
      </c>
      <c r="D29" s="2292"/>
      <c r="E29" s="2288"/>
      <c r="F29" s="2288"/>
      <c r="G29" s="2288"/>
      <c r="H29" s="2288"/>
      <c r="I29" s="2288"/>
    </row>
    <row r="30" spans="1:15" ht="15" x14ac:dyDescent="0.2">
      <c r="A30" s="445" t="s">
        <v>383</v>
      </c>
      <c r="B30" s="489"/>
      <c r="C30" s="2292"/>
      <c r="D30" s="2292"/>
      <c r="E30" s="2288"/>
      <c r="F30" s="2288"/>
      <c r="G30" s="2288"/>
      <c r="H30" s="2288"/>
      <c r="I30" s="2288"/>
    </row>
    <row r="31" spans="1:15" ht="15" x14ac:dyDescent="0.2">
      <c r="A31" s="445" t="s">
        <v>389</v>
      </c>
      <c r="B31" s="1"/>
    </row>
    <row r="32" spans="1:15" x14ac:dyDescent="0.2">
      <c r="B32" s="1" t="s">
        <v>1674</v>
      </c>
    </row>
    <row r="33" spans="2:9" ht="17.25" customHeight="1" x14ac:dyDescent="0.2">
      <c r="B33" s="159" t="s">
        <v>1675</v>
      </c>
      <c r="E33" s="2274" t="s">
        <v>1670</v>
      </c>
      <c r="F33" s="1354"/>
    </row>
    <row r="34" spans="2:9" ht="17.25" customHeight="1" x14ac:dyDescent="0.2">
      <c r="C34" s="159"/>
      <c r="E34" s="2274" t="s">
        <v>1676</v>
      </c>
      <c r="F34" s="1354"/>
    </row>
    <row r="35" spans="2:9" ht="17.25" customHeight="1" thickBot="1" x14ac:dyDescent="0.25">
      <c r="C35" s="1324"/>
      <c r="E35" s="2274" t="s">
        <v>1677</v>
      </c>
      <c r="F35" s="1540">
        <f>F33+F34</f>
        <v>0</v>
      </c>
    </row>
    <row r="36" spans="2:9" ht="13.5" thickTop="1" x14ac:dyDescent="0.2"/>
    <row r="37" spans="2:9" ht="39.75" customHeight="1" x14ac:dyDescent="0.2">
      <c r="B37" s="2497" t="s">
        <v>1678</v>
      </c>
      <c r="C37" s="2497"/>
      <c r="D37" s="2497"/>
      <c r="E37" s="2497"/>
      <c r="F37" s="2497"/>
      <c r="G37" s="2497"/>
      <c r="H37" s="2497"/>
      <c r="I37" s="2497"/>
    </row>
  </sheetData>
  <sheetProtection algorithmName="SHA-512" hashValue="pzjSWp+nSHYHnR9PAOOL298K1+BV/UJjSRqpcUk4bBD+NLJ/SsY0Vh29/56HUBXhE+EKJ5GyFw0ufmNPPZTDoA==" saltValue="nFwOFeZK1/lH/7yBQJHaww==" spinCount="100000" sheet="1" objects="1" scenarios="1" autoFilter="0"/>
  <customSheetViews>
    <customSheetView guid="{9FCFC836-1CA5-48BF-958D-24D2EA94B219}" showGridLines="0" fitToPage="1" hiddenColumns="1" topLeftCell="B1">
      <selection activeCell="B12" sqref="B12"/>
      <pageMargins left="0" right="0" top="0" bottom="0" header="0" footer="0"/>
      <pageSetup scale="94" orientation="portrait" r:id="rId1"/>
      <headerFooter alignWithMargins="0">
        <oddFooter>&amp;R&amp;A</oddFooter>
      </headerFooter>
    </customSheetView>
    <customSheetView guid="{BEA4BE86-04D1-4C96-9358-7A260B9D2B2D}" showGridLines="0" fitToPage="1" showRuler="0">
      <selection activeCell="A36" sqref="A36"/>
      <pageMargins left="0" right="0" top="0" bottom="0" header="0" footer="0"/>
      <pageSetup scale="96" orientation="portrait" r:id="rId2"/>
      <headerFooter alignWithMargins="0">
        <oddFooter>&amp;R&amp;A</oddFooter>
      </headerFooter>
    </customSheetView>
    <customSheetView guid="{1250FD07-FF56-4A9D-AF9E-C27124A7EBE9}" showGridLines="0" fitToPage="1" showRuler="0">
      <selection activeCell="A36" sqref="A36"/>
      <pageMargins left="0" right="0" top="0" bottom="0" header="0" footer="0"/>
      <pageSetup scale="96" orientation="portrait"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ageSetup scale="94" orientation="portrait" r:id="rId4"/>
      <headerFooter alignWithMargins="0">
        <oddFooter>&amp;R&amp;A</oddFooter>
      </headerFooter>
    </customSheetView>
  </customSheetViews>
  <mergeCells count="18">
    <mergeCell ref="B37:I37"/>
    <mergeCell ref="K8:L8"/>
    <mergeCell ref="B12:I12"/>
    <mergeCell ref="B14:D14"/>
    <mergeCell ref="B15:D15"/>
    <mergeCell ref="M1:M3"/>
    <mergeCell ref="B1:I1"/>
    <mergeCell ref="B2:I2"/>
    <mergeCell ref="B4:I4"/>
    <mergeCell ref="G6:I6"/>
    <mergeCell ref="G7:I7"/>
    <mergeCell ref="B17:D17"/>
    <mergeCell ref="C6:E6"/>
    <mergeCell ref="C7:E7"/>
    <mergeCell ref="B22:D22"/>
    <mergeCell ref="B20:D20"/>
    <mergeCell ref="B21:D21"/>
    <mergeCell ref="B19:D19"/>
  </mergeCells>
  <phoneticPr fontId="16" type="noConversion"/>
  <conditionalFormatting sqref="I3">
    <cfRule type="containsText" dxfId="88" priority="2" stopIfTrue="1" operator="containsText" text="NA">
      <formula>NOT(ISERROR(SEARCH("NA",I3)))</formula>
    </cfRule>
  </conditionalFormatting>
  <conditionalFormatting sqref="M1:M3">
    <cfRule type="cellIs" dxfId="87" priority="1" stopIfTrue="1" operator="equal">
      <formula>"na"</formula>
    </cfRule>
  </conditionalFormatting>
  <dataValidations count="2">
    <dataValidation type="textLength" operator="equal" allowBlank="1" showInputMessage="1" showErrorMessage="1" errorTitle="Invalid data!" error="GASB number must be 4 digits." sqref="E15:I15" xr:uid="{7155A138-E42D-47CC-A886-6B85227A4DC9}">
      <formula1>4</formula1>
    </dataValidation>
    <dataValidation type="decimal" operator="greaterThanOrEqual" allowBlank="1" showInputMessage="1" showErrorMessage="1" errorTitle="Invalid Data" error="Amount cannot be negative" sqref="E19:I21 E17:I17" xr:uid="{445D06A1-53BD-4D93-9BB3-E57278D13FEE}">
      <formula1>0</formula1>
    </dataValidation>
  </dataValidations>
  <hyperlinks>
    <hyperlink ref="E10" r:id="rId5" xr:uid="{FEC799E1-E6A4-4A0C-819E-5B52DCF7AAB0}"/>
    <hyperlink ref="B1:I1" location="Index!A1" display="Index!A1" xr:uid="{987435E2-D5ED-4401-AEC1-C3A2E73B08F7}"/>
  </hyperlinks>
  <pageMargins left="0.6" right="0.6" top="0.5" bottom="0.5" header="0.3" footer="0.3"/>
  <pageSetup scale="85" fitToHeight="0" orientation="landscape" r:id="rId6"/>
  <extLst>
    <ext xmlns:x14="http://schemas.microsoft.com/office/spreadsheetml/2009/9/main" uri="{CCE6A557-97BC-4b89-ADB6-D9C93CAAB3DF}">
      <x14:dataValidations xmlns:xm="http://schemas.microsoft.com/office/excel/2006/main" count="2">
        <x14:dataValidation type="list" showErrorMessage="1" xr:uid="{02940D59-BBF4-4AF4-867B-64E88234B9FB}">
          <x14:formula1>
            <xm:f>Notes!$S$4:$S$8</xm:f>
          </x14:formula1>
          <xm:sqref>E13:I13</xm:sqref>
        </x14:dataValidation>
        <x14:dataValidation type="list" allowBlank="1" showInputMessage="1" showErrorMessage="1" xr:uid="{17AFD2D8-39BF-4E55-8A6C-1D2F3207E72B}">
          <x14:formula1>
            <xm:f>Notes!$S$11:$S$21</xm:f>
          </x14:formula1>
          <xm:sqref>B19:D21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pageSetUpPr fitToPage="1"/>
  </sheetPr>
  <dimension ref="A1:L35"/>
  <sheetViews>
    <sheetView showGridLines="0" zoomScaleNormal="100" workbookViewId="0">
      <selection activeCell="A2" sqref="A2"/>
    </sheetView>
  </sheetViews>
  <sheetFormatPr defaultColWidth="9.42578125" defaultRowHeight="12.75" x14ac:dyDescent="0.2"/>
  <cols>
    <col min="1" max="1" width="3.5703125" style="48" customWidth="1"/>
    <col min="2" max="2" width="10.42578125" style="48" customWidth="1"/>
    <col min="3" max="3" width="1.42578125" style="48" customWidth="1"/>
    <col min="4" max="4" width="6.5703125" style="48" customWidth="1"/>
    <col min="5" max="5" width="9.42578125" style="48"/>
    <col min="6" max="6" width="0.5703125" style="48" customWidth="1"/>
    <col min="7" max="7" width="13.42578125" style="48" customWidth="1"/>
    <col min="8" max="8" width="9.42578125" style="48"/>
    <col min="9" max="9" width="9" style="48" customWidth="1"/>
    <col min="10" max="10" width="9.42578125" style="48"/>
    <col min="11" max="11" width="16.42578125" style="48" customWidth="1"/>
    <col min="12" max="12" width="4.5703125" style="48" customWidth="1"/>
    <col min="13" max="16384" width="9.42578125" style="48"/>
  </cols>
  <sheetData>
    <row r="1" spans="1:12" s="50" customFormat="1" ht="15.75" x14ac:dyDescent="0.25">
      <c r="B1" s="2455" t="str">
        <f>+Index!$A$1</f>
        <v xml:space="preserve">                                                               Office of the State Controller                                                                </v>
      </c>
      <c r="C1" s="2455"/>
      <c r="D1" s="2455"/>
      <c r="E1" s="2455"/>
      <c r="F1" s="2455"/>
      <c r="G1" s="2455"/>
      <c r="H1" s="2455"/>
      <c r="I1" s="2455"/>
      <c r="J1" s="2455"/>
      <c r="K1" s="2455"/>
      <c r="L1" s="2456"/>
    </row>
    <row r="2" spans="1:12" s="50" customFormat="1" ht="15.75" x14ac:dyDescent="0.25">
      <c r="B2" s="2478" t="str">
        <f>+Index!$A$2</f>
        <v>2023 ACFR Worksheets</v>
      </c>
      <c r="C2" s="2700"/>
      <c r="D2" s="2700"/>
      <c r="E2" s="2700"/>
      <c r="F2" s="2700"/>
      <c r="G2" s="2700"/>
      <c r="H2" s="2700"/>
      <c r="I2" s="2700"/>
      <c r="J2" s="2700"/>
      <c r="K2" s="2700"/>
      <c r="L2" s="2456"/>
    </row>
    <row r="3" spans="1:12" s="50" customFormat="1" ht="15.75" x14ac:dyDescent="0.25">
      <c r="B3" s="2478" t="s">
        <v>1679</v>
      </c>
      <c r="C3" s="2700"/>
      <c r="D3" s="2700"/>
      <c r="E3" s="2700"/>
      <c r="F3" s="2700"/>
      <c r="G3" s="2700"/>
      <c r="H3" s="2700"/>
      <c r="I3" s="2700"/>
      <c r="J3" s="2700"/>
      <c r="K3" s="2700"/>
      <c r="L3" s="2456"/>
    </row>
    <row r="4" spans="1:12" ht="15.75" customHeight="1" x14ac:dyDescent="0.3">
      <c r="I4" s="51" t="s">
        <v>50</v>
      </c>
    </row>
    <row r="5" spans="1:12" ht="15.75" x14ac:dyDescent="0.25">
      <c r="B5" s="1851" t="s">
        <v>1680</v>
      </c>
      <c r="C5" s="52"/>
      <c r="D5" s="1851" t="s">
        <v>754</v>
      </c>
      <c r="E5" s="52"/>
      <c r="H5" s="1852" t="s">
        <v>317</v>
      </c>
      <c r="I5" s="2702" t="str">
        <f>+Index!$E$10</f>
        <v>01</v>
      </c>
      <c r="J5" s="2702"/>
      <c r="K5" s="2702"/>
      <c r="L5" s="53"/>
    </row>
    <row r="6" spans="1:12" ht="15.75" x14ac:dyDescent="0.25">
      <c r="C6" s="52"/>
      <c r="E6" s="54"/>
      <c r="H6" s="1852" t="s">
        <v>318</v>
      </c>
      <c r="I6" s="2702" t="str">
        <f>+Index!$E$11</f>
        <v>North Carolina General Assembly</v>
      </c>
      <c r="J6" s="2702"/>
      <c r="K6" s="2702"/>
      <c r="L6" s="53"/>
    </row>
    <row r="7" spans="1:12" ht="15.75" x14ac:dyDescent="0.25">
      <c r="B7" s="1851"/>
      <c r="C7" s="52"/>
      <c r="E7" s="1853"/>
      <c r="H7" s="1852" t="s">
        <v>319</v>
      </c>
      <c r="I7" s="2694" t="str">
        <f>CONCATENATE(Index!$E$12," ",Index!$E$14)</f>
        <v xml:space="preserve"> </v>
      </c>
      <c r="J7" s="2694"/>
      <c r="K7" s="2694"/>
      <c r="L7" s="53"/>
    </row>
    <row r="8" spans="1:12" ht="15.75" x14ac:dyDescent="0.25">
      <c r="B8" s="1851"/>
      <c r="C8" s="52"/>
      <c r="E8" s="1853"/>
      <c r="H8" s="1852" t="s">
        <v>71</v>
      </c>
      <c r="I8" s="2701">
        <f>+Index!$E$13</f>
        <v>0</v>
      </c>
      <c r="J8" s="2701"/>
      <c r="K8" s="2701"/>
      <c r="L8" s="53"/>
    </row>
    <row r="9" spans="1:12" ht="7.5" customHeight="1" thickBot="1" x14ac:dyDescent="0.3">
      <c r="A9" s="55"/>
      <c r="B9" s="55"/>
      <c r="C9" s="55"/>
      <c r="D9" s="55"/>
      <c r="E9" s="55"/>
      <c r="F9" s="55"/>
      <c r="G9" s="55"/>
      <c r="H9" s="55"/>
      <c r="I9" s="55"/>
      <c r="J9" s="55"/>
      <c r="K9" s="55"/>
    </row>
    <row r="10" spans="1:12" ht="7.5" customHeight="1" x14ac:dyDescent="0.25">
      <c r="B10" s="52"/>
      <c r="C10" s="52"/>
      <c r="D10" s="52"/>
      <c r="E10" s="52"/>
      <c r="F10" s="52"/>
      <c r="G10" s="52"/>
      <c r="H10" s="52"/>
      <c r="I10" s="52"/>
      <c r="J10" s="52"/>
      <c r="K10" s="52"/>
    </row>
    <row r="11" spans="1:12" ht="15" customHeight="1" x14ac:dyDescent="0.25">
      <c r="A11" s="2223"/>
      <c r="B11" s="515" t="s">
        <v>1681</v>
      </c>
      <c r="C11" s="52"/>
      <c r="D11" s="52"/>
      <c r="E11" s="52"/>
      <c r="F11" s="52"/>
      <c r="G11" s="52"/>
      <c r="H11" s="52"/>
      <c r="I11" s="52"/>
      <c r="J11" s="52"/>
      <c r="K11" s="52"/>
    </row>
    <row r="12" spans="1:12" ht="15" customHeight="1" x14ac:dyDescent="0.25">
      <c r="A12" s="2223"/>
      <c r="B12" s="515"/>
      <c r="C12" s="52"/>
      <c r="D12" s="52"/>
      <c r="E12" s="52"/>
      <c r="F12" s="52"/>
      <c r="G12" s="52"/>
      <c r="H12" s="52"/>
      <c r="I12" s="52"/>
      <c r="J12" s="52"/>
      <c r="K12" s="52"/>
    </row>
    <row r="13" spans="1:12" ht="12.75" customHeight="1" x14ac:dyDescent="0.25">
      <c r="B13" s="638" t="s">
        <v>1682</v>
      </c>
      <c r="C13" s="52"/>
      <c r="D13" s="52"/>
      <c r="E13" s="52"/>
      <c r="F13" s="52"/>
      <c r="G13" s="52"/>
      <c r="H13" s="52"/>
      <c r="I13" s="52"/>
      <c r="J13" s="52"/>
      <c r="K13" s="52"/>
    </row>
    <row r="14" spans="1:12" ht="12.75" customHeight="1" x14ac:dyDescent="0.25">
      <c r="B14" s="638"/>
      <c r="C14" s="52"/>
      <c r="D14" s="52"/>
      <c r="E14" s="52"/>
      <c r="F14" s="52"/>
      <c r="G14" s="52"/>
      <c r="H14" s="52"/>
      <c r="I14" s="52"/>
      <c r="J14" s="52"/>
      <c r="K14" s="52"/>
    </row>
    <row r="15" spans="1:12" ht="110.25" customHeight="1" x14ac:dyDescent="0.2">
      <c r="B15" s="2696" t="s">
        <v>1683</v>
      </c>
      <c r="C15" s="2697"/>
      <c r="D15" s="2697"/>
      <c r="E15" s="2697"/>
      <c r="F15" s="2697"/>
      <c r="G15" s="2697"/>
      <c r="H15" s="2697"/>
      <c r="I15" s="2697"/>
      <c r="J15" s="2697"/>
      <c r="K15" s="2697"/>
    </row>
    <row r="16" spans="1:12" ht="15" customHeight="1" x14ac:dyDescent="0.2"/>
    <row r="17" spans="2:11" ht="15" customHeight="1" x14ac:dyDescent="0.25">
      <c r="B17" s="507" t="s">
        <v>340</v>
      </c>
      <c r="C17" s="506"/>
      <c r="D17" s="866"/>
      <c r="G17" s="507" t="s">
        <v>339</v>
      </c>
      <c r="H17" s="866"/>
      <c r="I17" s="509" t="s">
        <v>1684</v>
      </c>
      <c r="J17" s="52"/>
      <c r="K17" s="52"/>
    </row>
    <row r="18" spans="2:11" ht="15" customHeight="1" x14ac:dyDescent="0.25">
      <c r="B18" s="507"/>
      <c r="C18" s="506"/>
      <c r="D18" s="508"/>
      <c r="G18" s="508"/>
      <c r="H18" s="2695" t="str">
        <f>IF(AND(ISBLANK(D17),ISBLANK(H17))=TRUE,"Answer Missing"," ")</f>
        <v>Answer Missing</v>
      </c>
      <c r="I18" s="2607"/>
      <c r="J18" s="52"/>
      <c r="K18" s="52"/>
    </row>
    <row r="19" spans="2:11" ht="15" customHeight="1" x14ac:dyDescent="0.25">
      <c r="B19" s="2698" t="str">
        <f>IF(ISTEXT(H17), "Response for Yes needed", " ")</f>
        <v xml:space="preserve"> </v>
      </c>
      <c r="C19" s="2699"/>
      <c r="D19" s="2699"/>
      <c r="E19" s="2383"/>
      <c r="H19" s="508"/>
      <c r="I19" s="509"/>
      <c r="J19" s="52"/>
      <c r="K19" s="52"/>
    </row>
    <row r="20" spans="2:11" ht="18" customHeight="1" x14ac:dyDescent="0.2">
      <c r="B20" s="2692"/>
      <c r="C20" s="2693"/>
      <c r="D20" s="2693"/>
      <c r="E20" s="2693"/>
      <c r="F20" s="2693"/>
      <c r="G20" s="2693"/>
      <c r="H20" s="2693"/>
      <c r="I20" s="2693"/>
      <c r="J20" s="2693"/>
      <c r="K20" s="2693"/>
    </row>
    <row r="21" spans="2:11" ht="18" customHeight="1" x14ac:dyDescent="0.2">
      <c r="B21" s="2692"/>
      <c r="C21" s="2693"/>
      <c r="D21" s="2693"/>
      <c r="E21" s="2693"/>
      <c r="F21" s="2693"/>
      <c r="G21" s="2693"/>
      <c r="H21" s="2693"/>
      <c r="I21" s="2693"/>
      <c r="J21" s="2693"/>
      <c r="K21" s="2693"/>
    </row>
    <row r="22" spans="2:11" ht="18" customHeight="1" x14ac:dyDescent="0.2">
      <c r="B22" s="2692"/>
      <c r="C22" s="2693"/>
      <c r="D22" s="2693"/>
      <c r="E22" s="2693"/>
      <c r="F22" s="2693"/>
      <c r="G22" s="2693"/>
      <c r="H22" s="2693"/>
      <c r="I22" s="2693"/>
      <c r="J22" s="2693"/>
      <c r="K22" s="2693"/>
    </row>
    <row r="23" spans="2:11" ht="18" customHeight="1" x14ac:dyDescent="0.2">
      <c r="B23" s="2692"/>
      <c r="C23" s="2693"/>
      <c r="D23" s="2693"/>
      <c r="E23" s="2693"/>
      <c r="F23" s="2693"/>
      <c r="G23" s="2693"/>
      <c r="H23" s="2693"/>
      <c r="I23" s="2693"/>
      <c r="J23" s="2693"/>
      <c r="K23" s="2693"/>
    </row>
    <row r="24" spans="2:11" ht="18" customHeight="1" x14ac:dyDescent="0.2">
      <c r="B24" s="2692"/>
      <c r="C24" s="2693"/>
      <c r="D24" s="2693"/>
      <c r="E24" s="2693"/>
      <c r="F24" s="2693"/>
      <c r="G24" s="2693"/>
      <c r="H24" s="2693"/>
      <c r="I24" s="2693"/>
      <c r="J24" s="2693"/>
      <c r="K24" s="2693"/>
    </row>
    <row r="25" spans="2:11" ht="18" customHeight="1" x14ac:dyDescent="0.2">
      <c r="B25" s="2692"/>
      <c r="C25" s="2693"/>
      <c r="D25" s="2693"/>
      <c r="E25" s="2693"/>
      <c r="F25" s="2693"/>
      <c r="G25" s="2693"/>
      <c r="H25" s="2693"/>
      <c r="I25" s="2693"/>
      <c r="J25" s="2693"/>
      <c r="K25" s="2693"/>
    </row>
    <row r="26" spans="2:11" ht="18" customHeight="1" x14ac:dyDescent="0.2">
      <c r="B26" s="2692"/>
      <c r="C26" s="2693"/>
      <c r="D26" s="2693"/>
      <c r="E26" s="2693"/>
      <c r="F26" s="2693"/>
      <c r="G26" s="2693"/>
      <c r="H26" s="2693"/>
      <c r="I26" s="2693"/>
      <c r="J26" s="2693"/>
      <c r="K26" s="2693"/>
    </row>
    <row r="27" spans="2:11" ht="18" customHeight="1" x14ac:dyDescent="0.2">
      <c r="B27" s="2692"/>
      <c r="C27" s="2693"/>
      <c r="D27" s="2693"/>
      <c r="E27" s="2693"/>
      <c r="F27" s="2693"/>
      <c r="G27" s="2693"/>
      <c r="H27" s="2693"/>
      <c r="I27" s="2693"/>
      <c r="J27" s="2693"/>
      <c r="K27" s="2693"/>
    </row>
    <row r="28" spans="2:11" ht="18" customHeight="1" x14ac:dyDescent="0.2">
      <c r="B28" s="2692"/>
      <c r="C28" s="2693"/>
      <c r="D28" s="2693"/>
      <c r="E28" s="2693"/>
      <c r="F28" s="2693"/>
      <c r="G28" s="2693"/>
      <c r="H28" s="2693"/>
      <c r="I28" s="2693"/>
      <c r="J28" s="2693"/>
      <c r="K28" s="2693"/>
    </row>
    <row r="29" spans="2:11" ht="18" customHeight="1" x14ac:dyDescent="0.2">
      <c r="B29" s="2692"/>
      <c r="C29" s="2693"/>
      <c r="D29" s="2693"/>
      <c r="E29" s="2693"/>
      <c r="F29" s="2693"/>
      <c r="G29" s="2693"/>
      <c r="H29" s="2693"/>
      <c r="I29" s="2693"/>
      <c r="J29" s="2693"/>
      <c r="K29" s="2693"/>
    </row>
    <row r="30" spans="2:11" ht="18" customHeight="1" x14ac:dyDescent="0.2">
      <c r="B30" s="2692"/>
      <c r="C30" s="2693"/>
      <c r="D30" s="2693"/>
      <c r="E30" s="2693"/>
      <c r="F30" s="2693"/>
      <c r="G30" s="2693"/>
      <c r="H30" s="2693"/>
      <c r="I30" s="2693"/>
      <c r="J30" s="2693"/>
      <c r="K30" s="2693"/>
    </row>
    <row r="31" spans="2:11" ht="18" customHeight="1" x14ac:dyDescent="0.2">
      <c r="B31" s="2692"/>
      <c r="C31" s="2693"/>
      <c r="D31" s="2693"/>
      <c r="E31" s="2693"/>
      <c r="F31" s="2693"/>
      <c r="G31" s="2693"/>
      <c r="H31" s="2693"/>
      <c r="I31" s="2693"/>
      <c r="J31" s="2693"/>
      <c r="K31" s="2693"/>
    </row>
    <row r="32" spans="2:11" ht="18" customHeight="1" x14ac:dyDescent="0.2">
      <c r="B32" s="2692"/>
      <c r="C32" s="2693"/>
      <c r="D32" s="2693"/>
      <c r="E32" s="2693"/>
      <c r="F32" s="2693"/>
      <c r="G32" s="2693"/>
      <c r="H32" s="2693"/>
      <c r="I32" s="2693"/>
      <c r="J32" s="2693"/>
      <c r="K32" s="2693"/>
    </row>
    <row r="33" spans="2:11" ht="18" customHeight="1" x14ac:dyDescent="0.2">
      <c r="B33" s="2692"/>
      <c r="C33" s="2693"/>
      <c r="D33" s="2693"/>
      <c r="E33" s="2693"/>
      <c r="F33" s="2693"/>
      <c r="G33" s="2693"/>
      <c r="H33" s="2693"/>
      <c r="I33" s="2693"/>
      <c r="J33" s="2693"/>
      <c r="K33" s="2693"/>
    </row>
    <row r="34" spans="2:11" ht="18" customHeight="1" x14ac:dyDescent="0.2">
      <c r="B34" s="2692"/>
      <c r="C34" s="2693"/>
      <c r="D34" s="2693"/>
      <c r="E34" s="2693"/>
      <c r="F34" s="2693"/>
      <c r="G34" s="2693"/>
      <c r="H34" s="2693"/>
      <c r="I34" s="2693"/>
      <c r="J34" s="2693"/>
      <c r="K34" s="2693"/>
    </row>
    <row r="35" spans="2:11" ht="18" customHeight="1" x14ac:dyDescent="0.2">
      <c r="B35" s="2692"/>
      <c r="C35" s="2693"/>
      <c r="D35" s="2693"/>
      <c r="E35" s="2693"/>
      <c r="F35" s="2693"/>
      <c r="G35" s="2693"/>
      <c r="H35" s="2693"/>
      <c r="I35" s="2693"/>
      <c r="J35" s="2693"/>
      <c r="K35" s="2693"/>
    </row>
  </sheetData>
  <sheetProtection algorithmName="SHA-512" hashValue="9WjWpHKAplAsXD37ijh6oVqR+m4zu3Utl6jb0UxgZRNiMwdEOSyQvKIdPOX8BbEiUaEu/zovKBADVjGb/x0WPg==" saltValue="lQ+lgHxf310Ke1h1HiJBcQ==" spinCount="100000" sheet="1" objects="1" scenarios="1" autoFilter="0"/>
  <customSheetViews>
    <customSheetView guid="{9FCFC836-1CA5-48BF-958D-24D2EA94B219}" showGridLines="0" fitToPage="1">
      <pageMargins left="0" right="0" top="0" bottom="0" header="0" footer="0"/>
      <pageSetup scale="96" orientation="portrait" r:id="rId1"/>
      <headerFooter alignWithMargins="0">
        <oddFooter>&amp;R&amp;A</oddFooter>
      </headerFooter>
    </customSheetView>
    <customSheetView guid="{BEA4BE86-04D1-4C96-9358-7A260B9D2B2D}" showGridLines="0" fitToPage="1" showRuler="0">
      <selection sqref="A1:J1"/>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J1"/>
      <pageMargins left="0" right="0" top="0" bottom="0" header="0" footer="0"/>
      <pageSetup orientation="portrait" r:id="rId3"/>
      <headerFooter alignWithMargins="0">
        <oddFooter>&amp;R&amp;A</oddFooter>
      </headerFooter>
    </customSheetView>
    <customSheetView guid="{B08879A4-635B-4C39-9937-AC7883D562FC}" showGridLines="0" fitToPage="1">
      <pageMargins left="0" right="0" top="0" bottom="0" header="0" footer="0"/>
      <pageSetup scale="96" orientation="portrait" r:id="rId4"/>
      <headerFooter alignWithMargins="0">
        <oddFooter>&amp;R&amp;A</oddFooter>
      </headerFooter>
    </customSheetView>
  </customSheetViews>
  <mergeCells count="27">
    <mergeCell ref="L1:L3"/>
    <mergeCell ref="B1:K1"/>
    <mergeCell ref="B2:K2"/>
    <mergeCell ref="B3:K3"/>
    <mergeCell ref="I8:K8"/>
    <mergeCell ref="I5:K5"/>
    <mergeCell ref="I6:K6"/>
    <mergeCell ref="B25:K25"/>
    <mergeCell ref="I7:K7"/>
    <mergeCell ref="B20:K20"/>
    <mergeCell ref="H18:I18"/>
    <mergeCell ref="B15:K15"/>
    <mergeCell ref="B19:E19"/>
    <mergeCell ref="B21:K21"/>
    <mergeCell ref="B22:K22"/>
    <mergeCell ref="B23:K23"/>
    <mergeCell ref="B24:K24"/>
    <mergeCell ref="B26:K26"/>
    <mergeCell ref="B34:K34"/>
    <mergeCell ref="B35:K35"/>
    <mergeCell ref="B28:K28"/>
    <mergeCell ref="B29:K29"/>
    <mergeCell ref="B30:K30"/>
    <mergeCell ref="B31:K31"/>
    <mergeCell ref="B32:K32"/>
    <mergeCell ref="B33:K33"/>
    <mergeCell ref="B27:K27"/>
  </mergeCells>
  <phoneticPr fontId="16" type="noConversion"/>
  <conditionalFormatting sqref="B19">
    <cfRule type="containsText" dxfId="86" priority="3" stopIfTrue="1" operator="containsText" text="Response for Yes needed">
      <formula>NOT(ISERROR(SEARCH("Response for Yes needed",B19)))</formula>
    </cfRule>
  </conditionalFormatting>
  <conditionalFormatting sqref="B19:E19">
    <cfRule type="containsText" dxfId="85" priority="1" stopIfTrue="1" operator="containsText" text="Response for Yes needed">
      <formula>NOT(ISERROR(SEARCH("Response for Yes needed",B19)))</formula>
    </cfRule>
  </conditionalFormatting>
  <conditionalFormatting sqref="H18:I18">
    <cfRule type="containsText" dxfId="84" priority="4" stopIfTrue="1" operator="containsText" text="Answer Missing">
      <formula>NOT(ISERROR(SEARCH("Answer Missing",H18)))</formula>
    </cfRule>
  </conditionalFormatting>
  <conditionalFormatting sqref="L1:L3">
    <cfRule type="cellIs" dxfId="83" priority="5" stopIfTrue="1" operator="equal">
      <formula>"na"</formula>
    </cfRule>
  </conditionalFormatting>
  <dataValidations count="1">
    <dataValidation allowBlank="1" sqref="B20:K35" xr:uid="{00000000-0002-0000-2100-000000000000}"/>
  </dataValidations>
  <hyperlinks>
    <hyperlink ref="B1:K1" location="Index!A1" display="Index!A1" xr:uid="{00000000-0004-0000-2100-000000000000}"/>
  </hyperlinks>
  <pageMargins left="0.6" right="0.6" top="0.5" bottom="0.5" header="0.3" footer="0.3"/>
  <pageSetup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dimension ref="A1:S53"/>
  <sheetViews>
    <sheetView zoomScale="90" zoomScaleNormal="90" zoomScaleSheetLayoutView="100" workbookViewId="0">
      <selection activeCell="A2" sqref="A2:R2"/>
    </sheetView>
  </sheetViews>
  <sheetFormatPr defaultRowHeight="12.75" x14ac:dyDescent="0.2"/>
  <cols>
    <col min="2" max="2" width="0.5703125" customWidth="1"/>
    <col min="4" max="4" width="7.7109375" customWidth="1"/>
    <col min="5" max="5" width="0.5703125" customWidth="1"/>
    <col min="7" max="7" width="12" customWidth="1"/>
    <col min="8" max="8" width="0.5703125" customWidth="1"/>
    <col min="10" max="10" width="14.42578125" customWidth="1"/>
    <col min="11" max="11" width="0.5703125" customWidth="1"/>
    <col min="13" max="13" width="12.140625" customWidth="1"/>
    <col min="14" max="14" width="0.5703125" customWidth="1"/>
    <col min="17" max="17" width="9.42578125" customWidth="1"/>
    <col min="18" max="18" width="25.28515625" customWidth="1"/>
    <col min="19" max="19" width="7.5703125" customWidth="1"/>
  </cols>
  <sheetData>
    <row r="1" spans="1:19" ht="15.75" x14ac:dyDescent="0.25">
      <c r="A1" s="2455" t="str">
        <f>+Index!$A$1</f>
        <v xml:space="preserve">                                                               Office of the State Controller                                                                </v>
      </c>
      <c r="B1" s="2455"/>
      <c r="C1" s="2455"/>
      <c r="D1" s="2455"/>
      <c r="E1" s="2455"/>
      <c r="F1" s="2455"/>
      <c r="G1" s="2455"/>
      <c r="H1" s="2455"/>
      <c r="I1" s="2455"/>
      <c r="J1" s="2455"/>
      <c r="K1" s="2455"/>
      <c r="L1" s="2455"/>
      <c r="M1" s="2455"/>
      <c r="N1" s="2455"/>
      <c r="O1" s="2455"/>
      <c r="P1" s="2455"/>
      <c r="Q1" s="2455"/>
      <c r="R1" s="2455"/>
      <c r="S1" s="2456" t="s">
        <v>50</v>
      </c>
    </row>
    <row r="2" spans="1:19" ht="15.75" x14ac:dyDescent="0.25">
      <c r="A2" s="2718" t="str">
        <f>+Index!$A$2</f>
        <v>2023 ACFR Worksheets</v>
      </c>
      <c r="B2" s="2718"/>
      <c r="C2" s="2718"/>
      <c r="D2" s="2718"/>
      <c r="E2" s="2718"/>
      <c r="F2" s="2718"/>
      <c r="G2" s="2718"/>
      <c r="H2" s="2718"/>
      <c r="I2" s="2718"/>
      <c r="J2" s="2718"/>
      <c r="K2" s="2718"/>
      <c r="L2" s="2718"/>
      <c r="M2" s="2718"/>
      <c r="N2" s="2718"/>
      <c r="O2" s="2718"/>
      <c r="P2" s="2718"/>
      <c r="Q2" s="2718"/>
      <c r="R2" s="2718"/>
      <c r="S2" s="2456"/>
    </row>
    <row r="3" spans="1:19" ht="15.75" x14ac:dyDescent="0.25">
      <c r="A3" s="2634" t="s">
        <v>1685</v>
      </c>
      <c r="B3" s="2634"/>
      <c r="C3" s="2634"/>
      <c r="D3" s="2634"/>
      <c r="E3" s="2634"/>
      <c r="F3" s="2634"/>
      <c r="G3" s="2634"/>
      <c r="H3" s="2634"/>
      <c r="I3" s="2634"/>
      <c r="J3" s="2634"/>
      <c r="K3" s="2634"/>
      <c r="L3" s="2634"/>
      <c r="M3" s="2634"/>
      <c r="N3" s="2634"/>
      <c r="O3" s="2634"/>
      <c r="P3" s="2634"/>
      <c r="Q3" s="2634"/>
      <c r="R3" s="2634"/>
      <c r="S3" s="2456"/>
    </row>
    <row r="4" spans="1:19" ht="15.75" x14ac:dyDescent="0.25">
      <c r="A4" s="2719" t="s">
        <v>1686</v>
      </c>
      <c r="B4" s="2634"/>
      <c r="C4" s="2634"/>
      <c r="D4" s="2634"/>
      <c r="E4" s="2634"/>
      <c r="F4" s="2634"/>
      <c r="G4" s="2634"/>
      <c r="H4" s="2634"/>
      <c r="I4" s="2634"/>
      <c r="J4" s="2634"/>
      <c r="K4" s="2634"/>
      <c r="L4" s="2634"/>
      <c r="M4" s="2634"/>
      <c r="N4" s="2634"/>
      <c r="O4" s="2634"/>
      <c r="P4" s="2634"/>
      <c r="Q4" s="2634"/>
      <c r="R4" s="2634"/>
      <c r="S4" s="2215"/>
    </row>
    <row r="5" spans="1:19" x14ac:dyDescent="0.2">
      <c r="A5" s="18"/>
      <c r="B5" s="18"/>
      <c r="C5" s="18"/>
      <c r="D5" s="18"/>
      <c r="E5" s="18"/>
      <c r="F5" s="18"/>
      <c r="G5" s="18"/>
      <c r="H5" s="18"/>
      <c r="I5" s="18"/>
      <c r="J5" s="18"/>
      <c r="K5" s="18"/>
      <c r="L5" s="18"/>
      <c r="M5" s="18"/>
      <c r="N5" s="18"/>
      <c r="O5" s="18"/>
      <c r="P5" s="18"/>
      <c r="Q5" s="18"/>
      <c r="R5" s="2456" t="str">
        <f>IF(Index!$B$60="na","NA","")</f>
        <v/>
      </c>
    </row>
    <row r="6" spans="1:19" x14ac:dyDescent="0.2">
      <c r="A6" s="2301" t="s">
        <v>317</v>
      </c>
      <c r="B6" s="846"/>
      <c r="C6" s="846"/>
      <c r="D6" s="2715" t="str">
        <f>+Index!$E$10</f>
        <v>01</v>
      </c>
      <c r="E6" s="2715"/>
      <c r="F6" s="2715"/>
      <c r="G6" s="846"/>
      <c r="H6" s="846"/>
      <c r="I6" s="846"/>
      <c r="J6" s="847" t="s">
        <v>318</v>
      </c>
      <c r="K6" s="149"/>
      <c r="L6" s="2492" t="str">
        <f>+Index!$E$11</f>
        <v>North Carolina General Assembly</v>
      </c>
      <c r="M6" s="2492"/>
      <c r="N6" s="2492"/>
      <c r="O6" s="2492"/>
      <c r="P6" s="2492"/>
      <c r="R6" s="2456"/>
    </row>
    <row r="7" spans="1:19" x14ac:dyDescent="0.2">
      <c r="A7" s="159"/>
      <c r="B7" s="846"/>
      <c r="C7" s="846"/>
      <c r="D7" s="846"/>
      <c r="E7" s="846"/>
      <c r="F7" s="846"/>
      <c r="G7" s="846"/>
      <c r="H7" s="846"/>
      <c r="I7" s="846"/>
      <c r="J7" s="847" t="s">
        <v>319</v>
      </c>
      <c r="K7" s="18"/>
      <c r="L7" s="2546" t="str">
        <f>CONCATENATE(Index!$E$12,"",Index!$E$14)</f>
        <v/>
      </c>
      <c r="M7" s="2546"/>
      <c r="N7" s="2546"/>
      <c r="O7" s="2546"/>
      <c r="P7" s="2546"/>
      <c r="R7" s="2456"/>
    </row>
    <row r="8" spans="1:19" x14ac:dyDescent="0.2">
      <c r="A8" s="846" t="s">
        <v>568</v>
      </c>
      <c r="B8" s="846"/>
      <c r="C8" s="846"/>
      <c r="D8" s="2715" t="s">
        <v>477</v>
      </c>
      <c r="E8" s="2566"/>
      <c r="F8" s="2566"/>
      <c r="G8" s="846"/>
      <c r="H8" s="846"/>
      <c r="I8" s="846"/>
      <c r="J8" s="847" t="s">
        <v>71</v>
      </c>
      <c r="K8" s="149"/>
      <c r="L8" s="2546">
        <f>+Index!$E$13</f>
        <v>0</v>
      </c>
      <c r="M8" s="2546"/>
      <c r="N8" s="2546"/>
      <c r="O8" s="2546"/>
      <c r="P8" s="2546"/>
    </row>
    <row r="9" spans="1:19" ht="13.5" thickBot="1" x14ac:dyDescent="0.25">
      <c r="A9" s="84"/>
      <c r="B9" s="84"/>
      <c r="C9" s="84"/>
      <c r="D9" s="84"/>
      <c r="E9" s="84"/>
      <c r="F9" s="84"/>
      <c r="G9" s="84"/>
      <c r="H9" s="84"/>
      <c r="I9" s="84"/>
      <c r="J9" s="84"/>
      <c r="K9" s="84"/>
      <c r="L9" s="84"/>
      <c r="M9" s="84"/>
      <c r="N9" s="84"/>
      <c r="O9" s="84"/>
      <c r="P9" s="84"/>
      <c r="Q9" s="84"/>
      <c r="R9" s="84"/>
    </row>
    <row r="10" spans="1:19" x14ac:dyDescent="0.2">
      <c r="A10" s="18"/>
      <c r="B10" s="18"/>
      <c r="C10" s="18"/>
      <c r="D10" s="18"/>
      <c r="E10" s="18"/>
      <c r="F10" s="18"/>
      <c r="G10" s="18"/>
      <c r="H10" s="18"/>
      <c r="I10" s="18"/>
      <c r="J10" s="18"/>
      <c r="K10" s="18"/>
      <c r="L10" s="18"/>
      <c r="M10" s="18"/>
      <c r="N10" s="18"/>
      <c r="O10" s="18"/>
      <c r="P10" s="18"/>
      <c r="Q10" s="18"/>
      <c r="R10" s="18"/>
    </row>
    <row r="11" spans="1:19" x14ac:dyDescent="0.2">
      <c r="A11" s="2713" t="s">
        <v>1687</v>
      </c>
      <c r="B11" s="2713"/>
      <c r="C11" s="2713"/>
      <c r="D11" s="2713"/>
      <c r="E11" s="2713"/>
      <c r="F11" s="2713"/>
      <c r="G11" s="2713"/>
      <c r="H11" s="2713"/>
      <c r="I11" s="2713"/>
      <c r="J11" s="2713"/>
      <c r="K11" s="2713"/>
      <c r="L11" s="2713"/>
      <c r="M11" s="2713"/>
      <c r="N11" s="2713"/>
      <c r="O11" s="2713"/>
      <c r="P11" s="2713"/>
      <c r="Q11" s="2713"/>
      <c r="R11" s="846"/>
    </row>
    <row r="12" spans="1:19" x14ac:dyDescent="0.2">
      <c r="A12" s="2713" t="s">
        <v>1688</v>
      </c>
      <c r="B12" s="2713"/>
      <c r="C12" s="2713"/>
      <c r="D12" s="2713"/>
      <c r="E12" s="2713"/>
      <c r="F12" s="2713"/>
      <c r="G12" s="2713"/>
      <c r="H12" s="2713"/>
      <c r="I12" s="2713"/>
      <c r="J12" s="2713"/>
      <c r="K12" s="2713"/>
      <c r="L12" s="2713"/>
      <c r="M12" s="2713"/>
      <c r="N12" s="2713"/>
      <c r="O12" s="2713"/>
      <c r="P12" s="2713"/>
      <c r="Q12" s="2713"/>
      <c r="R12" s="846"/>
    </row>
    <row r="13" spans="1:19" x14ac:dyDescent="0.2">
      <c r="A13" s="846" t="s">
        <v>1689</v>
      </c>
      <c r="B13" s="846"/>
      <c r="C13" s="846"/>
      <c r="D13" s="846"/>
      <c r="E13" s="846"/>
      <c r="F13" s="846"/>
      <c r="G13" s="846"/>
      <c r="H13" s="846"/>
      <c r="I13" s="846"/>
      <c r="J13" s="846"/>
      <c r="K13" s="846"/>
      <c r="L13" s="846"/>
      <c r="M13" s="846"/>
      <c r="N13" s="846"/>
      <c r="O13" s="846"/>
      <c r="P13" s="846"/>
      <c r="Q13" s="846"/>
      <c r="R13" s="846"/>
    </row>
    <row r="14" spans="1:19" ht="11.1" customHeight="1" x14ac:dyDescent="0.2">
      <c r="A14" s="846"/>
      <c r="B14" s="846"/>
      <c r="C14" s="846"/>
      <c r="D14" s="846"/>
      <c r="E14" s="846"/>
      <c r="F14" s="846"/>
      <c r="G14" s="846"/>
      <c r="H14" s="846"/>
      <c r="I14" s="846"/>
      <c r="J14" s="846"/>
      <c r="K14" s="846"/>
      <c r="L14" s="846"/>
      <c r="M14" s="846"/>
      <c r="N14" s="846"/>
      <c r="O14" s="846"/>
      <c r="P14" s="846"/>
      <c r="Q14" s="846"/>
      <c r="R14" s="846"/>
    </row>
    <row r="15" spans="1:19" x14ac:dyDescent="0.2">
      <c r="A15" s="846" t="s">
        <v>1690</v>
      </c>
      <c r="B15" s="846"/>
      <c r="C15" s="846"/>
      <c r="D15" s="846"/>
      <c r="E15" s="846"/>
      <c r="F15" s="846"/>
      <c r="G15" s="846"/>
      <c r="H15" s="846"/>
      <c r="I15" s="846"/>
      <c r="J15" s="846"/>
      <c r="K15" s="846"/>
      <c r="L15" s="846"/>
      <c r="M15" s="846"/>
      <c r="N15" s="846"/>
      <c r="O15" s="846"/>
      <c r="P15" s="846"/>
      <c r="Q15" s="846"/>
      <c r="R15" s="846"/>
    </row>
    <row r="16" spans="1:19" x14ac:dyDescent="0.2">
      <c r="A16" s="846"/>
      <c r="B16" s="846"/>
      <c r="C16" s="846"/>
      <c r="D16" s="846"/>
      <c r="E16" s="846"/>
      <c r="F16" s="846"/>
      <c r="G16" s="846"/>
      <c r="H16" s="846"/>
      <c r="I16" s="846"/>
      <c r="J16" s="846"/>
      <c r="K16" s="846"/>
      <c r="L16" s="846"/>
      <c r="M16" s="846"/>
      <c r="N16" s="846"/>
      <c r="O16" s="846"/>
      <c r="P16" s="846"/>
      <c r="Q16" s="846"/>
      <c r="R16" s="846"/>
    </row>
    <row r="17" spans="1:18" x14ac:dyDescent="0.2">
      <c r="A17" s="846"/>
      <c r="B17" s="846"/>
      <c r="C17" s="2704" t="s">
        <v>1596</v>
      </c>
      <c r="D17" s="2704"/>
      <c r="E17" s="846"/>
      <c r="F17" s="2704" t="s">
        <v>1691</v>
      </c>
      <c r="G17" s="2704"/>
      <c r="H17" s="846"/>
      <c r="I17" s="2704" t="s">
        <v>1692</v>
      </c>
      <c r="J17" s="2704"/>
      <c r="K17" s="846"/>
      <c r="L17" s="2704"/>
      <c r="M17" s="2704"/>
      <c r="N17" s="846"/>
      <c r="O17" s="846"/>
      <c r="P17" s="846"/>
      <c r="Q17" s="846"/>
      <c r="R17" s="846"/>
    </row>
    <row r="18" spans="1:18" ht="14.25" customHeight="1" x14ac:dyDescent="0.2">
      <c r="A18" s="846"/>
      <c r="B18" s="846"/>
      <c r="C18" s="2715" t="s">
        <v>1693</v>
      </c>
      <c r="D18" s="2715"/>
      <c r="E18" s="846"/>
      <c r="F18" s="2715" t="s">
        <v>1694</v>
      </c>
      <c r="G18" s="2715"/>
      <c r="H18" s="846"/>
      <c r="I18" s="2715" t="s">
        <v>1695</v>
      </c>
      <c r="J18" s="2715"/>
      <c r="K18" s="846"/>
      <c r="L18" s="2715" t="s">
        <v>1696</v>
      </c>
      <c r="M18" s="2715"/>
      <c r="N18" s="846"/>
      <c r="O18" s="846"/>
      <c r="P18" s="846"/>
      <c r="Q18" s="846"/>
      <c r="R18" s="846"/>
    </row>
    <row r="19" spans="1:18" ht="12.75" hidden="1" customHeight="1" x14ac:dyDescent="0.2">
      <c r="A19" s="846"/>
      <c r="B19" s="846"/>
      <c r="C19" s="159"/>
      <c r="D19" s="159"/>
      <c r="E19" s="846"/>
      <c r="F19" s="2716" t="s">
        <v>50</v>
      </c>
      <c r="G19" s="2716"/>
      <c r="H19" s="846"/>
      <c r="I19" s="2716" t="s">
        <v>50</v>
      </c>
      <c r="J19" s="2716"/>
      <c r="K19" s="846"/>
      <c r="L19" s="159"/>
      <c r="M19" s="159"/>
      <c r="N19" s="846"/>
      <c r="O19" s="846"/>
      <c r="P19" s="846"/>
      <c r="Q19" s="846"/>
      <c r="R19" s="846"/>
    </row>
    <row r="20" spans="1:18" ht="13.5" hidden="1" thickBot="1" x14ac:dyDescent="0.25">
      <c r="A20" s="846"/>
      <c r="B20" s="846"/>
      <c r="C20" s="848" t="s">
        <v>50</v>
      </c>
      <c r="D20" s="848" t="s">
        <v>50</v>
      </c>
      <c r="E20" s="846"/>
      <c r="F20" s="848" t="s">
        <v>50</v>
      </c>
      <c r="G20" s="848"/>
      <c r="H20" s="846"/>
      <c r="I20" s="848" t="s">
        <v>50</v>
      </c>
      <c r="J20" s="848"/>
      <c r="K20" s="846"/>
      <c r="L20" s="848" t="s">
        <v>50</v>
      </c>
      <c r="M20" s="848"/>
      <c r="N20" s="846"/>
      <c r="O20" s="846"/>
      <c r="P20" s="846"/>
      <c r="Q20" s="846"/>
      <c r="R20" s="846"/>
    </row>
    <row r="21" spans="1:18" hidden="1" x14ac:dyDescent="0.2">
      <c r="A21" s="846"/>
      <c r="B21" s="846"/>
      <c r="C21" s="849"/>
      <c r="D21" s="849"/>
      <c r="E21" s="846"/>
      <c r="F21" s="849"/>
      <c r="G21" s="849"/>
      <c r="H21" s="846"/>
      <c r="I21" s="849"/>
      <c r="J21" s="849"/>
      <c r="K21" s="846"/>
      <c r="L21" s="849"/>
      <c r="M21" s="849"/>
      <c r="N21" s="846"/>
      <c r="O21" s="846"/>
      <c r="P21" s="846"/>
      <c r="Q21" s="846"/>
      <c r="R21" s="846"/>
    </row>
    <row r="22" spans="1:18" x14ac:dyDescent="0.2">
      <c r="A22" s="2297" t="s">
        <v>1596</v>
      </c>
      <c r="B22" s="2297"/>
      <c r="C22" s="2712" t="s">
        <v>1697</v>
      </c>
      <c r="D22" s="2712"/>
      <c r="E22" s="2297"/>
      <c r="F22" s="2712" t="s">
        <v>1697</v>
      </c>
      <c r="G22" s="2712"/>
      <c r="H22" s="2297"/>
      <c r="I22" s="2712" t="s">
        <v>1698</v>
      </c>
      <c r="J22" s="2712"/>
      <c r="K22" s="2297"/>
      <c r="L22" s="2712" t="s">
        <v>1697</v>
      </c>
      <c r="M22" s="2712"/>
      <c r="N22" s="2297"/>
      <c r="O22" s="846"/>
      <c r="P22" s="846"/>
      <c r="Q22" s="846"/>
      <c r="R22" s="846"/>
    </row>
    <row r="23" spans="1:18" x14ac:dyDescent="0.2">
      <c r="A23" s="2297" t="s">
        <v>1699</v>
      </c>
      <c r="B23" s="2297"/>
      <c r="C23" s="2714">
        <v>44743</v>
      </c>
      <c r="D23" s="2714"/>
      <c r="E23" s="2297"/>
      <c r="F23" s="2714">
        <v>44743</v>
      </c>
      <c r="G23" s="2714"/>
      <c r="H23" s="2297"/>
      <c r="I23" s="2714">
        <v>44743</v>
      </c>
      <c r="J23" s="2714"/>
      <c r="K23" s="2297"/>
      <c r="L23" s="2714">
        <v>44743</v>
      </c>
      <c r="M23" s="2714"/>
      <c r="N23" s="2297"/>
      <c r="O23" s="846"/>
      <c r="P23" s="846"/>
      <c r="Q23" s="846"/>
      <c r="R23" s="846"/>
    </row>
    <row r="24" spans="1:18" x14ac:dyDescent="0.2">
      <c r="A24" s="2303" t="s">
        <v>1700</v>
      </c>
      <c r="B24" s="2297"/>
      <c r="C24" s="850" t="s">
        <v>1701</v>
      </c>
      <c r="D24" s="850"/>
      <c r="E24" s="2297"/>
      <c r="F24" s="850" t="s">
        <v>1702</v>
      </c>
      <c r="G24" s="850"/>
      <c r="H24" s="2297"/>
      <c r="I24" s="850" t="s">
        <v>1702</v>
      </c>
      <c r="J24" s="850"/>
      <c r="K24" s="2297"/>
      <c r="L24" s="2704" t="s">
        <v>1701</v>
      </c>
      <c r="M24" s="2704"/>
      <c r="N24" s="2297"/>
      <c r="O24" s="2715" t="s">
        <v>1703</v>
      </c>
      <c r="P24" s="2715"/>
      <c r="Q24" s="2715"/>
      <c r="R24" s="2715"/>
    </row>
    <row r="25" spans="1:18" ht="14.85" customHeight="1" x14ac:dyDescent="0.2">
      <c r="A25" s="2307"/>
      <c r="B25" s="851"/>
      <c r="C25" s="2708" t="s">
        <v>50</v>
      </c>
      <c r="D25" s="2708"/>
      <c r="E25" s="851"/>
      <c r="F25" s="2706">
        <v>0</v>
      </c>
      <c r="G25" s="2706"/>
      <c r="H25" s="2297"/>
      <c r="I25" s="2705" t="s">
        <v>50</v>
      </c>
      <c r="J25" s="2705"/>
      <c r="K25" s="846"/>
      <c r="L25" s="2705">
        <v>0</v>
      </c>
      <c r="M25" s="2705"/>
      <c r="N25" s="846" t="s">
        <v>50</v>
      </c>
      <c r="O25" s="2711" t="s">
        <v>1704</v>
      </c>
      <c r="P25" s="2711"/>
      <c r="Q25" s="2711"/>
      <c r="R25" s="2711"/>
    </row>
    <row r="26" spans="1:18" ht="14.85" customHeight="1" x14ac:dyDescent="0.2">
      <c r="A26" s="2307" t="s">
        <v>50</v>
      </c>
      <c r="B26" s="851"/>
      <c r="C26" s="2708" t="s">
        <v>50</v>
      </c>
      <c r="D26" s="2708"/>
      <c r="E26" s="851"/>
      <c r="F26" s="2705" t="s">
        <v>50</v>
      </c>
      <c r="G26" s="2705"/>
      <c r="H26" s="2297"/>
      <c r="I26" s="2706"/>
      <c r="J26" s="2706"/>
      <c r="K26" s="846"/>
      <c r="L26" s="2705">
        <v>0</v>
      </c>
      <c r="M26" s="2705"/>
      <c r="N26" s="846" t="s">
        <v>50</v>
      </c>
      <c r="O26" s="2711" t="s">
        <v>1705</v>
      </c>
      <c r="P26" s="2711"/>
      <c r="Q26" s="2711"/>
      <c r="R26" s="2711"/>
    </row>
    <row r="27" spans="1:18" ht="14.85" customHeight="1" x14ac:dyDescent="0.2">
      <c r="A27" s="2307" t="s">
        <v>50</v>
      </c>
      <c r="B27" s="851"/>
      <c r="C27" s="2707" t="s">
        <v>50</v>
      </c>
      <c r="D27" s="2707"/>
      <c r="E27" s="851"/>
      <c r="F27" s="2706">
        <v>0</v>
      </c>
      <c r="G27" s="2706"/>
      <c r="H27" s="2297"/>
      <c r="I27" s="2707"/>
      <c r="J27" s="2707"/>
      <c r="K27" s="846"/>
      <c r="L27" s="2707"/>
      <c r="M27" s="2707"/>
      <c r="N27" s="846"/>
      <c r="O27" s="2710" t="s">
        <v>50</v>
      </c>
      <c r="P27" s="2710"/>
      <c r="Q27" s="2710"/>
      <c r="R27" s="2710"/>
    </row>
    <row r="28" spans="1:18" ht="14.85" customHeight="1" x14ac:dyDescent="0.2">
      <c r="A28" s="2307" t="s">
        <v>50</v>
      </c>
      <c r="B28" s="851"/>
      <c r="C28" s="2707" t="s">
        <v>50</v>
      </c>
      <c r="D28" s="2707"/>
      <c r="E28" s="851"/>
      <c r="F28" s="2707"/>
      <c r="G28" s="2707"/>
      <c r="H28" s="1992"/>
      <c r="I28" s="2707"/>
      <c r="J28" s="2707"/>
      <c r="K28" s="846"/>
      <c r="L28" s="2707" t="s">
        <v>50</v>
      </c>
      <c r="M28" s="2707"/>
      <c r="N28" s="846"/>
      <c r="O28" s="2710" t="s">
        <v>50</v>
      </c>
      <c r="P28" s="2710"/>
      <c r="Q28" s="2710"/>
      <c r="R28" s="2710"/>
    </row>
    <row r="29" spans="1:18" ht="14.85" customHeight="1" x14ac:dyDescent="0.2">
      <c r="A29" s="2307"/>
      <c r="B29" s="851"/>
      <c r="C29" s="2707"/>
      <c r="D29" s="2707"/>
      <c r="E29" s="851"/>
      <c r="F29" s="2707"/>
      <c r="G29" s="2707"/>
      <c r="H29" s="1992"/>
      <c r="I29" s="2707">
        <v>0</v>
      </c>
      <c r="J29" s="2707"/>
      <c r="K29" s="846"/>
      <c r="L29" s="2707"/>
      <c r="M29" s="2707"/>
      <c r="N29" s="846"/>
      <c r="O29" s="2710" t="s">
        <v>50</v>
      </c>
      <c r="P29" s="2710"/>
      <c r="Q29" s="2710"/>
      <c r="R29" s="2710"/>
    </row>
    <row r="30" spans="1:18" ht="14.85" customHeight="1" x14ac:dyDescent="0.2">
      <c r="A30" s="2307"/>
      <c r="B30" s="851"/>
      <c r="C30" s="2707"/>
      <c r="D30" s="2707"/>
      <c r="E30" s="851"/>
      <c r="F30" s="2707"/>
      <c r="G30" s="2707"/>
      <c r="H30" s="1992"/>
      <c r="I30" s="2707"/>
      <c r="J30" s="2707"/>
      <c r="K30" s="846"/>
      <c r="L30" s="2707"/>
      <c r="M30" s="2707"/>
      <c r="N30" s="846"/>
      <c r="O30" s="2710" t="s">
        <v>50</v>
      </c>
      <c r="P30" s="2710"/>
      <c r="Q30" s="2710"/>
      <c r="R30" s="2710"/>
    </row>
    <row r="31" spans="1:18" ht="14.85" customHeight="1" x14ac:dyDescent="0.2">
      <c r="A31" s="2307"/>
      <c r="B31" s="851"/>
      <c r="C31" s="2706"/>
      <c r="D31" s="2706"/>
      <c r="E31" s="851"/>
      <c r="F31" s="2706"/>
      <c r="G31" s="2706"/>
      <c r="H31" s="2297"/>
      <c r="I31" s="2706"/>
      <c r="J31" s="2706"/>
      <c r="K31" s="846"/>
      <c r="L31" s="2706"/>
      <c r="M31" s="2706"/>
      <c r="N31" s="846"/>
      <c r="O31" s="2710"/>
      <c r="P31" s="2710"/>
      <c r="Q31" s="2710"/>
      <c r="R31" s="2710"/>
    </row>
    <row r="32" spans="1:18" ht="14.85" customHeight="1" x14ac:dyDescent="0.2">
      <c r="A32" s="2307"/>
      <c r="B32" s="851"/>
      <c r="C32" s="2706"/>
      <c r="D32" s="2706"/>
      <c r="E32" s="851"/>
      <c r="F32" s="2706"/>
      <c r="G32" s="2706"/>
      <c r="H32" s="2297"/>
      <c r="I32" s="2706"/>
      <c r="J32" s="2706"/>
      <c r="K32" s="846"/>
      <c r="L32" s="2706"/>
      <c r="M32" s="2706"/>
      <c r="N32" s="846"/>
      <c r="O32" s="2710"/>
      <c r="P32" s="2710"/>
      <c r="Q32" s="2710"/>
      <c r="R32" s="2710"/>
    </row>
    <row r="33" spans="1:18" ht="14.85" customHeight="1" x14ac:dyDescent="0.2">
      <c r="A33" s="2307"/>
      <c r="B33" s="851"/>
      <c r="C33" s="2706"/>
      <c r="D33" s="2706"/>
      <c r="E33" s="851"/>
      <c r="F33" s="2706"/>
      <c r="G33" s="2706"/>
      <c r="H33" s="2297"/>
      <c r="I33" s="2706"/>
      <c r="J33" s="2706"/>
      <c r="K33" s="846"/>
      <c r="L33" s="2706"/>
      <c r="M33" s="2706"/>
      <c r="N33" s="846"/>
      <c r="O33" s="2710"/>
      <c r="P33" s="2710"/>
      <c r="Q33" s="2710"/>
      <c r="R33" s="2710"/>
    </row>
    <row r="34" spans="1:18" ht="14.85" customHeight="1" x14ac:dyDescent="0.2">
      <c r="A34" s="2307"/>
      <c r="B34" s="851"/>
      <c r="C34" s="2706"/>
      <c r="D34" s="2706"/>
      <c r="E34" s="851"/>
      <c r="F34" s="2706"/>
      <c r="G34" s="2706"/>
      <c r="H34" s="2297"/>
      <c r="I34" s="2706"/>
      <c r="J34" s="2706"/>
      <c r="K34" s="846"/>
      <c r="L34" s="2706"/>
      <c r="M34" s="2706"/>
      <c r="N34" s="846"/>
      <c r="O34" s="2710"/>
      <c r="P34" s="2710"/>
      <c r="Q34" s="2710"/>
      <c r="R34" s="2710"/>
    </row>
    <row r="35" spans="1:18" ht="14.85" customHeight="1" x14ac:dyDescent="0.2">
      <c r="A35" s="2307"/>
      <c r="B35" s="851"/>
      <c r="C35" s="2706"/>
      <c r="D35" s="2706"/>
      <c r="E35" s="851"/>
      <c r="F35" s="2706">
        <v>0</v>
      </c>
      <c r="G35" s="2706"/>
      <c r="H35" s="2297"/>
      <c r="I35" s="2706"/>
      <c r="J35" s="2706"/>
      <c r="K35" s="846"/>
      <c r="L35" s="2706"/>
      <c r="M35" s="2706"/>
      <c r="N35" s="846"/>
      <c r="O35" s="2710"/>
      <c r="P35" s="2710"/>
      <c r="Q35" s="2710"/>
      <c r="R35" s="2710"/>
    </row>
    <row r="36" spans="1:18" ht="14.85" customHeight="1" x14ac:dyDescent="0.2">
      <c r="A36" s="2307"/>
      <c r="B36" s="851"/>
      <c r="C36" s="2706"/>
      <c r="D36" s="2706"/>
      <c r="E36" s="851"/>
      <c r="F36" s="2706"/>
      <c r="G36" s="2706"/>
      <c r="H36" s="2297"/>
      <c r="I36" s="2706"/>
      <c r="J36" s="2706"/>
      <c r="K36" s="846"/>
      <c r="L36" s="2706"/>
      <c r="M36" s="2706"/>
      <c r="N36" s="846"/>
      <c r="O36" s="2710"/>
      <c r="P36" s="2710"/>
      <c r="Q36" s="2710"/>
      <c r="R36" s="2710"/>
    </row>
    <row r="37" spans="1:18" ht="14.85" customHeight="1" thickBot="1" x14ac:dyDescent="0.25">
      <c r="A37" s="851"/>
      <c r="B37" s="851"/>
      <c r="C37" s="2703">
        <f>SUM(C25:D36)</f>
        <v>0</v>
      </c>
      <c r="D37" s="2703"/>
      <c r="E37" s="851"/>
      <c r="F37" s="2703">
        <f>SUM(F25:G36)</f>
        <v>0</v>
      </c>
      <c r="G37" s="2703"/>
      <c r="H37" s="2297"/>
      <c r="I37" s="2703">
        <f>SUM(I25:J36)</f>
        <v>0</v>
      </c>
      <c r="J37" s="2703"/>
      <c r="K37" s="846"/>
      <c r="L37" s="2703">
        <f>SUM(L25:M36)</f>
        <v>0</v>
      </c>
      <c r="M37" s="2703"/>
      <c r="N37" s="846"/>
      <c r="O37" s="2305"/>
      <c r="P37" s="2305"/>
      <c r="Q37" s="2305"/>
      <c r="R37" s="2305"/>
    </row>
    <row r="38" spans="1:18" ht="25.15" customHeight="1" thickTop="1" x14ac:dyDescent="0.2">
      <c r="A38" s="2301"/>
      <c r="B38" s="851"/>
      <c r="C38" s="2704" t="s">
        <v>1706</v>
      </c>
      <c r="D38" s="2704"/>
      <c r="E38" s="2297"/>
      <c r="F38" s="2704" t="s">
        <v>1707</v>
      </c>
      <c r="G38" s="2704"/>
      <c r="H38" s="2297"/>
      <c r="I38" s="2704" t="s">
        <v>1708</v>
      </c>
      <c r="J38" s="2704"/>
      <c r="K38" s="846"/>
      <c r="L38" s="2704" t="s">
        <v>1709</v>
      </c>
      <c r="M38" s="2704"/>
      <c r="N38" s="846"/>
      <c r="O38" s="2717" t="s">
        <v>1710</v>
      </c>
      <c r="P38" s="2717"/>
      <c r="Q38" s="2717"/>
      <c r="R38" s="2717"/>
    </row>
    <row r="39" spans="1:18" ht="14.25" customHeight="1" x14ac:dyDescent="0.2">
      <c r="G39" s="1219" t="str">
        <f>IF(F37=SUM('203'!O32:O36,+'203'!M73+'202'!G34+'202'!G55+'202'!G63)," ","ERROR**")</f>
        <v xml:space="preserve"> </v>
      </c>
      <c r="J39" s="1219" t="str">
        <f>IF(I37=-SUM('305'!G17:G40)," ","ERROR**")</f>
        <v xml:space="preserve"> </v>
      </c>
      <c r="M39" s="1219" t="str">
        <f>IF(L37=SUM('431G'!D36)," ","ERROR**")</f>
        <v xml:space="preserve"> </v>
      </c>
    </row>
    <row r="40" spans="1:18" x14ac:dyDescent="0.2">
      <c r="A40" s="1854" t="str">
        <f>IF(G39="ERROR*","ERROR*: Prior year adjustments must be identified both on worksheet 203 and 430G.","")</f>
        <v/>
      </c>
      <c r="F40" s="1855"/>
      <c r="G40" s="1219"/>
      <c r="I40" s="1855"/>
      <c r="J40" s="1855"/>
    </row>
    <row r="41" spans="1:18" ht="14.25" customHeight="1" x14ac:dyDescent="0.2">
      <c r="A41" s="1854" t="str">
        <f>IF(J39="ERROR**","ERROR**: Fund Equity Restatements listed above for Long-Term Debt does not equal the sum of the adjustments shown on worksheet 305.","")</f>
        <v/>
      </c>
      <c r="F41" s="1855"/>
      <c r="G41" s="1855"/>
      <c r="I41" s="1855"/>
      <c r="J41" s="1855"/>
    </row>
    <row r="42" spans="1:18" x14ac:dyDescent="0.2">
      <c r="F42" s="1855"/>
      <c r="G42" s="1855"/>
      <c r="I42" s="1855"/>
      <c r="J42" s="1855"/>
    </row>
    <row r="43" spans="1:18" x14ac:dyDescent="0.2">
      <c r="A43" s="159" t="s">
        <v>1711</v>
      </c>
      <c r="B43" s="159"/>
      <c r="C43" s="159"/>
      <c r="D43" s="159"/>
      <c r="E43" s="159"/>
      <c r="F43" s="159"/>
      <c r="G43" s="159"/>
      <c r="H43" s="159"/>
      <c r="I43" s="159"/>
      <c r="J43" s="159"/>
      <c r="K43" s="159"/>
      <c r="L43" s="159"/>
      <c r="M43" s="159"/>
      <c r="N43" s="159"/>
      <c r="O43" s="159"/>
      <c r="P43" s="159"/>
      <c r="Q43" s="159"/>
      <c r="R43" s="852"/>
    </row>
    <row r="44" spans="1:18" x14ac:dyDescent="0.2">
      <c r="A44" s="2709" t="s">
        <v>1712</v>
      </c>
      <c r="B44" s="2709"/>
      <c r="C44" s="2709"/>
      <c r="D44" s="2709"/>
      <c r="E44" s="2709"/>
      <c r="F44" s="2709"/>
      <c r="G44" s="2709"/>
      <c r="H44" s="2709"/>
      <c r="I44" s="2709"/>
      <c r="J44" s="2709"/>
      <c r="K44" s="2709"/>
      <c r="L44" s="2709"/>
      <c r="M44" s="2709"/>
      <c r="N44" s="2709"/>
      <c r="O44" s="2709"/>
      <c r="P44" s="2709"/>
      <c r="Q44" s="2396"/>
      <c r="R44" s="2396"/>
    </row>
    <row r="45" spans="1:18" ht="14.85" customHeight="1" x14ac:dyDescent="0.2">
      <c r="A45" s="2709" t="s">
        <v>1713</v>
      </c>
      <c r="B45" s="2396"/>
      <c r="C45" s="2396"/>
      <c r="D45" s="2396"/>
      <c r="E45" s="2396"/>
      <c r="F45" s="2396"/>
      <c r="G45" s="2396"/>
      <c r="H45" s="2396"/>
      <c r="I45" s="2396"/>
      <c r="J45" s="2396"/>
      <c r="K45" s="2396"/>
      <c r="L45" s="2396"/>
      <c r="M45" s="2396"/>
      <c r="N45" s="2396"/>
      <c r="O45" s="2396"/>
      <c r="P45" s="2396"/>
      <c r="Q45" s="2396"/>
      <c r="R45" s="2396"/>
    </row>
    <row r="46" spans="1:18" ht="14.85" customHeight="1" x14ac:dyDescent="0.2"/>
    <row r="47" spans="1:18" ht="14.85" customHeight="1" x14ac:dyDescent="0.2"/>
    <row r="48" spans="1:18" ht="14.85" customHeight="1" x14ac:dyDescent="0.2"/>
    <row r="49" ht="14.85" customHeight="1" x14ac:dyDescent="0.2"/>
    <row r="50" ht="14.85" customHeight="1" x14ac:dyDescent="0.2"/>
    <row r="51" ht="14.85" customHeight="1" x14ac:dyDescent="0.2"/>
    <row r="53" s="10" customFormat="1" x14ac:dyDescent="0.2"/>
  </sheetData>
  <sheetProtection algorithmName="SHA-512" hashValue="nTKKSyyjKlMKHT38NwUWWqcKPQROb3TDNwuzioeYD9/wvyfteWQf1TaTEo7/SdHe8swoSknReb/w0AwZ8GMmlQ==" saltValue="IPfmshELEXBJzOw1p8NXAQ==" spinCount="100000" sheet="1" objects="1" scenarios="1" autoFilter="0"/>
  <customSheetViews>
    <customSheetView guid="{9FCFC836-1CA5-48BF-958D-24D2EA94B219}" fitToPage="1" hiddenRows="1">
      <selection sqref="A1:R1"/>
      <pageMargins left="0" right="0" top="0" bottom="0" header="0" footer="0"/>
      <pageSetup scale="77" orientation="landscape" r:id="rId1"/>
      <headerFooter alignWithMargins="0">
        <oddFooter>&amp;R&amp;A</oddFooter>
      </headerFooter>
    </customSheetView>
    <customSheetView guid="{B08879A4-635B-4C39-9937-AC7883D562FC}" fitToPage="1" hiddenRows="1">
      <selection sqref="A1:R1"/>
      <pageMargins left="0" right="0" top="0" bottom="0" header="0" footer="0"/>
      <pageSetup scale="77" orientation="landscape" r:id="rId2"/>
      <headerFooter alignWithMargins="0">
        <oddFooter>&amp;R&amp;A</oddFooter>
      </headerFooter>
    </customSheetView>
  </customSheetViews>
  <mergeCells count="104">
    <mergeCell ref="O38:R38"/>
    <mergeCell ref="S1:S3"/>
    <mergeCell ref="A1:R1"/>
    <mergeCell ref="D8:F8"/>
    <mergeCell ref="A2:R2"/>
    <mergeCell ref="A3:R3"/>
    <mergeCell ref="D6:F6"/>
    <mergeCell ref="L6:P6"/>
    <mergeCell ref="L7:P7"/>
    <mergeCell ref="L8:P8"/>
    <mergeCell ref="A4:R4"/>
    <mergeCell ref="R5:R7"/>
    <mergeCell ref="I25:J25"/>
    <mergeCell ref="L24:M24"/>
    <mergeCell ref="L25:M25"/>
    <mergeCell ref="C17:D17"/>
    <mergeCell ref="L17:M17"/>
    <mergeCell ref="F17:G17"/>
    <mergeCell ref="I17:J17"/>
    <mergeCell ref="F25:G25"/>
    <mergeCell ref="O24:R24"/>
    <mergeCell ref="O25:R25"/>
    <mergeCell ref="C22:D22"/>
    <mergeCell ref="F22:G22"/>
    <mergeCell ref="I22:J22"/>
    <mergeCell ref="C25:D25"/>
    <mergeCell ref="A11:Q11"/>
    <mergeCell ref="A12:Q12"/>
    <mergeCell ref="L23:M23"/>
    <mergeCell ref="L22:M22"/>
    <mergeCell ref="I23:J23"/>
    <mergeCell ref="F23:G23"/>
    <mergeCell ref="C23:D23"/>
    <mergeCell ref="I18:J18"/>
    <mergeCell ref="F18:G18"/>
    <mergeCell ref="C18:D18"/>
    <mergeCell ref="I19:J19"/>
    <mergeCell ref="L18:M18"/>
    <mergeCell ref="F19:G19"/>
    <mergeCell ref="O27:R27"/>
    <mergeCell ref="O31:R31"/>
    <mergeCell ref="I35:J35"/>
    <mergeCell ref="L27:M27"/>
    <mergeCell ref="L26:M26"/>
    <mergeCell ref="I29:J29"/>
    <mergeCell ref="I27:J27"/>
    <mergeCell ref="I26:J26"/>
    <mergeCell ref="L28:M28"/>
    <mergeCell ref="I28:J28"/>
    <mergeCell ref="O26:R26"/>
    <mergeCell ref="L35:M35"/>
    <mergeCell ref="I31:J31"/>
    <mergeCell ref="I30:J30"/>
    <mergeCell ref="I32:J32"/>
    <mergeCell ref="I33:J33"/>
    <mergeCell ref="O30:R30"/>
    <mergeCell ref="O34:R34"/>
    <mergeCell ref="O28:R28"/>
    <mergeCell ref="L30:M30"/>
    <mergeCell ref="L34:M34"/>
    <mergeCell ref="L31:M31"/>
    <mergeCell ref="L32:M32"/>
    <mergeCell ref="L33:M33"/>
    <mergeCell ref="A45:R45"/>
    <mergeCell ref="F37:G37"/>
    <mergeCell ref="F29:G29"/>
    <mergeCell ref="C32:D32"/>
    <mergeCell ref="C34:D34"/>
    <mergeCell ref="F34:G34"/>
    <mergeCell ref="O29:R29"/>
    <mergeCell ref="O35:R35"/>
    <mergeCell ref="O36:R36"/>
    <mergeCell ref="C33:D33"/>
    <mergeCell ref="F32:G32"/>
    <mergeCell ref="I34:J34"/>
    <mergeCell ref="L36:M36"/>
    <mergeCell ref="I36:J36"/>
    <mergeCell ref="L29:M29"/>
    <mergeCell ref="C35:D35"/>
    <mergeCell ref="A44:R44"/>
    <mergeCell ref="F35:G35"/>
    <mergeCell ref="O32:R32"/>
    <mergeCell ref="O33:R33"/>
    <mergeCell ref="F38:G38"/>
    <mergeCell ref="F36:G36"/>
    <mergeCell ref="I38:J38"/>
    <mergeCell ref="I37:J37"/>
    <mergeCell ref="L37:M37"/>
    <mergeCell ref="L38:M38"/>
    <mergeCell ref="C37:D37"/>
    <mergeCell ref="C38:D38"/>
    <mergeCell ref="F26:G26"/>
    <mergeCell ref="C36:D36"/>
    <mergeCell ref="C29:D29"/>
    <mergeCell ref="F33:G33"/>
    <mergeCell ref="C31:D31"/>
    <mergeCell ref="C30:D30"/>
    <mergeCell ref="F30:G30"/>
    <mergeCell ref="F31:G31"/>
    <mergeCell ref="F27:G27"/>
    <mergeCell ref="C27:D27"/>
    <mergeCell ref="C28:D28"/>
    <mergeCell ref="F28:G28"/>
    <mergeCell ref="C26:D26"/>
  </mergeCells>
  <phoneticPr fontId="0" type="noConversion"/>
  <conditionalFormatting sqref="R5:R7">
    <cfRule type="cellIs" dxfId="82" priority="1" stopIfTrue="1" operator="equal">
      <formula>"na"</formula>
    </cfRule>
  </conditionalFormatting>
  <conditionalFormatting sqref="S1:S4">
    <cfRule type="cellIs" dxfId="81" priority="2" stopIfTrue="1" operator="equal">
      <formula>"na"</formula>
    </cfRule>
  </conditionalFormatting>
  <hyperlinks>
    <hyperlink ref="A1:R1" location="Index!A1" display="Index!A1" xr:uid="{00000000-0004-0000-2200-000000000000}"/>
  </hyperlinks>
  <pageMargins left="0.6" right="0.6" top="0.5" bottom="0.5" header="0.3" footer="0.3"/>
  <pageSetup scale="85" orientation="landscape"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dimension ref="A1:S50"/>
  <sheetViews>
    <sheetView zoomScaleNormal="100" zoomScaleSheetLayoutView="100" workbookViewId="0">
      <selection activeCell="A2" sqref="A2:R2"/>
    </sheetView>
  </sheetViews>
  <sheetFormatPr defaultRowHeight="12.75" x14ac:dyDescent="0.2"/>
  <cols>
    <col min="2" max="2" width="0.5703125" customWidth="1"/>
    <col min="4" max="4" width="9.140625" customWidth="1"/>
    <col min="5" max="5" width="0.5703125" customWidth="1"/>
    <col min="7" max="7" width="12" customWidth="1"/>
    <col min="8" max="8" width="0.5703125" customWidth="1"/>
    <col min="10" max="10" width="14.42578125" customWidth="1"/>
    <col min="11" max="11" width="0.5703125" customWidth="1"/>
    <col min="13" max="13" width="13.140625" customWidth="1"/>
    <col min="14" max="14" width="0.5703125" customWidth="1"/>
    <col min="17" max="17" width="9.42578125" customWidth="1"/>
    <col min="18" max="18" width="24.7109375" customWidth="1"/>
    <col min="19" max="19" width="7.5703125" customWidth="1"/>
  </cols>
  <sheetData>
    <row r="1" spans="1:19" ht="15.75" x14ac:dyDescent="0.25">
      <c r="A1" s="2455" t="str">
        <f>+Index!$A$1</f>
        <v xml:space="preserve">                                                               Office of the State Controller                                                                </v>
      </c>
      <c r="B1" s="2455"/>
      <c r="C1" s="2455"/>
      <c r="D1" s="2455"/>
      <c r="E1" s="2455"/>
      <c r="F1" s="2455"/>
      <c r="G1" s="2455"/>
      <c r="H1" s="2455"/>
      <c r="I1" s="2455"/>
      <c r="J1" s="2455"/>
      <c r="K1" s="2455"/>
      <c r="L1" s="2455"/>
      <c r="M1" s="2455"/>
      <c r="N1" s="2455"/>
      <c r="O1" s="2455"/>
      <c r="P1" s="2455"/>
      <c r="Q1" s="2455"/>
      <c r="R1" s="2455"/>
      <c r="S1" s="2456" t="s">
        <v>50</v>
      </c>
    </row>
    <row r="2" spans="1:19" ht="15.75" x14ac:dyDescent="0.25">
      <c r="A2" s="2718" t="str">
        <f>+Index!$A$2</f>
        <v>2023 ACFR Worksheets</v>
      </c>
      <c r="B2" s="2718"/>
      <c r="C2" s="2718"/>
      <c r="D2" s="2718"/>
      <c r="E2" s="2718"/>
      <c r="F2" s="2718"/>
      <c r="G2" s="2718"/>
      <c r="H2" s="2718"/>
      <c r="I2" s="2718"/>
      <c r="J2" s="2718"/>
      <c r="K2" s="2718"/>
      <c r="L2" s="2718"/>
      <c r="M2" s="2718"/>
      <c r="N2" s="2718"/>
      <c r="O2" s="2718"/>
      <c r="P2" s="2718"/>
      <c r="Q2" s="2718"/>
      <c r="R2" s="2718"/>
      <c r="S2" s="2456"/>
    </row>
    <row r="3" spans="1:19" ht="15.75" x14ac:dyDescent="0.25">
      <c r="A3" s="2634" t="s">
        <v>1714</v>
      </c>
      <c r="B3" s="2634"/>
      <c r="C3" s="2634"/>
      <c r="D3" s="2634"/>
      <c r="E3" s="2634"/>
      <c r="F3" s="2634"/>
      <c r="G3" s="2634"/>
      <c r="H3" s="2634"/>
      <c r="I3" s="2634"/>
      <c r="J3" s="2634"/>
      <c r="K3" s="2634"/>
      <c r="L3" s="2634"/>
      <c r="M3" s="2634"/>
      <c r="N3" s="2634"/>
      <c r="O3" s="2634"/>
      <c r="P3" s="2634"/>
      <c r="Q3" s="2634"/>
      <c r="R3" s="2634"/>
      <c r="S3" s="2456"/>
    </row>
    <row r="4" spans="1:19" ht="15.75" x14ac:dyDescent="0.25">
      <c r="A4" s="2719" t="s">
        <v>1686</v>
      </c>
      <c r="B4" s="2634"/>
      <c r="C4" s="2634"/>
      <c r="D4" s="2634"/>
      <c r="E4" s="2634"/>
      <c r="F4" s="2634"/>
      <c r="G4" s="2634"/>
      <c r="H4" s="2634"/>
      <c r="I4" s="2634"/>
      <c r="J4" s="2634"/>
      <c r="K4" s="2634"/>
      <c r="L4" s="2634"/>
      <c r="M4" s="2634"/>
      <c r="N4" s="2634"/>
      <c r="O4" s="2634"/>
      <c r="P4" s="2634"/>
      <c r="Q4" s="2634"/>
      <c r="R4" s="2634"/>
      <c r="S4" s="2215"/>
    </row>
    <row r="5" spans="1:19" x14ac:dyDescent="0.2">
      <c r="A5" s="18"/>
      <c r="B5" s="18"/>
      <c r="C5" s="18"/>
      <c r="D5" s="18"/>
      <c r="E5" s="18"/>
      <c r="F5" s="18"/>
      <c r="G5" s="18"/>
      <c r="H5" s="18"/>
      <c r="I5" s="18"/>
      <c r="J5" s="18"/>
      <c r="K5" s="18"/>
      <c r="L5" s="18"/>
      <c r="M5" s="18"/>
      <c r="N5" s="18"/>
      <c r="O5" s="18"/>
      <c r="P5" s="18"/>
      <c r="Q5" s="18"/>
      <c r="R5" s="2456" t="str">
        <f>IF(Index!$B$61="na","NA","")</f>
        <v/>
      </c>
    </row>
    <row r="6" spans="1:19" x14ac:dyDescent="0.2">
      <c r="A6" s="2301" t="s">
        <v>317</v>
      </c>
      <c r="B6" s="846"/>
      <c r="C6" s="846"/>
      <c r="D6" s="2715" t="str">
        <f>+Index!$E$10</f>
        <v>01</v>
      </c>
      <c r="E6" s="2715"/>
      <c r="F6" s="2715"/>
      <c r="G6" s="846"/>
      <c r="H6" s="846"/>
      <c r="I6" s="846"/>
      <c r="J6" s="847" t="s">
        <v>318</v>
      </c>
      <c r="K6" s="149"/>
      <c r="L6" s="2492" t="str">
        <f>+Index!$E$11</f>
        <v>North Carolina General Assembly</v>
      </c>
      <c r="M6" s="2492"/>
      <c r="N6" s="2492"/>
      <c r="O6" s="2492"/>
      <c r="P6" s="2492"/>
      <c r="R6" s="2456"/>
    </row>
    <row r="7" spans="1:19" x14ac:dyDescent="0.2">
      <c r="A7" s="159"/>
      <c r="B7" s="846"/>
      <c r="C7" s="846"/>
      <c r="D7" s="846"/>
      <c r="E7" s="846"/>
      <c r="F7" s="846"/>
      <c r="G7" s="846"/>
      <c r="H7" s="846"/>
      <c r="I7" s="846"/>
      <c r="J7" s="847" t="s">
        <v>319</v>
      </c>
      <c r="K7" s="18"/>
      <c r="L7" s="2546" t="str">
        <f>CONCATENATE(Index!$E$12,"",Index!$E$14)</f>
        <v/>
      </c>
      <c r="M7" s="2546"/>
      <c r="N7" s="2546"/>
      <c r="O7" s="2546"/>
      <c r="P7" s="2546"/>
      <c r="R7" s="2456"/>
    </row>
    <row r="8" spans="1:19" x14ac:dyDescent="0.2">
      <c r="A8" s="846" t="s">
        <v>568</v>
      </c>
      <c r="B8" s="846"/>
      <c r="C8" s="846"/>
      <c r="D8" s="2724"/>
      <c r="E8" s="2564"/>
      <c r="F8" s="2564"/>
      <c r="G8" s="846"/>
      <c r="H8" s="846"/>
      <c r="I8" s="846"/>
      <c r="J8" s="847" t="s">
        <v>71</v>
      </c>
      <c r="K8" s="149"/>
      <c r="L8" s="2546">
        <f>+Index!$E$13</f>
        <v>0</v>
      </c>
      <c r="M8" s="2546"/>
      <c r="N8" s="2546"/>
      <c r="O8" s="2546"/>
      <c r="P8" s="2546"/>
    </row>
    <row r="9" spans="1:19" ht="13.5" thickBot="1" x14ac:dyDescent="0.25">
      <c r="A9" s="84"/>
      <c r="B9" s="84"/>
      <c r="C9" s="84"/>
      <c r="D9" s="84"/>
      <c r="E9" s="84"/>
      <c r="F9" s="84"/>
      <c r="G9" s="84"/>
      <c r="H9" s="84"/>
      <c r="I9" s="84"/>
      <c r="J9" s="84"/>
      <c r="K9" s="84"/>
      <c r="L9" s="84"/>
      <c r="M9" s="84"/>
      <c r="N9" s="84"/>
      <c r="O9" s="84"/>
      <c r="P9" s="84"/>
      <c r="Q9" s="84"/>
      <c r="R9" s="84"/>
    </row>
    <row r="10" spans="1:19" x14ac:dyDescent="0.2">
      <c r="A10" s="18"/>
      <c r="B10" s="18"/>
      <c r="C10" s="18"/>
      <c r="D10" s="18"/>
      <c r="E10" s="18"/>
      <c r="F10" s="18"/>
      <c r="G10" s="18"/>
      <c r="H10" s="18"/>
      <c r="I10" s="18"/>
      <c r="J10" s="18"/>
      <c r="K10" s="18"/>
      <c r="L10" s="18"/>
      <c r="M10" s="18"/>
      <c r="N10" s="18"/>
      <c r="O10" s="18"/>
      <c r="P10" s="18"/>
      <c r="Q10" s="18"/>
      <c r="R10" s="18"/>
    </row>
    <row r="11" spans="1:19" x14ac:dyDescent="0.2">
      <c r="A11" s="2713" t="s">
        <v>1687</v>
      </c>
      <c r="B11" s="2713"/>
      <c r="C11" s="2713"/>
      <c r="D11" s="2713"/>
      <c r="E11" s="2713"/>
      <c r="F11" s="2713"/>
      <c r="G11" s="2713"/>
      <c r="H11" s="2713"/>
      <c r="I11" s="2713"/>
      <c r="J11" s="2713"/>
      <c r="K11" s="2713"/>
      <c r="L11" s="2713"/>
      <c r="M11" s="2713"/>
      <c r="N11" s="2713"/>
      <c r="O11" s="2713"/>
      <c r="P11" s="2713"/>
      <c r="Q11" s="2713"/>
      <c r="R11" s="846"/>
    </row>
    <row r="12" spans="1:19" x14ac:dyDescent="0.2">
      <c r="A12" s="2713" t="s">
        <v>1715</v>
      </c>
      <c r="B12" s="2713"/>
      <c r="C12" s="2713"/>
      <c r="D12" s="2713"/>
      <c r="E12" s="2713"/>
      <c r="F12" s="2713"/>
      <c r="G12" s="2713"/>
      <c r="H12" s="2713"/>
      <c r="I12" s="2713"/>
      <c r="J12" s="2713"/>
      <c r="K12" s="2713"/>
      <c r="L12" s="2713"/>
      <c r="M12" s="2713"/>
      <c r="N12" s="2713"/>
      <c r="O12" s="2713"/>
      <c r="P12" s="2713"/>
      <c r="Q12" s="2713"/>
      <c r="R12" s="846"/>
    </row>
    <row r="13" spans="1:19" x14ac:dyDescent="0.2">
      <c r="A13" s="846"/>
      <c r="B13" s="846"/>
      <c r="C13" s="846"/>
      <c r="D13" s="846"/>
      <c r="E13" s="846"/>
      <c r="F13" s="846"/>
      <c r="G13" s="846"/>
      <c r="H13" s="846"/>
      <c r="I13" s="846"/>
      <c r="J13" s="846"/>
      <c r="K13" s="846"/>
      <c r="L13" s="846"/>
      <c r="M13" s="846"/>
      <c r="N13" s="846"/>
      <c r="O13" s="846"/>
      <c r="P13" s="846"/>
      <c r="Q13" s="846"/>
      <c r="R13" s="846"/>
    </row>
    <row r="14" spans="1:19" ht="11.1" customHeight="1" x14ac:dyDescent="0.2">
      <c r="A14" s="846"/>
      <c r="B14" s="846"/>
      <c r="C14" s="846"/>
      <c r="D14" s="846"/>
      <c r="E14" s="846"/>
      <c r="F14" s="846"/>
      <c r="G14" s="846"/>
      <c r="H14" s="846"/>
      <c r="I14" s="846"/>
      <c r="J14" s="846"/>
      <c r="K14" s="846"/>
      <c r="L14" s="846"/>
      <c r="M14" s="846"/>
      <c r="N14" s="846"/>
      <c r="O14" s="846"/>
      <c r="P14" s="846"/>
      <c r="Q14" s="846"/>
      <c r="R14" s="846"/>
    </row>
    <row r="15" spans="1:19" ht="14.85" customHeight="1" x14ac:dyDescent="0.2">
      <c r="A15" s="2301" t="s">
        <v>1716</v>
      </c>
      <c r="B15" s="851"/>
      <c r="C15" s="2306"/>
      <c r="D15" s="2306"/>
      <c r="E15" s="851"/>
      <c r="F15" s="2306"/>
      <c r="G15" s="2306"/>
      <c r="H15" s="2297"/>
      <c r="I15" s="2306"/>
      <c r="J15" s="2306"/>
      <c r="K15" s="846"/>
      <c r="L15" s="2306"/>
      <c r="M15" s="2306"/>
      <c r="N15" s="846"/>
      <c r="O15" s="2305"/>
      <c r="P15" s="2305"/>
      <c r="Q15" s="2305"/>
      <c r="R15" s="2305"/>
    </row>
    <row r="16" spans="1:19" ht="14.25" customHeight="1" x14ac:dyDescent="0.2">
      <c r="A16" s="851"/>
      <c r="B16" s="851"/>
      <c r="C16" s="2723"/>
      <c r="D16" s="2723"/>
      <c r="E16" s="851"/>
      <c r="F16" s="2723"/>
      <c r="G16" s="2723"/>
      <c r="H16" s="2297"/>
      <c r="I16" s="2723"/>
      <c r="J16" s="2723"/>
      <c r="K16" s="846"/>
      <c r="L16" s="2723"/>
      <c r="M16" s="2723"/>
      <c r="N16" s="846"/>
      <c r="O16" s="2722"/>
      <c r="P16" s="2722"/>
      <c r="Q16" s="2722"/>
      <c r="R16" s="2722"/>
    </row>
    <row r="17" spans="1:18" x14ac:dyDescent="0.2">
      <c r="A17" s="846"/>
      <c r="B17" s="846"/>
      <c r="C17" s="2704" t="s">
        <v>1596</v>
      </c>
      <c r="D17" s="2704"/>
      <c r="E17" s="846"/>
      <c r="F17" s="2704" t="s">
        <v>1717</v>
      </c>
      <c r="G17" s="2704"/>
      <c r="H17" s="846"/>
      <c r="I17" s="2704" t="s">
        <v>1718</v>
      </c>
      <c r="J17" s="2704"/>
      <c r="K17" s="846"/>
      <c r="L17" s="2704"/>
      <c r="M17" s="2704"/>
      <c r="N17" s="846"/>
      <c r="O17" s="846"/>
      <c r="P17" s="846"/>
      <c r="Q17" s="846"/>
      <c r="R17" s="846"/>
    </row>
    <row r="18" spans="1:18" ht="14.25" customHeight="1" x14ac:dyDescent="0.2">
      <c r="A18" s="846"/>
      <c r="B18" s="846"/>
      <c r="C18" s="2715" t="s">
        <v>1693</v>
      </c>
      <c r="D18" s="2715"/>
      <c r="E18" s="846"/>
      <c r="F18" s="2715" t="s">
        <v>1719</v>
      </c>
      <c r="G18" s="2715"/>
      <c r="H18" s="846"/>
      <c r="I18" s="2715" t="s">
        <v>1719</v>
      </c>
      <c r="J18" s="2715"/>
      <c r="K18" s="846"/>
      <c r="L18" s="2715" t="s">
        <v>1696</v>
      </c>
      <c r="M18" s="2715"/>
      <c r="N18" s="846"/>
      <c r="O18" s="846"/>
      <c r="P18" s="846"/>
      <c r="Q18" s="846"/>
      <c r="R18" s="846"/>
    </row>
    <row r="19" spans="1:18" ht="12.75" hidden="1" customHeight="1" x14ac:dyDescent="0.2">
      <c r="A19" s="846"/>
      <c r="B19" s="846"/>
      <c r="C19" s="159"/>
      <c r="D19" s="159"/>
      <c r="E19" s="846"/>
      <c r="F19" s="2715" t="s">
        <v>50</v>
      </c>
      <c r="G19" s="2715"/>
      <c r="H19" s="846"/>
      <c r="I19" s="2715" t="s">
        <v>50</v>
      </c>
      <c r="J19" s="2715"/>
      <c r="K19" s="846"/>
      <c r="L19" s="159"/>
      <c r="M19" s="159"/>
      <c r="N19" s="846"/>
      <c r="O19" s="846"/>
      <c r="P19" s="846"/>
      <c r="Q19" s="846"/>
      <c r="R19" s="846"/>
    </row>
    <row r="20" spans="1:18" ht="13.5" hidden="1" customHeight="1" thickBot="1" x14ac:dyDescent="0.25">
      <c r="A20" s="846"/>
      <c r="B20" s="846"/>
      <c r="C20" s="848" t="s">
        <v>50</v>
      </c>
      <c r="D20" s="848" t="s">
        <v>50</v>
      </c>
      <c r="E20" s="846"/>
      <c r="F20" s="848" t="s">
        <v>50</v>
      </c>
      <c r="G20" s="848"/>
      <c r="H20" s="846"/>
      <c r="I20" s="848" t="s">
        <v>50</v>
      </c>
      <c r="J20" s="848"/>
      <c r="K20" s="846"/>
      <c r="L20" s="848" t="s">
        <v>50</v>
      </c>
      <c r="M20" s="848"/>
      <c r="N20" s="846"/>
      <c r="O20" s="846"/>
      <c r="P20" s="846"/>
      <c r="Q20" s="846"/>
      <c r="R20" s="846"/>
    </row>
    <row r="21" spans="1:18" ht="12.75" hidden="1" customHeight="1" x14ac:dyDescent="0.2">
      <c r="A21" s="846"/>
      <c r="B21" s="846"/>
      <c r="C21" s="849"/>
      <c r="D21" s="849"/>
      <c r="E21" s="846"/>
      <c r="F21" s="849"/>
      <c r="G21" s="849"/>
      <c r="H21" s="846"/>
      <c r="I21" s="849"/>
      <c r="J21" s="849"/>
      <c r="K21" s="846"/>
      <c r="L21" s="849"/>
      <c r="M21" s="849"/>
      <c r="N21" s="846"/>
      <c r="O21" s="846"/>
      <c r="P21" s="846"/>
      <c r="Q21" s="846"/>
      <c r="R21" s="846"/>
    </row>
    <row r="22" spans="1:18" x14ac:dyDescent="0.2">
      <c r="A22" s="2297" t="s">
        <v>1596</v>
      </c>
      <c r="B22" s="2297"/>
      <c r="C22" s="2712" t="s">
        <v>1698</v>
      </c>
      <c r="D22" s="2712"/>
      <c r="E22" s="2297"/>
      <c r="F22" s="2712" t="s">
        <v>1697</v>
      </c>
      <c r="G22" s="2712"/>
      <c r="H22" s="2297"/>
      <c r="I22" s="2712" t="s">
        <v>1697</v>
      </c>
      <c r="J22" s="2712"/>
      <c r="K22" s="2297"/>
      <c r="L22" s="2712" t="s">
        <v>1698</v>
      </c>
      <c r="M22" s="2712"/>
      <c r="N22" s="2297"/>
      <c r="O22" s="846"/>
      <c r="P22" s="846"/>
      <c r="Q22" s="846"/>
      <c r="R22" s="846"/>
    </row>
    <row r="23" spans="1:18" x14ac:dyDescent="0.2">
      <c r="A23" s="2297" t="s">
        <v>1699</v>
      </c>
      <c r="B23" s="2297"/>
      <c r="C23" s="2714">
        <v>44743</v>
      </c>
      <c r="D23" s="2714"/>
      <c r="E23" s="2297"/>
      <c r="F23" s="2714">
        <v>44743</v>
      </c>
      <c r="G23" s="2714"/>
      <c r="H23" s="2297"/>
      <c r="I23" s="2714">
        <v>44743</v>
      </c>
      <c r="J23" s="2714"/>
      <c r="K23" s="2297"/>
      <c r="L23" s="2714">
        <v>44743</v>
      </c>
      <c r="M23" s="2714"/>
      <c r="N23" s="2297"/>
      <c r="O23" s="846"/>
      <c r="P23" s="846"/>
      <c r="Q23" s="846"/>
      <c r="R23" s="846"/>
    </row>
    <row r="24" spans="1:18" x14ac:dyDescent="0.2">
      <c r="A24" s="2303" t="s">
        <v>1700</v>
      </c>
      <c r="B24" s="2297"/>
      <c r="C24" s="850" t="s">
        <v>1701</v>
      </c>
      <c r="D24" s="850"/>
      <c r="E24" s="2297"/>
      <c r="F24" s="850" t="s">
        <v>1702</v>
      </c>
      <c r="G24" s="850"/>
      <c r="H24" s="2297"/>
      <c r="I24" s="850" t="s">
        <v>1702</v>
      </c>
      <c r="J24" s="850"/>
      <c r="K24" s="2297"/>
      <c r="L24" s="2704" t="s">
        <v>1701</v>
      </c>
      <c r="M24" s="2704"/>
      <c r="N24" s="2297"/>
      <c r="O24" s="2715" t="s">
        <v>1703</v>
      </c>
      <c r="P24" s="2715"/>
      <c r="Q24" s="2715"/>
      <c r="R24" s="2715"/>
    </row>
    <row r="25" spans="1:18" ht="14.85" customHeight="1" x14ac:dyDescent="0.2">
      <c r="A25" s="2307" t="s">
        <v>50</v>
      </c>
      <c r="B25" s="851"/>
      <c r="C25" s="2706" t="s">
        <v>50</v>
      </c>
      <c r="D25" s="2706"/>
      <c r="E25" s="2297"/>
      <c r="F25" s="2706"/>
      <c r="G25" s="2706"/>
      <c r="H25" s="2297"/>
      <c r="I25" s="2705" t="s">
        <v>50</v>
      </c>
      <c r="J25" s="2705"/>
      <c r="K25" s="846"/>
      <c r="L25" s="2705"/>
      <c r="M25" s="2705"/>
      <c r="N25" s="846"/>
      <c r="O25" s="2711" t="s">
        <v>1704</v>
      </c>
      <c r="P25" s="2711"/>
      <c r="Q25" s="2711"/>
      <c r="R25" s="2711"/>
    </row>
    <row r="26" spans="1:18" ht="14.85" customHeight="1" x14ac:dyDescent="0.2">
      <c r="A26" s="2307" t="s">
        <v>50</v>
      </c>
      <c r="B26" s="851"/>
      <c r="C26" s="2706"/>
      <c r="D26" s="2706"/>
      <c r="E26" s="2297"/>
      <c r="F26" s="2705"/>
      <c r="G26" s="2705"/>
      <c r="H26" s="2297"/>
      <c r="I26" s="2706"/>
      <c r="J26" s="2706"/>
      <c r="K26" s="846"/>
      <c r="L26" s="2705"/>
      <c r="M26" s="2705"/>
      <c r="N26" s="846"/>
      <c r="O26" s="2711" t="s">
        <v>1705</v>
      </c>
      <c r="P26" s="2711"/>
      <c r="Q26" s="2711"/>
      <c r="R26" s="2711"/>
    </row>
    <row r="27" spans="1:18" ht="14.85" customHeight="1" x14ac:dyDescent="0.2">
      <c r="A27" s="2307"/>
      <c r="B27" s="851"/>
      <c r="C27" s="2706"/>
      <c r="D27" s="2706"/>
      <c r="E27" s="851"/>
      <c r="F27" s="2707"/>
      <c r="G27" s="2707"/>
      <c r="H27" s="1992"/>
      <c r="I27" s="2707"/>
      <c r="J27" s="2707"/>
      <c r="K27" s="846"/>
      <c r="L27" s="2707"/>
      <c r="M27" s="2707"/>
      <c r="N27" s="846"/>
      <c r="O27" s="2710" t="s">
        <v>50</v>
      </c>
      <c r="P27" s="2710"/>
      <c r="Q27" s="2710"/>
      <c r="R27" s="2710"/>
    </row>
    <row r="28" spans="1:18" ht="14.85" customHeight="1" x14ac:dyDescent="0.2">
      <c r="A28" s="2307"/>
      <c r="B28" s="851"/>
      <c r="C28" s="2706"/>
      <c r="D28" s="2706"/>
      <c r="E28" s="851"/>
      <c r="F28" s="2707"/>
      <c r="G28" s="2707"/>
      <c r="H28" s="1992"/>
      <c r="I28" s="2707"/>
      <c r="J28" s="2707"/>
      <c r="K28" s="846"/>
      <c r="L28" s="2707"/>
      <c r="M28" s="2707"/>
      <c r="N28" s="846"/>
      <c r="O28" s="2710" t="s">
        <v>50</v>
      </c>
      <c r="P28" s="2710"/>
      <c r="Q28" s="2710"/>
      <c r="R28" s="2710"/>
    </row>
    <row r="29" spans="1:18" ht="14.85" customHeight="1" x14ac:dyDescent="0.2">
      <c r="A29" s="2307"/>
      <c r="B29" s="851"/>
      <c r="C29" s="2706"/>
      <c r="D29" s="2706"/>
      <c r="E29" s="851"/>
      <c r="F29" s="2707"/>
      <c r="G29" s="2707"/>
      <c r="H29" s="1992"/>
      <c r="I29" s="2707"/>
      <c r="J29" s="2707"/>
      <c r="K29" s="846"/>
      <c r="L29" s="2707"/>
      <c r="M29" s="2707"/>
      <c r="N29" s="846"/>
      <c r="O29" s="2710" t="s">
        <v>50</v>
      </c>
      <c r="P29" s="2710"/>
      <c r="Q29" s="2710"/>
      <c r="R29" s="2710"/>
    </row>
    <row r="30" spans="1:18" ht="14.85" customHeight="1" x14ac:dyDescent="0.2">
      <c r="A30" s="2307"/>
      <c r="B30" s="851"/>
      <c r="C30" s="2706"/>
      <c r="D30" s="2706"/>
      <c r="E30" s="851"/>
      <c r="F30" s="2706"/>
      <c r="G30" s="2706"/>
      <c r="H30" s="1992"/>
      <c r="I30" s="2707"/>
      <c r="J30" s="2707"/>
      <c r="K30" s="846"/>
      <c r="L30" s="2706"/>
      <c r="M30" s="2706"/>
      <c r="N30" s="846"/>
      <c r="O30" s="2710" t="s">
        <v>50</v>
      </c>
      <c r="P30" s="2710"/>
      <c r="Q30" s="2710"/>
      <c r="R30" s="2710"/>
    </row>
    <row r="31" spans="1:18" ht="14.85" customHeight="1" x14ac:dyDescent="0.2">
      <c r="A31" s="2307"/>
      <c r="B31" s="851"/>
      <c r="C31" s="2706"/>
      <c r="D31" s="2706"/>
      <c r="E31" s="851"/>
      <c r="F31" s="2706"/>
      <c r="G31" s="2706"/>
      <c r="H31" s="2297"/>
      <c r="I31" s="2706"/>
      <c r="J31" s="2706"/>
      <c r="K31" s="846"/>
      <c r="L31" s="2706"/>
      <c r="M31" s="2706"/>
      <c r="N31" s="846"/>
      <c r="O31" s="2710"/>
      <c r="P31" s="2710"/>
      <c r="Q31" s="2710"/>
      <c r="R31" s="2710"/>
    </row>
    <row r="32" spans="1:18" ht="14.85" customHeight="1" x14ac:dyDescent="0.2">
      <c r="A32" s="2307"/>
      <c r="B32" s="851"/>
      <c r="C32" s="2706" t="s">
        <v>50</v>
      </c>
      <c r="D32" s="2706"/>
      <c r="E32" s="851"/>
      <c r="F32" s="2706"/>
      <c r="G32" s="2706"/>
      <c r="H32" s="2297"/>
      <c r="I32" s="2706"/>
      <c r="J32" s="2706"/>
      <c r="K32" s="846"/>
      <c r="L32" s="2706" t="s">
        <v>50</v>
      </c>
      <c r="M32" s="2706"/>
      <c r="N32" s="846"/>
      <c r="O32" s="2710" t="s">
        <v>50</v>
      </c>
      <c r="P32" s="2710"/>
      <c r="Q32" s="2710"/>
      <c r="R32" s="2710"/>
    </row>
    <row r="33" spans="1:18" ht="14.85" customHeight="1" x14ac:dyDescent="0.2">
      <c r="A33" s="2307"/>
      <c r="B33" s="851"/>
      <c r="C33" s="2706"/>
      <c r="D33" s="2706"/>
      <c r="E33" s="851"/>
      <c r="F33" s="2706">
        <v>0</v>
      </c>
      <c r="G33" s="2706"/>
      <c r="H33" s="2297"/>
      <c r="I33" s="2706">
        <v>0</v>
      </c>
      <c r="J33" s="2706"/>
      <c r="K33" s="846"/>
      <c r="L33" s="2706"/>
      <c r="M33" s="2706"/>
      <c r="N33" s="846"/>
      <c r="O33" s="2710"/>
      <c r="P33" s="2710"/>
      <c r="Q33" s="2710"/>
      <c r="R33" s="2710"/>
    </row>
    <row r="34" spans="1:18" ht="14.85" customHeight="1" x14ac:dyDescent="0.2">
      <c r="A34" s="2307"/>
      <c r="B34" s="851"/>
      <c r="C34" s="2706"/>
      <c r="D34" s="2706"/>
      <c r="E34" s="851"/>
      <c r="F34" s="2706"/>
      <c r="G34" s="2706"/>
      <c r="H34" s="2297"/>
      <c r="I34" s="2706"/>
      <c r="J34" s="2706"/>
      <c r="K34" s="846"/>
      <c r="L34" s="2706"/>
      <c r="M34" s="2706"/>
      <c r="N34" s="846"/>
      <c r="O34" s="2710"/>
      <c r="P34" s="2710"/>
      <c r="Q34" s="2710"/>
      <c r="R34" s="2710"/>
    </row>
    <row r="35" spans="1:18" ht="14.85" customHeight="1" x14ac:dyDescent="0.2">
      <c r="A35" s="2307"/>
      <c r="B35" s="851"/>
      <c r="C35" s="2706"/>
      <c r="D35" s="2706"/>
      <c r="E35" s="851"/>
      <c r="F35" s="2706"/>
      <c r="G35" s="2706"/>
      <c r="H35" s="2297"/>
      <c r="I35" s="2706"/>
      <c r="J35" s="2706"/>
      <c r="K35" s="846"/>
      <c r="L35" s="2706"/>
      <c r="M35" s="2706"/>
      <c r="N35" s="846"/>
      <c r="O35" s="2710"/>
      <c r="P35" s="2710"/>
      <c r="Q35" s="2710"/>
      <c r="R35" s="2710"/>
    </row>
    <row r="36" spans="1:18" ht="4.5" customHeight="1" x14ac:dyDescent="0.2">
      <c r="A36" s="2297"/>
      <c r="B36" s="2297"/>
      <c r="C36" s="2721"/>
      <c r="D36" s="2721"/>
      <c r="E36" s="2297"/>
      <c r="F36" s="2721"/>
      <c r="G36" s="2721"/>
      <c r="H36" s="2297"/>
      <c r="I36" s="2721"/>
      <c r="J36" s="2721"/>
      <c r="K36" s="846"/>
      <c r="L36" s="2721"/>
      <c r="M36" s="2721"/>
      <c r="N36" s="846"/>
      <c r="O36" s="846"/>
      <c r="P36" s="846"/>
      <c r="Q36" s="846"/>
      <c r="R36" s="846"/>
    </row>
    <row r="37" spans="1:18" ht="14.85" customHeight="1" x14ac:dyDescent="0.2">
      <c r="A37" s="2297" t="s">
        <v>1720</v>
      </c>
      <c r="B37" s="851"/>
      <c r="C37" s="2720">
        <f>SUM(C25:D35)</f>
        <v>0</v>
      </c>
      <c r="D37" s="2720"/>
      <c r="E37" s="867"/>
      <c r="F37" s="2720">
        <f>SUM(F25:G35)</f>
        <v>0</v>
      </c>
      <c r="G37" s="2720"/>
      <c r="H37" s="868"/>
      <c r="I37" s="2720">
        <f>SUM(I25:J35)</f>
        <v>0</v>
      </c>
      <c r="J37" s="2720"/>
      <c r="K37" s="869"/>
      <c r="L37" s="2720">
        <f>SUM(L25:M35)</f>
        <v>0</v>
      </c>
      <c r="M37" s="2720"/>
      <c r="N37" s="846"/>
      <c r="O37" s="2305"/>
      <c r="P37" s="2305"/>
      <c r="Q37" s="2305"/>
      <c r="R37" s="2305"/>
    </row>
    <row r="38" spans="1:18" ht="14.85" customHeight="1" x14ac:dyDescent="0.2">
      <c r="F38" s="877"/>
      <c r="G38" s="1854" t="str">
        <f>IF(F37=(SUM('201'!F44,-'210'!I34)),"","ERROR*")</f>
        <v/>
      </c>
      <c r="I38" s="877"/>
      <c r="J38" s="1856" t="str">
        <f>IF(I37=(-SUM('310'!G17:G42)),"","ERROR**")</f>
        <v/>
      </c>
    </row>
    <row r="39" spans="1:18" ht="14.85" customHeight="1" x14ac:dyDescent="0.2">
      <c r="A39" s="851" t="s">
        <v>50</v>
      </c>
      <c r="B39" s="851"/>
      <c r="M39" s="846"/>
      <c r="N39" s="846"/>
      <c r="O39" s="2305"/>
      <c r="P39" s="2305"/>
      <c r="Q39" s="2305"/>
      <c r="R39" s="2305"/>
    </row>
    <row r="40" spans="1:18" ht="14.85" customHeight="1" thickBot="1" x14ac:dyDescent="0.25">
      <c r="A40" s="851"/>
      <c r="B40" s="851"/>
      <c r="C40" s="2703">
        <f>F37+I37+L37</f>
        <v>0</v>
      </c>
      <c r="D40" s="2703"/>
      <c r="E40" s="851"/>
      <c r="F40" s="2310" t="s">
        <v>1721</v>
      </c>
      <c r="G40" s="2310"/>
      <c r="H40" s="1857"/>
      <c r="I40" s="2310"/>
      <c r="J40" s="2310"/>
      <c r="K40" s="2310"/>
      <c r="L40" s="2310"/>
      <c r="M40" s="846"/>
      <c r="N40" s="846"/>
      <c r="O40" s="846"/>
      <c r="P40" s="846"/>
      <c r="Q40" s="846"/>
      <c r="R40" s="2305"/>
    </row>
    <row r="41" spans="1:18" ht="14.85" customHeight="1" thickTop="1" x14ac:dyDescent="0.2">
      <c r="A41" s="851"/>
      <c r="B41" s="851"/>
      <c r="C41" s="2306"/>
      <c r="D41" s="2306"/>
      <c r="E41" s="851"/>
      <c r="F41" s="2306"/>
      <c r="G41" s="2306"/>
      <c r="H41" s="2297"/>
      <c r="I41" s="2306"/>
      <c r="J41" s="2306"/>
      <c r="K41" s="846"/>
      <c r="L41" s="2306"/>
      <c r="M41" s="2306"/>
      <c r="N41" s="846"/>
      <c r="O41" s="2305"/>
      <c r="P41" s="2305"/>
      <c r="Q41" s="2305"/>
      <c r="R41" s="2305"/>
    </row>
    <row r="42" spans="1:18" ht="14.85" customHeight="1" x14ac:dyDescent="0.2">
      <c r="A42" s="1858" t="str">
        <f>IF(G38="ERROR*","ERROR*: Fund Equity Restatements listed above for Capital Assets does not equal the sum of the adjustments shown on worksheet 201 and 210.","")</f>
        <v/>
      </c>
      <c r="B42" s="851"/>
      <c r="C42" s="2306"/>
      <c r="D42" s="2306"/>
      <c r="E42" s="851"/>
      <c r="F42" s="2306"/>
      <c r="G42" s="2306"/>
      <c r="H42" s="2297"/>
      <c r="I42" s="2306"/>
      <c r="J42" s="2306"/>
      <c r="K42" s="846"/>
      <c r="L42" s="2306"/>
      <c r="M42" s="2306"/>
      <c r="N42" s="846"/>
      <c r="O42" s="2305"/>
      <c r="P42" s="2305"/>
      <c r="Q42" s="2305"/>
      <c r="R42" s="2305"/>
    </row>
    <row r="43" spans="1:18" ht="14.85" customHeight="1" x14ac:dyDescent="0.2">
      <c r="A43" s="1858" t="str">
        <f>IF(J38="ERROR**","ERROR**: Fund Equity Restatements listed above for Long Term/Short Term Transactions does not equal the sum of the adjustments shown on worksheet 310.","")</f>
        <v/>
      </c>
      <c r="B43" s="851"/>
      <c r="C43" s="2306"/>
      <c r="D43" s="2306"/>
      <c r="E43" s="851"/>
      <c r="F43" s="2306"/>
      <c r="G43" s="2306"/>
      <c r="H43" s="2297"/>
      <c r="I43" s="2306"/>
      <c r="J43" s="2306"/>
      <c r="K43" s="846"/>
      <c r="L43" s="2306"/>
      <c r="M43" s="2306"/>
      <c r="N43" s="846"/>
      <c r="O43" s="2305"/>
      <c r="P43" s="2305"/>
      <c r="Q43" s="2305"/>
      <c r="R43" s="2305"/>
    </row>
    <row r="44" spans="1:18" ht="14.85" customHeight="1" x14ac:dyDescent="0.2">
      <c r="A44" s="851"/>
      <c r="B44" s="851"/>
      <c r="C44" s="2723"/>
      <c r="D44" s="2723"/>
      <c r="E44" s="851"/>
      <c r="F44" s="2723"/>
      <c r="G44" s="2723"/>
      <c r="H44" s="2297"/>
      <c r="I44" s="2723"/>
      <c r="J44" s="2723"/>
      <c r="K44" s="846"/>
      <c r="L44" s="2723"/>
      <c r="M44" s="2723"/>
      <c r="N44" s="846"/>
      <c r="O44" s="2722"/>
      <c r="P44" s="2722"/>
      <c r="Q44" s="2722"/>
      <c r="R44" s="2722"/>
    </row>
    <row r="45" spans="1:18" x14ac:dyDescent="0.2">
      <c r="A45" s="159" t="s">
        <v>1711</v>
      </c>
      <c r="B45" s="159"/>
      <c r="C45" s="159"/>
      <c r="D45" s="159"/>
      <c r="E45" s="159"/>
      <c r="F45" s="159"/>
      <c r="G45" s="159"/>
      <c r="H45" s="159"/>
      <c r="I45" s="159"/>
      <c r="J45" s="159"/>
      <c r="K45" s="159"/>
      <c r="L45" s="159"/>
      <c r="M45" s="159"/>
      <c r="N45" s="159"/>
      <c r="O45" s="159"/>
      <c r="P45" s="159"/>
      <c r="Q45" s="159"/>
      <c r="R45" s="852"/>
    </row>
    <row r="46" spans="1:18" x14ac:dyDescent="0.2">
      <c r="A46" s="2725" t="s">
        <v>1722</v>
      </c>
      <c r="B46" s="2725"/>
      <c r="C46" s="2725"/>
      <c r="D46" s="2725"/>
      <c r="E46" s="2725"/>
      <c r="F46" s="2725"/>
      <c r="G46" s="2725"/>
      <c r="H46" s="2725"/>
      <c r="I46" s="2725"/>
      <c r="J46" s="2725"/>
      <c r="K46" s="2725"/>
      <c r="L46" s="2725"/>
      <c r="M46" s="2725"/>
      <c r="N46" s="2725"/>
      <c r="O46" s="2725"/>
      <c r="P46" s="2725"/>
      <c r="Q46" s="2725"/>
      <c r="R46" s="2725"/>
    </row>
    <row r="47" spans="1:18" x14ac:dyDescent="0.2">
      <c r="A47" s="2725" t="s">
        <v>1723</v>
      </c>
      <c r="B47" s="2725"/>
      <c r="C47" s="2725"/>
      <c r="D47" s="2725"/>
      <c r="E47" s="2725"/>
      <c r="F47" s="2725"/>
      <c r="G47" s="2725"/>
      <c r="H47" s="2725"/>
      <c r="I47" s="2725"/>
      <c r="J47" s="2725"/>
      <c r="K47" s="2725"/>
      <c r="L47" s="2725"/>
      <c r="M47" s="2725"/>
      <c r="N47" s="2725"/>
      <c r="O47" s="2725"/>
      <c r="P47" s="2725"/>
      <c r="Q47" s="2725"/>
      <c r="R47" s="2725"/>
    </row>
    <row r="48" spans="1:18" x14ac:dyDescent="0.2">
      <c r="A48" s="2308"/>
    </row>
    <row r="49" spans="1:1" x14ac:dyDescent="0.2">
      <c r="A49" s="2308"/>
    </row>
    <row r="50" spans="1:1" x14ac:dyDescent="0.2">
      <c r="A50" s="159"/>
    </row>
  </sheetData>
  <sheetProtection algorithmName="SHA-512" hashValue="a4xaiL1fO7Z66Gus7M9PWzvT2ruZzE00L2lYQ5s/CYdnOeZ7heFjFpoaTwEghxSRDCzvQjROUTu58ZrwOiCvzw==" saltValue="qPURDW1CYd3o95MKs0vVGw==" spinCount="100000" sheet="1" autoFilter="0"/>
  <mergeCells count="109">
    <mergeCell ref="O26:R26"/>
    <mergeCell ref="O27:R27"/>
    <mergeCell ref="C32:D32"/>
    <mergeCell ref="F32:G32"/>
    <mergeCell ref="A47:R47"/>
    <mergeCell ref="A46:R46"/>
    <mergeCell ref="O44:R44"/>
    <mergeCell ref="L44:M44"/>
    <mergeCell ref="I44:J44"/>
    <mergeCell ref="F44:G44"/>
    <mergeCell ref="C44:D44"/>
    <mergeCell ref="F37:G37"/>
    <mergeCell ref="I37:J37"/>
    <mergeCell ref="L37:M37"/>
    <mergeCell ref="I32:J32"/>
    <mergeCell ref="L32:M32"/>
    <mergeCell ref="O32:R32"/>
    <mergeCell ref="C30:D30"/>
    <mergeCell ref="F30:G30"/>
    <mergeCell ref="I30:J30"/>
    <mergeCell ref="L30:M30"/>
    <mergeCell ref="O30:R30"/>
    <mergeCell ref="I28:J28"/>
    <mergeCell ref="L28:M28"/>
    <mergeCell ref="S1:S3"/>
    <mergeCell ref="A2:R2"/>
    <mergeCell ref="A3:R3"/>
    <mergeCell ref="D6:F6"/>
    <mergeCell ref="L6:P6"/>
    <mergeCell ref="L7:P7"/>
    <mergeCell ref="A4:R4"/>
    <mergeCell ref="O16:R16"/>
    <mergeCell ref="C17:D17"/>
    <mergeCell ref="F17:G17"/>
    <mergeCell ref="I17:J17"/>
    <mergeCell ref="L17:M17"/>
    <mergeCell ref="C16:D16"/>
    <mergeCell ref="F16:G16"/>
    <mergeCell ref="I16:J16"/>
    <mergeCell ref="L16:M16"/>
    <mergeCell ref="R5:R7"/>
    <mergeCell ref="A1:R1"/>
    <mergeCell ref="D8:F8"/>
    <mergeCell ref="L8:P8"/>
    <mergeCell ref="A11:Q11"/>
    <mergeCell ref="A12:Q12"/>
    <mergeCell ref="O24:R24"/>
    <mergeCell ref="C25:D25"/>
    <mergeCell ref="F25:G25"/>
    <mergeCell ref="I25:J25"/>
    <mergeCell ref="L25:M25"/>
    <mergeCell ref="O25:R25"/>
    <mergeCell ref="C22:D22"/>
    <mergeCell ref="F22:G22"/>
    <mergeCell ref="I22:J22"/>
    <mergeCell ref="L22:M22"/>
    <mergeCell ref="C23:D23"/>
    <mergeCell ref="F23:G23"/>
    <mergeCell ref="I23:J23"/>
    <mergeCell ref="L23:M23"/>
    <mergeCell ref="C18:D18"/>
    <mergeCell ref="F18:G18"/>
    <mergeCell ref="I18:J18"/>
    <mergeCell ref="L18:M18"/>
    <mergeCell ref="F19:G19"/>
    <mergeCell ref="I19:J19"/>
    <mergeCell ref="L24:M24"/>
    <mergeCell ref="C27:D27"/>
    <mergeCell ref="F27:G27"/>
    <mergeCell ref="I27:J27"/>
    <mergeCell ref="L27:M27"/>
    <mergeCell ref="C26:D26"/>
    <mergeCell ref="F26:G26"/>
    <mergeCell ref="I26:J26"/>
    <mergeCell ref="L26:M26"/>
    <mergeCell ref="O28:R28"/>
    <mergeCell ref="C29:D29"/>
    <mergeCell ref="F29:G29"/>
    <mergeCell ref="I29:J29"/>
    <mergeCell ref="L29:M29"/>
    <mergeCell ref="O29:R29"/>
    <mergeCell ref="C31:D31"/>
    <mergeCell ref="F31:G31"/>
    <mergeCell ref="I31:J31"/>
    <mergeCell ref="L31:M31"/>
    <mergeCell ref="O31:R31"/>
    <mergeCell ref="C28:D28"/>
    <mergeCell ref="F28:G28"/>
    <mergeCell ref="C35:D35"/>
    <mergeCell ref="F35:G35"/>
    <mergeCell ref="I35:J35"/>
    <mergeCell ref="L35:M35"/>
    <mergeCell ref="O35:R35"/>
    <mergeCell ref="C40:D40"/>
    <mergeCell ref="C37:D37"/>
    <mergeCell ref="C33:D33"/>
    <mergeCell ref="F33:G33"/>
    <mergeCell ref="I33:J33"/>
    <mergeCell ref="L33:M33"/>
    <mergeCell ref="O33:R33"/>
    <mergeCell ref="C34:D34"/>
    <mergeCell ref="F34:G34"/>
    <mergeCell ref="I34:J34"/>
    <mergeCell ref="L34:M34"/>
    <mergeCell ref="O34:R34"/>
    <mergeCell ref="C36:D36"/>
    <mergeCell ref="F36:G36"/>
    <mergeCell ref="I36:J36"/>
    <mergeCell ref="L36:M36"/>
  </mergeCells>
  <conditionalFormatting sqref="R5:R7">
    <cfRule type="cellIs" dxfId="80" priority="1" stopIfTrue="1" operator="equal">
      <formula>"na"</formula>
    </cfRule>
  </conditionalFormatting>
  <conditionalFormatting sqref="S1:S4">
    <cfRule type="cellIs" dxfId="79" priority="2" stopIfTrue="1" operator="equal">
      <formula>"na"</formula>
    </cfRule>
  </conditionalFormatting>
  <hyperlinks>
    <hyperlink ref="A1:Q1" location="Index!A1" display="Index!A1" xr:uid="{00000000-0004-0000-2300-000000000000}"/>
  </hyperlinks>
  <pageMargins left="0.6" right="0.6" top="0.5" bottom="0.5" header="0.3" footer="0.3"/>
  <pageSetup scale="8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1BD44-D1F0-45EF-8827-D5490C0DEC55}">
  <sheetPr codeName="Sheet95"/>
  <dimension ref="A1:U35"/>
  <sheetViews>
    <sheetView zoomScale="90" zoomScaleNormal="90" workbookViewId="0">
      <selection activeCell="A2" sqref="A2:T2"/>
    </sheetView>
  </sheetViews>
  <sheetFormatPr defaultColWidth="9.140625" defaultRowHeight="12.75" x14ac:dyDescent="0.2"/>
  <cols>
    <col min="1" max="1" width="9.5703125" customWidth="1"/>
    <col min="2" max="2" width="0.5703125" customWidth="1"/>
    <col min="3" max="3" width="9.42578125" customWidth="1"/>
    <col min="5" max="5" width="0.5703125" customWidth="1"/>
    <col min="7" max="7" width="0.5703125" customWidth="1"/>
    <col min="8" max="8" width="12" customWidth="1"/>
    <col min="9" max="9" width="0.5703125" customWidth="1"/>
    <col min="10" max="10" width="13.28515625" customWidth="1"/>
    <col min="11" max="11" width="0.5703125" customWidth="1"/>
    <col min="12" max="12" width="16" customWidth="1"/>
    <col min="13" max="13" width="0.5703125" customWidth="1"/>
    <col min="15" max="15" width="11" customWidth="1"/>
    <col min="16" max="16" width="0.5703125" customWidth="1"/>
    <col min="18" max="18" width="9.5703125" customWidth="1"/>
    <col min="19" max="19" width="4.7109375" customWidth="1"/>
    <col min="20" max="20" width="21.7109375" customWidth="1"/>
    <col min="21" max="21" width="11.85546875" customWidth="1"/>
  </cols>
  <sheetData>
    <row r="1" spans="1:21" ht="15.75" x14ac:dyDescent="0.25">
      <c r="A1" s="2455" t="str">
        <f>+Index!$A$1</f>
        <v xml:space="preserve">                                                               Office of the State Controller                                                                </v>
      </c>
      <c r="B1" s="2455"/>
      <c r="C1" s="2455"/>
      <c r="D1" s="2455"/>
      <c r="E1" s="2455"/>
      <c r="F1" s="2455"/>
      <c r="G1" s="2455"/>
      <c r="H1" s="2455"/>
      <c r="I1" s="2455"/>
      <c r="J1" s="2455"/>
      <c r="K1" s="2455"/>
      <c r="L1" s="2455"/>
      <c r="M1" s="2455"/>
      <c r="N1" s="2455"/>
      <c r="O1" s="2455"/>
      <c r="P1" s="2455"/>
      <c r="Q1" s="2455"/>
      <c r="R1" s="2455"/>
      <c r="S1" s="2455"/>
      <c r="T1" s="2455"/>
      <c r="U1" s="2456" t="str">
        <f>IF(Index!$B$62="na","NA","")</f>
        <v/>
      </c>
    </row>
    <row r="2" spans="1:21" ht="15.75" x14ac:dyDescent="0.25">
      <c r="A2" s="2718" t="str">
        <f>+Index!$A$2</f>
        <v>2023 ACFR Worksheets</v>
      </c>
      <c r="B2" s="2718"/>
      <c r="C2" s="2718"/>
      <c r="D2" s="2718"/>
      <c r="E2" s="2718"/>
      <c r="F2" s="2718"/>
      <c r="G2" s="2718"/>
      <c r="H2" s="2718"/>
      <c r="I2" s="2718"/>
      <c r="J2" s="2718"/>
      <c r="K2" s="2718"/>
      <c r="L2" s="2718"/>
      <c r="M2" s="2718"/>
      <c r="N2" s="2718"/>
      <c r="O2" s="2718"/>
      <c r="P2" s="2718"/>
      <c r="Q2" s="2718"/>
      <c r="R2" s="2718"/>
      <c r="S2" s="2718"/>
      <c r="T2" s="2718"/>
      <c r="U2" s="2456"/>
    </row>
    <row r="3" spans="1:21" ht="15.75" x14ac:dyDescent="0.25">
      <c r="A3" s="2634" t="s">
        <v>1724</v>
      </c>
      <c r="B3" s="2634"/>
      <c r="C3" s="2634"/>
      <c r="D3" s="2634"/>
      <c r="E3" s="2634"/>
      <c r="F3" s="2634"/>
      <c r="G3" s="2634"/>
      <c r="H3" s="2634"/>
      <c r="I3" s="2634"/>
      <c r="J3" s="2634"/>
      <c r="K3" s="2634"/>
      <c r="L3" s="2634"/>
      <c r="M3" s="2634"/>
      <c r="N3" s="2634"/>
      <c r="O3" s="2634"/>
      <c r="P3" s="2634"/>
      <c r="Q3" s="2634"/>
      <c r="R3" s="2634"/>
      <c r="S3" s="2634"/>
      <c r="T3" s="2634"/>
      <c r="U3" s="2456"/>
    </row>
    <row r="4" spans="1:21" ht="15.75" x14ac:dyDescent="0.25">
      <c r="A4" s="2719" t="s">
        <v>1725</v>
      </c>
      <c r="B4" s="2634"/>
      <c r="C4" s="2634"/>
      <c r="D4" s="2634"/>
      <c r="E4" s="2634"/>
      <c r="F4" s="2634"/>
      <c r="G4" s="2634"/>
      <c r="H4" s="2634"/>
      <c r="I4" s="2634"/>
      <c r="J4" s="2634"/>
      <c r="K4" s="2634"/>
      <c r="L4" s="2634"/>
      <c r="M4" s="2634"/>
      <c r="N4" s="2634"/>
      <c r="O4" s="2634"/>
      <c r="P4" s="2634"/>
      <c r="Q4" s="2634"/>
      <c r="R4" s="2634"/>
      <c r="S4" s="2634"/>
      <c r="T4" s="2634"/>
      <c r="U4" s="2215"/>
    </row>
    <row r="5" spans="1:21" ht="12.75" customHeight="1" x14ac:dyDescent="0.2">
      <c r="A5" s="18"/>
      <c r="B5" s="18"/>
      <c r="C5" s="18"/>
      <c r="D5" s="18"/>
      <c r="E5" s="18"/>
      <c r="F5" s="18"/>
      <c r="G5" s="18"/>
      <c r="H5" s="18"/>
      <c r="I5" s="18"/>
      <c r="J5" s="18"/>
      <c r="K5" s="18"/>
      <c r="L5" s="18"/>
      <c r="M5" s="18"/>
      <c r="N5" s="18"/>
      <c r="O5" s="18"/>
      <c r="P5" s="18"/>
      <c r="Q5" s="18"/>
      <c r="R5" s="18"/>
      <c r="T5" s="1396" t="s">
        <v>1592</v>
      </c>
    </row>
    <row r="6" spans="1:21" ht="12.75" customHeight="1" x14ac:dyDescent="0.2">
      <c r="A6" s="2301" t="s">
        <v>317</v>
      </c>
      <c r="B6" s="846"/>
      <c r="C6" s="846"/>
      <c r="D6" s="2715" t="str">
        <f>+Index!$E$10</f>
        <v>01</v>
      </c>
      <c r="E6" s="2715"/>
      <c r="F6" s="2715"/>
      <c r="G6" s="2297"/>
      <c r="H6" s="846"/>
      <c r="I6" s="846"/>
      <c r="J6" s="846"/>
      <c r="K6" s="846"/>
      <c r="L6" s="847" t="s">
        <v>318</v>
      </c>
      <c r="M6" s="149"/>
      <c r="N6" s="2492" t="str">
        <f>+Index!$E$11</f>
        <v>North Carolina General Assembly</v>
      </c>
      <c r="O6" s="2492"/>
      <c r="P6" s="2492"/>
      <c r="Q6" s="2492"/>
      <c r="R6" s="2492"/>
      <c r="T6" s="881"/>
    </row>
    <row r="7" spans="1:21" ht="12.75" customHeight="1" x14ac:dyDescent="0.2">
      <c r="A7" s="159"/>
      <c r="B7" s="846"/>
      <c r="C7" s="846"/>
      <c r="D7" s="846"/>
      <c r="E7" s="846"/>
      <c r="F7" s="846"/>
      <c r="G7" s="846"/>
      <c r="H7" s="846"/>
      <c r="I7" s="846"/>
      <c r="J7" s="846"/>
      <c r="K7" s="846"/>
      <c r="L7" s="847" t="s">
        <v>319</v>
      </c>
      <c r="M7" s="18"/>
      <c r="N7" s="2546" t="str">
        <f>CONCATENATE(Index!$E$12,"",Index!$E$14)</f>
        <v/>
      </c>
      <c r="O7" s="2546"/>
      <c r="P7" s="2546"/>
      <c r="Q7" s="2546"/>
      <c r="R7" s="2546"/>
      <c r="T7" s="881"/>
    </row>
    <row r="8" spans="1:21" x14ac:dyDescent="0.2">
      <c r="A8" s="846" t="s">
        <v>568</v>
      </c>
      <c r="B8" s="846"/>
      <c r="C8" s="846"/>
      <c r="D8" s="2724"/>
      <c r="E8" s="2564"/>
      <c r="F8" s="2564"/>
      <c r="G8" s="2332"/>
      <c r="H8" s="846"/>
      <c r="I8" s="846"/>
      <c r="J8" s="846"/>
      <c r="K8" s="846"/>
      <c r="L8" s="847" t="s">
        <v>71</v>
      </c>
      <c r="M8" s="149"/>
      <c r="N8" s="2546">
        <f>+Index!$E$13</f>
        <v>0</v>
      </c>
      <c r="O8" s="2546"/>
      <c r="P8" s="2546"/>
      <c r="Q8" s="2546"/>
      <c r="R8" s="2546"/>
    </row>
    <row r="9" spans="1:21" ht="13.5" thickBot="1" x14ac:dyDescent="0.25">
      <c r="A9" s="84"/>
      <c r="B9" s="84"/>
      <c r="C9" s="84"/>
      <c r="D9" s="84"/>
      <c r="E9" s="84"/>
      <c r="F9" s="84"/>
      <c r="G9" s="84"/>
      <c r="H9" s="84"/>
      <c r="I9" s="84"/>
      <c r="J9" s="84"/>
      <c r="K9" s="84"/>
      <c r="L9" s="84"/>
      <c r="M9" s="84"/>
      <c r="N9" s="84"/>
      <c r="O9" s="84"/>
      <c r="P9" s="84"/>
      <c r="Q9" s="84"/>
      <c r="R9" s="84"/>
      <c r="S9" s="84"/>
      <c r="T9" s="84"/>
    </row>
    <row r="10" spans="1:21" x14ac:dyDescent="0.2">
      <c r="A10" s="18"/>
      <c r="B10" s="18"/>
      <c r="C10" s="18"/>
      <c r="D10" s="18"/>
      <c r="E10" s="18"/>
      <c r="F10" s="18"/>
      <c r="G10" s="18"/>
      <c r="H10" s="18"/>
      <c r="I10" s="18"/>
      <c r="J10" s="18"/>
      <c r="K10" s="18"/>
      <c r="L10" s="18"/>
      <c r="M10" s="18"/>
      <c r="N10" s="18"/>
      <c r="O10" s="18"/>
      <c r="P10" s="18"/>
      <c r="Q10" s="18"/>
      <c r="R10" s="18"/>
      <c r="S10" s="18"/>
      <c r="T10" s="18"/>
    </row>
    <row r="11" spans="1:21" x14ac:dyDescent="0.2">
      <c r="A11" s="2713" t="s">
        <v>1726</v>
      </c>
      <c r="B11" s="2713"/>
      <c r="C11" s="2713"/>
      <c r="D11" s="2713"/>
      <c r="E11" s="2713"/>
      <c r="F11" s="2713"/>
      <c r="G11" s="2713"/>
      <c r="H11" s="2713"/>
      <c r="I11" s="2713"/>
      <c r="J11" s="2713"/>
      <c r="K11" s="846"/>
      <c r="L11" s="846"/>
      <c r="M11" s="846"/>
      <c r="N11" s="846"/>
      <c r="O11" s="846"/>
      <c r="P11" s="846"/>
      <c r="Q11" s="846"/>
      <c r="R11" s="846"/>
      <c r="S11" s="846"/>
      <c r="T11" s="846"/>
    </row>
    <row r="12" spans="1:21" x14ac:dyDescent="0.2">
      <c r="A12" s="846"/>
      <c r="B12" s="846"/>
      <c r="C12" s="846"/>
      <c r="D12" s="846"/>
      <c r="E12" s="846"/>
      <c r="F12" s="846"/>
      <c r="G12" s="846"/>
      <c r="H12" s="846"/>
      <c r="I12" s="846"/>
      <c r="J12" s="846"/>
      <c r="K12" s="846"/>
      <c r="L12" s="846"/>
      <c r="M12" s="846"/>
      <c r="N12" s="846"/>
      <c r="O12" s="846"/>
      <c r="P12" s="846"/>
      <c r="Q12" s="846"/>
      <c r="R12" s="846"/>
      <c r="S12" s="846"/>
      <c r="T12" s="846"/>
    </row>
    <row r="13" spans="1:21" ht="14.85" customHeight="1" x14ac:dyDescent="0.2">
      <c r="A13" s="2301" t="s">
        <v>1727</v>
      </c>
      <c r="B13" s="851"/>
      <c r="C13" s="2306"/>
      <c r="D13" s="2306"/>
      <c r="E13" s="851"/>
      <c r="F13" s="2306"/>
      <c r="G13" s="2306"/>
      <c r="H13" s="2306"/>
      <c r="I13" s="2297"/>
      <c r="J13" s="2306"/>
      <c r="K13" s="2306"/>
      <c r="L13" s="2306"/>
      <c r="M13" s="846"/>
      <c r="N13" s="2723"/>
      <c r="O13" s="2723"/>
      <c r="P13" s="846"/>
      <c r="Q13" s="2305"/>
      <c r="R13" s="2305"/>
      <c r="S13" s="2305"/>
      <c r="T13" s="2305"/>
    </row>
    <row r="14" spans="1:21" ht="14.25" customHeight="1" x14ac:dyDescent="0.2">
      <c r="A14" s="851"/>
      <c r="B14" s="851"/>
      <c r="C14" s="2723"/>
      <c r="D14" s="2723"/>
      <c r="E14" s="851"/>
      <c r="F14" s="2306"/>
      <c r="G14" s="2306"/>
      <c r="H14" s="2306"/>
      <c r="I14" s="2297"/>
      <c r="J14" s="2306"/>
      <c r="K14" s="2306"/>
      <c r="L14" s="2306"/>
      <c r="M14" s="846"/>
      <c r="N14" s="2723"/>
      <c r="O14" s="2723"/>
      <c r="P14" s="846"/>
      <c r="Q14" s="2305"/>
      <c r="R14" s="2305"/>
      <c r="S14" s="2305"/>
      <c r="T14" s="2305"/>
    </row>
    <row r="15" spans="1:21" x14ac:dyDescent="0.2">
      <c r="A15" s="846"/>
      <c r="B15" s="846"/>
      <c r="C15" s="2704" t="s">
        <v>1596</v>
      </c>
      <c r="D15" s="2704"/>
      <c r="E15" s="2704"/>
      <c r="F15" s="2704"/>
      <c r="G15" s="846"/>
      <c r="H15" s="846"/>
      <c r="I15" s="846"/>
      <c r="J15" s="846"/>
      <c r="K15" s="846"/>
      <c r="L15" s="846"/>
      <c r="M15" s="846"/>
      <c r="N15" s="2704"/>
      <c r="O15" s="2704"/>
      <c r="P15" s="846"/>
      <c r="Q15" s="846"/>
      <c r="R15" s="846"/>
      <c r="S15" s="846"/>
      <c r="T15" s="846"/>
    </row>
    <row r="16" spans="1:21" ht="14.25" customHeight="1" x14ac:dyDescent="0.2">
      <c r="A16" s="846"/>
      <c r="B16" s="846"/>
      <c r="C16" s="2715" t="s">
        <v>1693</v>
      </c>
      <c r="D16" s="2715"/>
      <c r="E16" s="2715"/>
      <c r="F16" s="2715"/>
      <c r="G16" s="1390"/>
      <c r="H16" s="2715" t="s">
        <v>1696</v>
      </c>
      <c r="I16" s="2715"/>
      <c r="J16" s="2715"/>
      <c r="K16" s="2303"/>
      <c r="L16" s="1390"/>
      <c r="M16" s="1390"/>
      <c r="N16" s="2715"/>
      <c r="O16" s="2715"/>
      <c r="P16" s="1390"/>
      <c r="Q16" s="1390"/>
      <c r="R16" s="1390"/>
      <c r="S16" s="1390"/>
      <c r="T16" s="1390"/>
    </row>
    <row r="17" spans="1:20" ht="12.75" hidden="1" customHeight="1" x14ac:dyDescent="0.2">
      <c r="A17" s="846"/>
      <c r="B17" s="846"/>
      <c r="C17" s="159"/>
      <c r="D17" s="159"/>
      <c r="E17" s="846"/>
      <c r="F17" s="1390"/>
      <c r="G17" s="2299"/>
      <c r="H17" s="159"/>
      <c r="I17" s="159"/>
      <c r="J17" s="2299"/>
      <c r="K17" s="2299"/>
      <c r="L17" s="1390"/>
      <c r="M17" s="846"/>
      <c r="N17" s="159"/>
      <c r="O17" s="159"/>
      <c r="P17" s="846"/>
      <c r="Q17" s="846"/>
      <c r="R17" s="846"/>
      <c r="S17" s="846"/>
      <c r="T17" s="846"/>
    </row>
    <row r="18" spans="1:20" ht="13.5" hidden="1" customHeight="1" thickBot="1" x14ac:dyDescent="0.25">
      <c r="A18" s="846"/>
      <c r="B18" s="846"/>
      <c r="C18" s="848" t="s">
        <v>50</v>
      </c>
      <c r="D18" s="848" t="s">
        <v>50</v>
      </c>
      <c r="E18" s="846"/>
      <c r="F18" s="1389"/>
      <c r="G18" s="1389"/>
      <c r="H18" s="848" t="s">
        <v>50</v>
      </c>
      <c r="I18" s="848"/>
      <c r="J18" s="1389"/>
      <c r="K18" s="1389"/>
      <c r="L18" s="1389"/>
      <c r="M18" s="846"/>
      <c r="N18" s="848"/>
      <c r="O18" s="848"/>
      <c r="P18" s="846"/>
      <c r="Q18" s="846"/>
      <c r="R18" s="846"/>
      <c r="S18" s="846"/>
      <c r="T18" s="846"/>
    </row>
    <row r="19" spans="1:20" ht="12.75" hidden="1" customHeight="1" x14ac:dyDescent="0.2">
      <c r="A19" s="846"/>
      <c r="B19" s="846"/>
      <c r="C19" s="849"/>
      <c r="D19" s="849"/>
      <c r="E19" s="846"/>
      <c r="F19" s="2297"/>
      <c r="G19" s="2297"/>
      <c r="H19" s="849"/>
      <c r="I19" s="849"/>
      <c r="J19" s="2297"/>
      <c r="K19" s="2297"/>
      <c r="L19" s="2297"/>
      <c r="M19" s="846"/>
      <c r="N19" s="849"/>
      <c r="O19" s="849"/>
      <c r="P19" s="846"/>
      <c r="Q19" s="846"/>
      <c r="R19" s="846"/>
      <c r="S19" s="846"/>
      <c r="T19" s="846"/>
    </row>
    <row r="20" spans="1:20" x14ac:dyDescent="0.2">
      <c r="A20" s="2297" t="s">
        <v>1596</v>
      </c>
      <c r="B20" s="2297"/>
      <c r="C20" s="2712" t="s">
        <v>1698</v>
      </c>
      <c r="D20" s="2712"/>
      <c r="E20" s="2712"/>
      <c r="F20" s="2712"/>
      <c r="G20" s="1391"/>
      <c r="H20" s="2712" t="s">
        <v>1698</v>
      </c>
      <c r="I20" s="2712"/>
      <c r="J20" s="2712"/>
      <c r="K20" s="2300"/>
      <c r="L20" s="2712"/>
      <c r="M20" s="2712"/>
      <c r="N20" s="2712"/>
      <c r="O20" s="2712"/>
      <c r="P20" s="2712"/>
      <c r="Q20" s="2712"/>
      <c r="R20" s="2712"/>
      <c r="S20" s="2712"/>
      <c r="T20" s="846"/>
    </row>
    <row r="21" spans="1:20" x14ac:dyDescent="0.2">
      <c r="A21" s="2297" t="s">
        <v>1699</v>
      </c>
      <c r="B21" s="2297"/>
      <c r="C21" s="2714">
        <v>44743</v>
      </c>
      <c r="D21" s="2714"/>
      <c r="E21" s="2714"/>
      <c r="F21" s="2714"/>
      <c r="G21" s="1392"/>
      <c r="H21" s="2714">
        <v>44743</v>
      </c>
      <c r="I21" s="2714"/>
      <c r="J21" s="2714"/>
      <c r="K21" s="2302"/>
      <c r="L21" s="2714"/>
      <c r="M21" s="2714"/>
      <c r="N21" s="2714"/>
      <c r="O21" s="2714"/>
      <c r="P21" s="2714"/>
      <c r="Q21" s="2714"/>
      <c r="R21" s="2714"/>
      <c r="S21" s="2714"/>
      <c r="T21" s="846"/>
    </row>
    <row r="22" spans="1:20" x14ac:dyDescent="0.2">
      <c r="A22" s="2303" t="s">
        <v>1700</v>
      </c>
      <c r="B22" s="2297"/>
      <c r="C22" s="2715" t="s">
        <v>1701</v>
      </c>
      <c r="D22" s="2715"/>
      <c r="E22" s="2715"/>
      <c r="F22" s="2715"/>
      <c r="G22" s="2297"/>
      <c r="H22" s="2715" t="s">
        <v>1701</v>
      </c>
      <c r="I22" s="2715"/>
      <c r="J22" s="2715"/>
      <c r="K22" s="2303"/>
      <c r="L22" s="2728" t="s">
        <v>1703</v>
      </c>
      <c r="M22" s="2728"/>
      <c r="N22" s="2728"/>
      <c r="O22" s="2728"/>
      <c r="P22" s="2728"/>
      <c r="Q22" s="2728"/>
      <c r="R22" s="2728"/>
      <c r="S22" s="2728"/>
      <c r="T22" s="2728"/>
    </row>
    <row r="23" spans="1:20" ht="14.85" customHeight="1" x14ac:dyDescent="0.2">
      <c r="A23" s="2307" t="s">
        <v>50</v>
      </c>
      <c r="B23" s="2306"/>
      <c r="C23" s="2731" t="s">
        <v>50</v>
      </c>
      <c r="D23" s="2731"/>
      <c r="E23" s="2731"/>
      <c r="F23" s="2731"/>
      <c r="G23" s="2306"/>
      <c r="H23" s="2731"/>
      <c r="I23" s="2731"/>
      <c r="J23" s="2731"/>
      <c r="K23" s="846"/>
      <c r="L23" s="2726"/>
      <c r="M23" s="2726"/>
      <c r="N23" s="2726"/>
      <c r="O23" s="2726"/>
      <c r="P23" s="2726"/>
      <c r="Q23" s="2726"/>
      <c r="R23" s="2726"/>
      <c r="S23" s="2726"/>
      <c r="T23" s="2726"/>
    </row>
    <row r="24" spans="1:20" ht="14.85" customHeight="1" x14ac:dyDescent="0.2">
      <c r="A24" s="2307"/>
      <c r="B24" s="851"/>
      <c r="C24" s="2731" t="s">
        <v>50</v>
      </c>
      <c r="D24" s="2731"/>
      <c r="E24" s="2731"/>
      <c r="F24" s="2731"/>
      <c r="G24" s="2306"/>
      <c r="H24" s="2731"/>
      <c r="I24" s="2731"/>
      <c r="J24" s="2731"/>
      <c r="K24" s="846"/>
      <c r="L24" s="2726"/>
      <c r="M24" s="2726"/>
      <c r="N24" s="2726"/>
      <c r="O24" s="2726"/>
      <c r="P24" s="2726"/>
      <c r="Q24" s="2726"/>
      <c r="R24" s="2726"/>
      <c r="S24" s="2726"/>
      <c r="T24" s="2726"/>
    </row>
    <row r="25" spans="1:20" ht="14.85" customHeight="1" x14ac:dyDescent="0.2">
      <c r="A25" s="2307"/>
      <c r="B25" s="851"/>
      <c r="C25" s="2731" t="s">
        <v>50</v>
      </c>
      <c r="D25" s="2731"/>
      <c r="E25" s="2731"/>
      <c r="F25" s="2731"/>
      <c r="G25" s="2306"/>
      <c r="H25" s="2731"/>
      <c r="I25" s="2731"/>
      <c r="J25" s="2731"/>
      <c r="K25" s="1393"/>
      <c r="L25" s="2726" t="s">
        <v>50</v>
      </c>
      <c r="M25" s="2726"/>
      <c r="N25" s="2726"/>
      <c r="O25" s="2726"/>
      <c r="P25" s="2726"/>
      <c r="Q25" s="2726"/>
      <c r="R25" s="2726"/>
      <c r="S25" s="2726"/>
      <c r="T25" s="2726"/>
    </row>
    <row r="26" spans="1:20" ht="14.85" customHeight="1" x14ac:dyDescent="0.2">
      <c r="A26" s="2307"/>
      <c r="B26" s="851"/>
      <c r="C26" s="2731"/>
      <c r="D26" s="2731"/>
      <c r="E26" s="2731"/>
      <c r="F26" s="2731"/>
      <c r="G26" s="2306"/>
      <c r="H26" s="2731"/>
      <c r="I26" s="2731"/>
      <c r="J26" s="2731"/>
      <c r="K26" s="1393"/>
      <c r="L26" s="2726" t="s">
        <v>50</v>
      </c>
      <c r="M26" s="2726"/>
      <c r="N26" s="2726"/>
      <c r="O26" s="2726"/>
      <c r="P26" s="2726"/>
      <c r="Q26" s="2726"/>
      <c r="R26" s="2726"/>
      <c r="S26" s="2726"/>
      <c r="T26" s="2726"/>
    </row>
    <row r="27" spans="1:20" ht="14.85" customHeight="1" x14ac:dyDescent="0.2">
      <c r="A27" s="2307"/>
      <c r="B27" s="851"/>
      <c r="C27" s="2731"/>
      <c r="D27" s="2731"/>
      <c r="E27" s="2731"/>
      <c r="F27" s="2731"/>
      <c r="G27" s="2306"/>
      <c r="H27" s="2731"/>
      <c r="I27" s="2731"/>
      <c r="J27" s="2731"/>
      <c r="K27" s="1393"/>
      <c r="L27" s="2726"/>
      <c r="M27" s="2726"/>
      <c r="N27" s="2726"/>
      <c r="O27" s="2726"/>
      <c r="P27" s="2726"/>
      <c r="Q27" s="2726"/>
      <c r="R27" s="2726"/>
      <c r="S27" s="2726"/>
      <c r="T27" s="2726"/>
    </row>
    <row r="28" spans="1:20" ht="14.85" customHeight="1" x14ac:dyDescent="0.2">
      <c r="A28" s="1394"/>
      <c r="B28" s="851"/>
      <c r="C28" s="2731"/>
      <c r="D28" s="2731"/>
      <c r="E28" s="2731"/>
      <c r="F28" s="2731"/>
      <c r="G28" s="2306"/>
      <c r="H28" s="2731"/>
      <c r="I28" s="2731"/>
      <c r="J28" s="2731"/>
      <c r="K28" s="1393"/>
      <c r="L28" s="2726" t="s">
        <v>50</v>
      </c>
      <c r="M28" s="2726"/>
      <c r="N28" s="2726"/>
      <c r="O28" s="2726"/>
      <c r="P28" s="2726"/>
      <c r="Q28" s="2726"/>
      <c r="R28" s="2726"/>
      <c r="S28" s="2726"/>
      <c r="T28" s="2726"/>
    </row>
    <row r="29" spans="1:20" ht="14.85" customHeight="1" x14ac:dyDescent="0.2">
      <c r="A29" s="2307"/>
      <c r="B29" s="851"/>
      <c r="C29" s="2731" t="s">
        <v>50</v>
      </c>
      <c r="D29" s="2731"/>
      <c r="E29" s="2731"/>
      <c r="F29" s="2731"/>
      <c r="G29" s="2306"/>
      <c r="H29" s="2731"/>
      <c r="I29" s="2731"/>
      <c r="J29" s="2731"/>
      <c r="K29" s="1393"/>
      <c r="L29" s="2726" t="s">
        <v>50</v>
      </c>
      <c r="M29" s="2726"/>
      <c r="N29" s="2726"/>
      <c r="O29" s="2726"/>
      <c r="P29" s="2726"/>
      <c r="Q29" s="2726"/>
      <c r="R29" s="2726"/>
      <c r="S29" s="2726"/>
      <c r="T29" s="2726"/>
    </row>
    <row r="30" spans="1:20" ht="14.85" customHeight="1" x14ac:dyDescent="0.2">
      <c r="A30" s="2307"/>
      <c r="B30" s="851"/>
      <c r="C30" s="2731"/>
      <c r="D30" s="2731"/>
      <c r="E30" s="2731"/>
      <c r="F30" s="2731"/>
      <c r="G30" s="2306"/>
      <c r="H30" s="2731"/>
      <c r="I30" s="2731"/>
      <c r="J30" s="2731"/>
      <c r="K30" s="1393"/>
      <c r="L30" s="2726" t="s">
        <v>50</v>
      </c>
      <c r="M30" s="2726"/>
      <c r="N30" s="2726"/>
      <c r="O30" s="2726"/>
      <c r="P30" s="2726"/>
      <c r="Q30" s="2726"/>
      <c r="R30" s="2726"/>
      <c r="S30" s="2726"/>
      <c r="T30" s="2726"/>
    </row>
    <row r="31" spans="1:20" ht="14.85" customHeight="1" x14ac:dyDescent="0.2">
      <c r="A31" s="2307"/>
      <c r="B31" s="851"/>
      <c r="C31" s="2731"/>
      <c r="D31" s="2731"/>
      <c r="E31" s="2731"/>
      <c r="F31" s="2731"/>
      <c r="G31" s="2306"/>
      <c r="H31" s="2731"/>
      <c r="I31" s="2731"/>
      <c r="J31" s="2731"/>
      <c r="K31" s="1393"/>
      <c r="L31" s="2726"/>
      <c r="M31" s="2726"/>
      <c r="N31" s="2726"/>
      <c r="O31" s="2726"/>
      <c r="P31" s="2726"/>
      <c r="Q31" s="2726"/>
      <c r="R31" s="2726"/>
      <c r="S31" s="2726"/>
      <c r="T31" s="2726"/>
    </row>
    <row r="32" spans="1:20" ht="14.85" customHeight="1" x14ac:dyDescent="0.2">
      <c r="A32" s="1394"/>
      <c r="B32" s="851"/>
      <c r="C32" s="2731"/>
      <c r="D32" s="2731"/>
      <c r="E32" s="2731"/>
      <c r="F32" s="2731"/>
      <c r="G32" s="2306"/>
      <c r="H32" s="2731"/>
      <c r="I32" s="2731"/>
      <c r="J32" s="2731"/>
      <c r="K32" s="1393"/>
      <c r="L32" s="2726" t="s">
        <v>50</v>
      </c>
      <c r="M32" s="2726"/>
      <c r="N32" s="2726"/>
      <c r="O32" s="2726"/>
      <c r="P32" s="2726"/>
      <c r="Q32" s="2726"/>
      <c r="R32" s="2726"/>
      <c r="S32" s="2726"/>
      <c r="T32" s="2726"/>
    </row>
    <row r="33" spans="1:20" ht="14.85" customHeight="1" thickBot="1" x14ac:dyDescent="0.25">
      <c r="A33" s="2297" t="s">
        <v>1720</v>
      </c>
      <c r="B33" s="851"/>
      <c r="C33" s="2730">
        <f>SUM(C23:F32)</f>
        <v>0</v>
      </c>
      <c r="D33" s="2730"/>
      <c r="E33" s="2730"/>
      <c r="F33" s="2730"/>
      <c r="G33" s="855"/>
      <c r="H33" s="2730">
        <f>SUM(H23:K32)</f>
        <v>0</v>
      </c>
      <c r="I33" s="2730"/>
      <c r="J33" s="2730"/>
      <c r="K33" s="1395"/>
      <c r="L33" s="2727"/>
      <c r="M33" s="2727"/>
      <c r="N33" s="2727"/>
      <c r="O33" s="2727"/>
      <c r="P33" s="2727"/>
      <c r="Q33" s="2727"/>
      <c r="R33" s="2727"/>
      <c r="S33" s="2727"/>
      <c r="T33" s="2727"/>
    </row>
    <row r="34" spans="1:20" ht="14.85" customHeight="1" thickTop="1" x14ac:dyDescent="0.2">
      <c r="C34" s="2729" t="s">
        <v>1706</v>
      </c>
      <c r="D34" s="2729"/>
      <c r="E34" s="2729"/>
      <c r="F34" s="2729"/>
      <c r="G34" s="877"/>
      <c r="H34" s="2729" t="s">
        <v>1728</v>
      </c>
      <c r="I34" s="2729"/>
      <c r="J34" s="2729"/>
      <c r="K34" s="2704"/>
      <c r="L34" s="2310" t="s">
        <v>1729</v>
      </c>
    </row>
    <row r="35" spans="1:20" ht="14.85" customHeight="1" x14ac:dyDescent="0.2">
      <c r="A35" s="851" t="s">
        <v>50</v>
      </c>
      <c r="B35" s="851"/>
      <c r="O35" s="2305"/>
      <c r="P35" s="846"/>
      <c r="Q35" s="2305"/>
      <c r="R35" s="2305"/>
      <c r="S35" s="2305"/>
      <c r="T35" s="2305"/>
    </row>
  </sheetData>
  <sheetProtection algorithmName="SHA-512" hashValue="HgD+cnWlHAsHKyQ4fvm9vOHBdMi1OPJSalTDzYKI6dJdxusYYJWZQwaVw2ln4+nHwa6/FKbNBlECGkHPCthbGQ==" saltValue="CItSbdt/XvOqjfvWFE/gew==" spinCount="100000" sheet="1" objects="1" scenarios="1" autoFilter="0"/>
  <mergeCells count="63">
    <mergeCell ref="H24:J24"/>
    <mergeCell ref="H32:J32"/>
    <mergeCell ref="H33:J33"/>
    <mergeCell ref="H34:K34"/>
    <mergeCell ref="C23:F23"/>
    <mergeCell ref="C24:F24"/>
    <mergeCell ref="H23:J23"/>
    <mergeCell ref="H30:J30"/>
    <mergeCell ref="H31:J31"/>
    <mergeCell ref="C25:F25"/>
    <mergeCell ref="C29:F29"/>
    <mergeCell ref="H29:J29"/>
    <mergeCell ref="H25:J25"/>
    <mergeCell ref="C26:F26"/>
    <mergeCell ref="H26:J26"/>
    <mergeCell ref="C27:F27"/>
    <mergeCell ref="H27:J27"/>
    <mergeCell ref="C28:F28"/>
    <mergeCell ref="H28:J28"/>
    <mergeCell ref="C30:F30"/>
    <mergeCell ref="C31:F31"/>
    <mergeCell ref="C34:F34"/>
    <mergeCell ref="C33:F33"/>
    <mergeCell ref="C32:F32"/>
    <mergeCell ref="C20:F20"/>
    <mergeCell ref="C21:F21"/>
    <mergeCell ref="C22:F22"/>
    <mergeCell ref="D6:F6"/>
    <mergeCell ref="N6:R6"/>
    <mergeCell ref="N7:R7"/>
    <mergeCell ref="N15:O15"/>
    <mergeCell ref="N16:O16"/>
    <mergeCell ref="D8:F8"/>
    <mergeCell ref="N8:R8"/>
    <mergeCell ref="N13:O13"/>
    <mergeCell ref="A11:J11"/>
    <mergeCell ref="A1:T1"/>
    <mergeCell ref="U1:U3"/>
    <mergeCell ref="A2:T2"/>
    <mergeCell ref="A3:T3"/>
    <mergeCell ref="A4:T4"/>
    <mergeCell ref="L20:S20"/>
    <mergeCell ref="L21:S21"/>
    <mergeCell ref="L22:T22"/>
    <mergeCell ref="L23:T23"/>
    <mergeCell ref="C14:D14"/>
    <mergeCell ref="N14:O14"/>
    <mergeCell ref="C15:F15"/>
    <mergeCell ref="C16:F16"/>
    <mergeCell ref="H16:J16"/>
    <mergeCell ref="H20:J20"/>
    <mergeCell ref="H21:J21"/>
    <mergeCell ref="H22:J22"/>
    <mergeCell ref="L24:T24"/>
    <mergeCell ref="L33:T33"/>
    <mergeCell ref="L26:T26"/>
    <mergeCell ref="L27:T27"/>
    <mergeCell ref="L28:T28"/>
    <mergeCell ref="L25:T25"/>
    <mergeCell ref="L29:T29"/>
    <mergeCell ref="L30:T30"/>
    <mergeCell ref="L31:T31"/>
    <mergeCell ref="L32:T32"/>
  </mergeCells>
  <conditionalFormatting sqref="T5:T7">
    <cfRule type="cellIs" dxfId="78" priority="3" stopIfTrue="1" operator="equal">
      <formula>"na"</formula>
    </cfRule>
  </conditionalFormatting>
  <conditionalFormatting sqref="U1:U4">
    <cfRule type="cellIs" dxfId="77" priority="1" stopIfTrue="1" operator="equal">
      <formula>"na"</formula>
    </cfRule>
  </conditionalFormatting>
  <hyperlinks>
    <hyperlink ref="A1:T1" location="Index!A1" display="Index!A1" xr:uid="{412B4CD5-B3A3-4D9C-986D-C1C47590D00B}"/>
  </hyperlinks>
  <pageMargins left="0.6" right="0.6" top="0.5" bottom="0.5" header="0.3" footer="0.3"/>
  <pageSetup scale="8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pageSetUpPr fitToPage="1"/>
  </sheetPr>
  <dimension ref="A1:L104"/>
  <sheetViews>
    <sheetView showGridLines="0" zoomScaleNormal="100" zoomScaleSheetLayoutView="100" workbookViewId="0">
      <selection activeCell="A2" sqref="A2:T2"/>
    </sheetView>
  </sheetViews>
  <sheetFormatPr defaultColWidth="9.42578125" defaultRowHeight="10.5" x14ac:dyDescent="0.15"/>
  <cols>
    <col min="1" max="1" width="27.5703125" style="17" customWidth="1"/>
    <col min="2" max="2" width="16.5703125" style="17" customWidth="1"/>
    <col min="3" max="3" width="1.5703125" style="17" customWidth="1"/>
    <col min="4" max="4" width="15.5703125" style="17" customWidth="1"/>
    <col min="5" max="5" width="1.5703125" style="17" customWidth="1"/>
    <col min="6" max="6" width="16.5703125" style="17" customWidth="1"/>
    <col min="7" max="7" width="1.5703125" style="17" customWidth="1"/>
    <col min="8" max="8" width="12.5703125" style="17" customWidth="1"/>
    <col min="9" max="9" width="4.5703125" style="17" customWidth="1"/>
    <col min="10" max="16" width="1.5703125" style="17" customWidth="1"/>
    <col min="17" max="16384" width="9.42578125" style="17"/>
  </cols>
  <sheetData>
    <row r="1" spans="1:12" s="50" customFormat="1" ht="15.75" x14ac:dyDescent="0.25">
      <c r="A1" s="2455" t="str">
        <f>Index!A1</f>
        <v xml:space="preserve">                                                               Office of the State Controller                                                                </v>
      </c>
      <c r="B1" s="2455"/>
      <c r="C1" s="2455"/>
      <c r="D1" s="2455"/>
      <c r="E1" s="2455"/>
      <c r="F1" s="2455"/>
      <c r="G1" s="2455"/>
      <c r="H1" s="2455"/>
      <c r="I1"/>
      <c r="J1"/>
      <c r="K1"/>
      <c r="L1" s="2214"/>
    </row>
    <row r="2" spans="1:12" s="16" customFormat="1" ht="15" customHeight="1" x14ac:dyDescent="0.25">
      <c r="A2" s="2718" t="str">
        <f>+Index!$A$2</f>
        <v>2023 ACFR Worksheets</v>
      </c>
      <c r="B2" s="2718"/>
      <c r="C2" s="2718"/>
      <c r="D2" s="2718"/>
      <c r="E2" s="2718"/>
      <c r="F2" s="2718"/>
      <c r="G2" s="2718"/>
      <c r="H2" s="2718"/>
    </row>
    <row r="3" spans="1:12" s="16" customFormat="1" ht="15" customHeight="1" x14ac:dyDescent="0.25">
      <c r="A3" s="2718" t="s">
        <v>1730</v>
      </c>
      <c r="B3" s="2718"/>
      <c r="C3" s="2718"/>
      <c r="D3" s="2718"/>
      <c r="E3" s="2718"/>
      <c r="F3" s="2718"/>
      <c r="G3" s="2718"/>
      <c r="H3" s="2718"/>
    </row>
    <row r="4" spans="1:12" s="18" customFormat="1" ht="15" customHeight="1" x14ac:dyDescent="0.25">
      <c r="A4" s="2732" t="s">
        <v>1731</v>
      </c>
      <c r="B4" s="2732"/>
      <c r="C4" s="2732"/>
      <c r="D4" s="2732"/>
      <c r="E4" s="2732"/>
      <c r="F4" s="2732"/>
      <c r="G4" s="2732"/>
      <c r="H4" s="2732"/>
      <c r="J4" s="512"/>
      <c r="K4" s="512"/>
    </row>
    <row r="5" spans="1:12" s="18" customFormat="1" ht="6" customHeight="1" x14ac:dyDescent="0.2">
      <c r="C5" s="149"/>
      <c r="D5" s="149"/>
      <c r="F5" s="2735"/>
      <c r="G5" s="2735"/>
      <c r="H5" s="2735"/>
    </row>
    <row r="6" spans="1:12" s="18" customFormat="1" ht="15" customHeight="1" x14ac:dyDescent="0.2">
      <c r="A6" s="2301" t="s">
        <v>317</v>
      </c>
      <c r="B6" s="2303" t="str">
        <f>Index!$E$10</f>
        <v>01</v>
      </c>
      <c r="C6" s="2297"/>
      <c r="D6" s="2297"/>
      <c r="E6" s="847" t="s">
        <v>318</v>
      </c>
      <c r="F6" s="2492" t="str">
        <f>+Index!$E$11</f>
        <v>North Carolina General Assembly</v>
      </c>
      <c r="G6" s="2492"/>
      <c r="H6" s="2492"/>
    </row>
    <row r="7" spans="1:12" s="18" customFormat="1" ht="15" customHeight="1" x14ac:dyDescent="0.2">
      <c r="A7" s="846"/>
      <c r="B7" s="846"/>
      <c r="C7" s="2297"/>
      <c r="D7" s="2297"/>
      <c r="E7" s="847" t="s">
        <v>319</v>
      </c>
      <c r="F7" s="2546" t="str">
        <f>CONCATENATE(Index!$E$12,"",Index!$E$14)</f>
        <v/>
      </c>
      <c r="G7" s="2546"/>
      <c r="H7" s="2546"/>
    </row>
    <row r="8" spans="1:12" s="18" customFormat="1" ht="15" customHeight="1" x14ac:dyDescent="0.2">
      <c r="A8" s="846" t="s">
        <v>568</v>
      </c>
      <c r="B8" s="2307" t="s">
        <v>50</v>
      </c>
      <c r="C8" s="2297"/>
      <c r="D8" s="2297"/>
      <c r="E8" s="847" t="s">
        <v>71</v>
      </c>
      <c r="F8" s="2546">
        <f>+Index!$E$13</f>
        <v>0</v>
      </c>
      <c r="G8" s="2546"/>
      <c r="H8" s="2546"/>
    </row>
    <row r="9" spans="1:12" s="18" customFormat="1" ht="6" customHeight="1" thickBot="1" x14ac:dyDescent="0.25">
      <c r="A9" s="84"/>
      <c r="B9" s="84"/>
      <c r="C9" s="84"/>
      <c r="D9" s="84"/>
      <c r="E9" s="84"/>
      <c r="F9" s="84"/>
      <c r="G9" s="84"/>
      <c r="H9" s="84"/>
    </row>
    <row r="10" spans="1:12" s="18" customFormat="1" ht="5.25" customHeight="1" x14ac:dyDescent="0.2"/>
    <row r="11" spans="1:12" s="18" customFormat="1" ht="12.75" customHeight="1" x14ac:dyDescent="0.2">
      <c r="A11" s="878" t="s">
        <v>1732</v>
      </c>
      <c r="B11" s="878"/>
      <c r="C11" s="878"/>
      <c r="D11" s="878"/>
      <c r="E11" s="878"/>
      <c r="F11" s="878"/>
      <c r="H11" s="2456" t="str">
        <f>IF(Index!$B$63="na","NA","")</f>
        <v/>
      </c>
    </row>
    <row r="12" spans="1:12" s="18" customFormat="1" ht="12.75" customHeight="1" x14ac:dyDescent="0.2">
      <c r="A12" s="878" t="s">
        <v>1733</v>
      </c>
      <c r="B12" s="878"/>
      <c r="C12" s="878"/>
      <c r="D12" s="878"/>
      <c r="E12" s="878"/>
      <c r="F12" s="878"/>
      <c r="H12" s="2456"/>
    </row>
    <row r="13" spans="1:12" s="18" customFormat="1" ht="12.75" customHeight="1" x14ac:dyDescent="0.2">
      <c r="A13" s="878" t="s">
        <v>1734</v>
      </c>
      <c r="B13" s="846"/>
      <c r="C13" s="846"/>
      <c r="D13" s="846"/>
      <c r="E13" s="846"/>
      <c r="F13" s="846"/>
      <c r="H13" s="2456"/>
    </row>
    <row r="14" spans="1:12" s="18" customFormat="1" ht="9.75" customHeight="1" x14ac:dyDescent="0.2"/>
    <row r="15" spans="1:12" customFormat="1" ht="12.75" customHeight="1" x14ac:dyDescent="0.2">
      <c r="B15" s="2231" t="s">
        <v>1735</v>
      </c>
      <c r="F15" s="2231" t="s">
        <v>1736</v>
      </c>
    </row>
    <row r="16" spans="1:12" customFormat="1" ht="12.75" customHeight="1" x14ac:dyDescent="0.2">
      <c r="B16" s="447">
        <v>44743</v>
      </c>
      <c r="D16" s="2261" t="s">
        <v>1737</v>
      </c>
      <c r="F16" s="2261" t="s">
        <v>1738</v>
      </c>
    </row>
    <row r="17" spans="1:10" customFormat="1" ht="15" customHeight="1" x14ac:dyDescent="0.2">
      <c r="A17" s="1015" t="s">
        <v>1739</v>
      </c>
      <c r="B17" s="856"/>
      <c r="C17" s="857"/>
      <c r="D17" s="857"/>
      <c r="E17" s="856"/>
      <c r="F17" s="846"/>
    </row>
    <row r="18" spans="1:10" customFormat="1" ht="12.75" customHeight="1" x14ac:dyDescent="0.2">
      <c r="A18" s="853" t="s">
        <v>1740</v>
      </c>
      <c r="B18" s="854">
        <v>0</v>
      </c>
      <c r="C18" s="858"/>
      <c r="D18" s="854">
        <v>0</v>
      </c>
      <c r="E18" s="858"/>
      <c r="F18" s="1202">
        <f>B18+D18</f>
        <v>0</v>
      </c>
    </row>
    <row r="19" spans="1:10" customFormat="1" ht="12.75" customHeight="1" x14ac:dyDescent="0.2">
      <c r="A19" s="853" t="s">
        <v>1741</v>
      </c>
      <c r="B19" s="854">
        <v>0</v>
      </c>
      <c r="C19" s="2306"/>
      <c r="D19" s="854">
        <v>0</v>
      </c>
      <c r="E19" s="2306"/>
      <c r="F19" s="1202">
        <f>B19+D19</f>
        <v>0</v>
      </c>
    </row>
    <row r="20" spans="1:10" customFormat="1" ht="14.1" customHeight="1" thickBot="1" x14ac:dyDescent="0.25">
      <c r="A20" s="860" t="s">
        <v>1742</v>
      </c>
      <c r="B20" s="1381">
        <f>B18+B19</f>
        <v>0</v>
      </c>
      <c r="C20" s="2306" t="s">
        <v>50</v>
      </c>
      <c r="D20" s="1381">
        <f>SUM(D18:D19)</f>
        <v>0</v>
      </c>
      <c r="E20" s="2306" t="s">
        <v>50</v>
      </c>
      <c r="F20" s="1381">
        <f>F18+F19</f>
        <v>0</v>
      </c>
    </row>
    <row r="21" spans="1:10" customFormat="1" ht="8.1" customHeight="1" x14ac:dyDescent="0.2">
      <c r="A21" s="853"/>
      <c r="B21" s="2306"/>
      <c r="C21" s="2306"/>
      <c r="D21" s="2306"/>
      <c r="E21" s="2306"/>
      <c r="F21" s="2306"/>
    </row>
    <row r="22" spans="1:10" customFormat="1" ht="12.75" customHeight="1" x14ac:dyDescent="0.2">
      <c r="A22" s="860" t="s">
        <v>1743</v>
      </c>
      <c r="B22" s="2306">
        <v>0</v>
      </c>
      <c r="C22" s="2306"/>
      <c r="D22" s="2306">
        <v>0</v>
      </c>
      <c r="E22" s="2306"/>
      <c r="F22" s="855">
        <f>B22+D22</f>
        <v>0</v>
      </c>
    </row>
    <row r="23" spans="1:10" customFormat="1" ht="8.1" customHeight="1" x14ac:dyDescent="0.2">
      <c r="A23" s="860"/>
      <c r="B23" s="1060"/>
      <c r="C23" s="2306"/>
      <c r="D23" s="1060"/>
      <c r="E23" s="2306"/>
      <c r="F23" s="1060"/>
    </row>
    <row r="24" spans="1:10" customFormat="1" ht="8.1" customHeight="1" x14ac:dyDescent="0.2">
      <c r="A24" s="853" t="s">
        <v>50</v>
      </c>
      <c r="B24" s="2306" t="s">
        <v>50</v>
      </c>
      <c r="C24" s="2306" t="s">
        <v>50</v>
      </c>
      <c r="D24" s="2306" t="s">
        <v>50</v>
      </c>
      <c r="E24" s="2306" t="s">
        <v>50</v>
      </c>
      <c r="F24" s="2306" t="s">
        <v>50</v>
      </c>
    </row>
    <row r="25" spans="1:10" customFormat="1" ht="12.75" customHeight="1" x14ac:dyDescent="0.2">
      <c r="A25" s="853" t="s">
        <v>1744</v>
      </c>
      <c r="B25" s="854">
        <v>0</v>
      </c>
      <c r="C25" s="2306"/>
      <c r="D25" s="854">
        <v>0</v>
      </c>
      <c r="E25" s="2306"/>
      <c r="F25" s="1202">
        <f>B25+D25</f>
        <v>0</v>
      </c>
    </row>
    <row r="26" spans="1:10" s="18" customFormat="1" ht="12.75" customHeight="1" x14ac:dyDescent="0.2">
      <c r="A26" s="853" t="s">
        <v>1745</v>
      </c>
      <c r="B26" s="854">
        <v>0</v>
      </c>
      <c r="C26" s="2306"/>
      <c r="D26" s="854">
        <v>0</v>
      </c>
      <c r="E26" s="2306"/>
      <c r="F26" s="1202">
        <f>B26+D26</f>
        <v>0</v>
      </c>
      <c r="G26" s="846"/>
      <c r="H26" s="159"/>
      <c r="I26" s="846"/>
      <c r="J26" s="846"/>
    </row>
    <row r="27" spans="1:10" s="18" customFormat="1" ht="14.1" customHeight="1" thickBot="1" x14ac:dyDescent="0.25">
      <c r="A27" s="860" t="s">
        <v>1746</v>
      </c>
      <c r="B27" s="1381">
        <f>B26+B25</f>
        <v>0</v>
      </c>
      <c r="C27" s="2306" t="s">
        <v>50</v>
      </c>
      <c r="D27" s="1381">
        <f>SUM(D25:D26)</f>
        <v>0</v>
      </c>
      <c r="E27" s="2306" t="s">
        <v>50</v>
      </c>
      <c r="F27" s="1381">
        <f>F26+F25</f>
        <v>0</v>
      </c>
      <c r="G27" s="859"/>
      <c r="H27" s="159"/>
      <c r="I27" s="846"/>
      <c r="J27" s="846"/>
    </row>
    <row r="28" spans="1:10" s="18" customFormat="1" ht="8.1" customHeight="1" x14ac:dyDescent="0.2">
      <c r="A28" s="860"/>
      <c r="B28" s="2306"/>
      <c r="C28" s="2306"/>
      <c r="D28" s="2306"/>
      <c r="E28" s="2306"/>
      <c r="F28" s="2306"/>
      <c r="G28" s="855"/>
      <c r="H28" s="159"/>
      <c r="I28" s="846"/>
      <c r="J28" s="846"/>
    </row>
    <row r="29" spans="1:10" s="18" customFormat="1" ht="14.1" customHeight="1" x14ac:dyDescent="0.2">
      <c r="A29" s="860" t="s">
        <v>1747</v>
      </c>
      <c r="B29" s="854">
        <v>0</v>
      </c>
      <c r="C29" s="2306" t="s">
        <v>50</v>
      </c>
      <c r="D29" s="854">
        <v>0</v>
      </c>
      <c r="E29" s="2306" t="s">
        <v>50</v>
      </c>
      <c r="F29" s="1202">
        <f>B29+D29</f>
        <v>0</v>
      </c>
      <c r="G29" s="855"/>
      <c r="H29" s="159"/>
      <c r="I29" s="846"/>
      <c r="J29" s="846"/>
    </row>
    <row r="30" spans="1:10" s="18" customFormat="1" ht="15.75" customHeight="1" x14ac:dyDescent="0.2">
      <c r="A30" s="860" t="s">
        <v>1748</v>
      </c>
      <c r="B30" s="2306"/>
      <c r="C30" s="2306"/>
      <c r="D30" s="2306"/>
      <c r="E30" s="2306"/>
      <c r="F30" s="2306"/>
      <c r="G30" s="855"/>
      <c r="H30" s="159"/>
      <c r="I30" s="846"/>
      <c r="J30" s="846"/>
    </row>
    <row r="31" spans="1:10" s="18" customFormat="1" ht="12.75" customHeight="1" x14ac:dyDescent="0.2">
      <c r="A31" s="853" t="s">
        <v>1749</v>
      </c>
      <c r="B31" s="854">
        <v>0</v>
      </c>
      <c r="C31" s="2306"/>
      <c r="D31" s="854">
        <v>0</v>
      </c>
      <c r="E31" s="2306"/>
      <c r="F31" s="1202">
        <f>B31+D31</f>
        <v>0</v>
      </c>
      <c r="G31" s="855"/>
      <c r="H31" s="159"/>
      <c r="I31" s="846"/>
      <c r="J31" s="846"/>
    </row>
    <row r="32" spans="1:10" s="18" customFormat="1" ht="12.75" customHeight="1" x14ac:dyDescent="0.2">
      <c r="A32" s="853" t="s">
        <v>1750</v>
      </c>
      <c r="B32" s="2298">
        <v>0</v>
      </c>
      <c r="C32" s="2306"/>
      <c r="D32" s="854">
        <v>0</v>
      </c>
      <c r="E32" s="2306"/>
      <c r="F32" s="1202">
        <f>B32+D32</f>
        <v>0</v>
      </c>
      <c r="G32" s="855"/>
      <c r="H32" s="159"/>
      <c r="I32" s="846"/>
      <c r="J32" s="846"/>
    </row>
    <row r="33" spans="1:10" s="18" customFormat="1" ht="12.75" customHeight="1" x14ac:dyDescent="0.2">
      <c r="A33" s="853" t="s">
        <v>1751</v>
      </c>
      <c r="B33" s="854">
        <v>0</v>
      </c>
      <c r="C33" s="2306"/>
      <c r="D33" s="854">
        <v>0</v>
      </c>
      <c r="E33" s="2306"/>
      <c r="F33" s="1202">
        <f>B33+D33</f>
        <v>0</v>
      </c>
      <c r="G33" s="855"/>
      <c r="H33" s="159"/>
      <c r="I33" s="846"/>
      <c r="J33" s="846"/>
    </row>
    <row r="34" spans="1:10" s="18" customFormat="1" ht="14.1" customHeight="1" thickBot="1" x14ac:dyDescent="0.25">
      <c r="A34" s="860" t="s">
        <v>1630</v>
      </c>
      <c r="B34" s="1204">
        <f>B31+B32+B33</f>
        <v>0</v>
      </c>
      <c r="C34" s="2306"/>
      <c r="D34" s="1204">
        <f>SUM(D31:D33)</f>
        <v>0</v>
      </c>
      <c r="E34" s="2306"/>
      <c r="F34" s="1204">
        <f>F31+F32+F33</f>
        <v>0</v>
      </c>
      <c r="G34" s="855"/>
      <c r="H34" s="159"/>
      <c r="I34" s="846"/>
      <c r="J34" s="846"/>
    </row>
    <row r="35" spans="1:10" s="18" customFormat="1" ht="8.1" customHeight="1" thickTop="1" x14ac:dyDescent="0.2">
      <c r="A35" s="853"/>
      <c r="B35" s="2306"/>
      <c r="C35" s="2306"/>
      <c r="D35" s="2306"/>
      <c r="E35" s="2306"/>
      <c r="F35" s="2306"/>
      <c r="G35" s="855"/>
      <c r="H35" s="159"/>
      <c r="I35" s="846"/>
      <c r="J35" s="846"/>
    </row>
    <row r="36" spans="1:10" s="18" customFormat="1" ht="14.1" customHeight="1" thickBot="1" x14ac:dyDescent="0.25">
      <c r="A36" s="1016" t="s">
        <v>1752</v>
      </c>
      <c r="B36" s="2306"/>
      <c r="C36" s="2306"/>
      <c r="D36" s="1203">
        <f>SUM(D20+D22)-SUM(D27+D29)</f>
        <v>0</v>
      </c>
      <c r="E36" s="2306"/>
      <c r="F36" s="2306"/>
      <c r="G36" s="855"/>
      <c r="H36" s="159"/>
      <c r="I36" s="846"/>
      <c r="J36" s="846"/>
    </row>
    <row r="37" spans="1:10" s="18" customFormat="1" ht="12" customHeight="1" thickTop="1" x14ac:dyDescent="0.2">
      <c r="A37" s="853"/>
      <c r="B37" s="2306"/>
      <c r="C37" s="2306"/>
      <c r="D37" s="2306"/>
      <c r="E37" s="2306"/>
      <c r="F37" s="2306"/>
      <c r="G37" s="855"/>
      <c r="H37" s="159"/>
      <c r="I37" s="846"/>
      <c r="J37" s="846"/>
    </row>
    <row r="38" spans="1:10" s="18" customFormat="1" ht="12.75" x14ac:dyDescent="0.2">
      <c r="A38" s="1015" t="s">
        <v>1753</v>
      </c>
      <c r="B38" s="2306"/>
      <c r="C38" s="2306"/>
      <c r="D38" s="2306"/>
      <c r="E38" s="2306"/>
      <c r="F38" s="2306"/>
      <c r="G38" s="855"/>
      <c r="H38" s="159"/>
      <c r="I38" s="846"/>
      <c r="J38" s="846"/>
    </row>
    <row r="39" spans="1:10" s="18" customFormat="1" ht="12.75" x14ac:dyDescent="0.2">
      <c r="A39" s="1017" t="s">
        <v>1754</v>
      </c>
      <c r="B39" s="2306"/>
      <c r="C39" s="2306"/>
      <c r="D39" s="2306"/>
      <c r="E39" s="2306"/>
      <c r="F39" s="2306"/>
      <c r="G39" s="855"/>
      <c r="H39" s="159"/>
      <c r="I39" s="846"/>
      <c r="J39" s="846"/>
    </row>
    <row r="40" spans="1:10" s="18" customFormat="1" ht="14.1" customHeight="1" x14ac:dyDescent="0.2">
      <c r="A40" s="860" t="s">
        <v>1755</v>
      </c>
      <c r="B40" s="2306"/>
      <c r="C40" s="2306"/>
      <c r="D40" s="2306"/>
      <c r="E40" s="2306"/>
      <c r="F40" s="2306"/>
      <c r="G40" s="855"/>
      <c r="H40" s="159"/>
      <c r="I40" s="846"/>
      <c r="J40" s="846"/>
    </row>
    <row r="41" spans="1:10" s="18" customFormat="1" ht="14.1" customHeight="1" x14ac:dyDescent="0.2">
      <c r="A41" s="853" t="s">
        <v>1756</v>
      </c>
      <c r="B41" s="854">
        <v>0</v>
      </c>
      <c r="C41" s="2306"/>
      <c r="D41" s="854">
        <v>0</v>
      </c>
      <c r="E41" s="2306"/>
      <c r="F41" s="1202">
        <f>B41+D41</f>
        <v>0</v>
      </c>
      <c r="G41" s="855"/>
      <c r="H41" s="159"/>
      <c r="I41" s="846"/>
      <c r="J41" s="846"/>
    </row>
    <row r="42" spans="1:10" s="18" customFormat="1" ht="14.1" customHeight="1" x14ac:dyDescent="0.2">
      <c r="A42" s="853" t="s">
        <v>1757</v>
      </c>
      <c r="B42" s="854">
        <v>0</v>
      </c>
      <c r="C42" s="2306"/>
      <c r="D42" s="854">
        <v>0</v>
      </c>
      <c r="E42" s="2306"/>
      <c r="F42" s="1202">
        <f>B42+D42</f>
        <v>0</v>
      </c>
      <c r="G42" s="855"/>
      <c r="H42" s="159"/>
      <c r="I42" s="846"/>
      <c r="J42" s="846"/>
    </row>
    <row r="43" spans="1:10" s="18" customFormat="1" ht="14.1" customHeight="1" x14ac:dyDescent="0.2">
      <c r="A43" s="853" t="s">
        <v>1758</v>
      </c>
      <c r="B43" s="854">
        <v>0</v>
      </c>
      <c r="C43" s="2306"/>
      <c r="D43" s="854">
        <v>0</v>
      </c>
      <c r="E43" s="2306"/>
      <c r="F43" s="1202">
        <f>B43+D43</f>
        <v>0</v>
      </c>
      <c r="G43" s="855"/>
      <c r="H43" s="159"/>
      <c r="I43" s="846"/>
      <c r="J43" s="846"/>
    </row>
    <row r="44" spans="1:10" s="18" customFormat="1" ht="14.1" customHeight="1" x14ac:dyDescent="0.2">
      <c r="A44" s="853" t="s">
        <v>1759</v>
      </c>
      <c r="B44" s="854">
        <v>0</v>
      </c>
      <c r="C44" s="2306"/>
      <c r="D44" s="854">
        <v>0</v>
      </c>
      <c r="E44" s="2306"/>
      <c r="F44" s="1202">
        <f>B44+D44</f>
        <v>0</v>
      </c>
      <c r="G44" s="855"/>
      <c r="H44" s="159"/>
      <c r="I44" s="846"/>
      <c r="J44" s="846"/>
    </row>
    <row r="45" spans="1:10" s="18" customFormat="1" ht="14.1" customHeight="1" x14ac:dyDescent="0.2">
      <c r="A45" s="860" t="s">
        <v>1760</v>
      </c>
      <c r="B45" s="2306">
        <v>0</v>
      </c>
      <c r="C45" s="2306"/>
      <c r="D45" s="2306">
        <v>0</v>
      </c>
      <c r="E45" s="2306"/>
      <c r="F45" s="2306" t="s">
        <v>50</v>
      </c>
      <c r="G45" s="855"/>
      <c r="H45" s="159"/>
      <c r="I45" s="852"/>
      <c r="J45" s="846"/>
    </row>
    <row r="46" spans="1:10" s="18" customFormat="1" ht="14.1" customHeight="1" x14ac:dyDescent="0.2">
      <c r="A46" s="853" t="s">
        <v>1759</v>
      </c>
      <c r="B46" s="854">
        <v>0</v>
      </c>
      <c r="C46" s="2306"/>
      <c r="D46" s="854">
        <v>0</v>
      </c>
      <c r="E46" s="2306"/>
      <c r="F46" s="1202">
        <f>B46+D46</f>
        <v>0</v>
      </c>
      <c r="G46" s="855"/>
      <c r="H46" s="159"/>
      <c r="I46" s="846"/>
      <c r="J46" s="846"/>
    </row>
    <row r="47" spans="1:10" s="18" customFormat="1" ht="14.1" customHeight="1" x14ac:dyDescent="0.2">
      <c r="A47" s="860" t="s">
        <v>1761</v>
      </c>
      <c r="B47" s="2306"/>
      <c r="C47" s="2306"/>
      <c r="D47" s="2306">
        <v>0</v>
      </c>
      <c r="E47" s="2306"/>
      <c r="F47" s="2306"/>
      <c r="G47" s="855"/>
      <c r="H47" s="159"/>
      <c r="I47" s="846"/>
      <c r="J47" s="846"/>
    </row>
    <row r="48" spans="1:10" s="18" customFormat="1" ht="14.1" customHeight="1" x14ac:dyDescent="0.2">
      <c r="A48" s="853" t="s">
        <v>1762</v>
      </c>
      <c r="B48" s="854">
        <v>0</v>
      </c>
      <c r="C48" s="2306"/>
      <c r="D48" s="854">
        <v>0</v>
      </c>
      <c r="E48" s="2306"/>
      <c r="F48" s="1202">
        <f>B48+D48</f>
        <v>0</v>
      </c>
      <c r="G48" s="855"/>
      <c r="H48" s="159"/>
      <c r="I48" s="846"/>
      <c r="J48" s="846"/>
    </row>
    <row r="49" spans="1:10" s="18" customFormat="1" ht="14.1" customHeight="1" x14ac:dyDescent="0.2">
      <c r="A49" s="853" t="s">
        <v>1763</v>
      </c>
      <c r="B49" s="854">
        <v>0</v>
      </c>
      <c r="C49" s="2306"/>
      <c r="D49" s="854">
        <v>0</v>
      </c>
      <c r="E49" s="2306"/>
      <c r="F49" s="1202">
        <f t="shared" ref="F49:F61" si="0">B49+D49</f>
        <v>0</v>
      </c>
      <c r="G49" s="855"/>
      <c r="H49" s="159"/>
      <c r="I49" s="846"/>
      <c r="J49" s="846"/>
    </row>
    <row r="50" spans="1:10" s="18" customFormat="1" ht="14.1" customHeight="1" x14ac:dyDescent="0.2">
      <c r="A50" s="853" t="s">
        <v>1764</v>
      </c>
      <c r="B50" s="854">
        <v>0</v>
      </c>
      <c r="C50" s="2306"/>
      <c r="D50" s="854">
        <v>0</v>
      </c>
      <c r="E50" s="2306"/>
      <c r="F50" s="1202">
        <f t="shared" si="0"/>
        <v>0</v>
      </c>
      <c r="G50" s="855"/>
      <c r="H50" s="159"/>
      <c r="I50" s="846"/>
      <c r="J50" s="846"/>
    </row>
    <row r="51" spans="1:10" s="18" customFormat="1" ht="14.1" customHeight="1" x14ac:dyDescent="0.2">
      <c r="A51" s="853" t="s">
        <v>1765</v>
      </c>
      <c r="B51" s="854">
        <v>0</v>
      </c>
      <c r="C51" s="2306"/>
      <c r="D51" s="854">
        <v>0</v>
      </c>
      <c r="E51" s="2306"/>
      <c r="F51" s="1202">
        <f t="shared" si="0"/>
        <v>0</v>
      </c>
      <c r="G51" s="855"/>
      <c r="H51" s="159"/>
      <c r="I51" s="846"/>
      <c r="J51" s="846"/>
    </row>
    <row r="52" spans="1:10" s="18" customFormat="1" ht="14.1" customHeight="1" x14ac:dyDescent="0.2">
      <c r="A52" s="853" t="s">
        <v>1766</v>
      </c>
      <c r="B52" s="854">
        <v>0</v>
      </c>
      <c r="C52" s="2306"/>
      <c r="D52" s="854">
        <v>0</v>
      </c>
      <c r="E52" s="2306"/>
      <c r="F52" s="1202">
        <f t="shared" si="0"/>
        <v>0</v>
      </c>
      <c r="G52" s="855"/>
      <c r="H52" s="159"/>
      <c r="I52" s="846"/>
      <c r="J52" s="846"/>
    </row>
    <row r="53" spans="1:10" s="18" customFormat="1" ht="14.1" customHeight="1" x14ac:dyDescent="0.2">
      <c r="A53" s="853" t="s">
        <v>1767</v>
      </c>
      <c r="B53" s="854">
        <v>0</v>
      </c>
      <c r="C53" s="2306"/>
      <c r="D53" s="854">
        <v>0</v>
      </c>
      <c r="E53" s="2306"/>
      <c r="F53" s="1202">
        <f t="shared" si="0"/>
        <v>0</v>
      </c>
      <c r="G53" s="855"/>
      <c r="H53" s="159"/>
      <c r="I53" s="846"/>
      <c r="J53" s="846"/>
    </row>
    <row r="54" spans="1:10" s="18" customFormat="1" ht="14.1" customHeight="1" x14ac:dyDescent="0.2">
      <c r="A54" s="853" t="s">
        <v>1768</v>
      </c>
      <c r="B54" s="854">
        <v>0</v>
      </c>
      <c r="C54" s="2306"/>
      <c r="D54" s="854">
        <v>0</v>
      </c>
      <c r="E54" s="2306"/>
      <c r="F54" s="1202">
        <f t="shared" si="0"/>
        <v>0</v>
      </c>
      <c r="G54" s="855"/>
      <c r="H54" s="159"/>
      <c r="I54" s="846"/>
      <c r="J54" s="846"/>
    </row>
    <row r="55" spans="1:10" s="18" customFormat="1" ht="14.1" customHeight="1" x14ac:dyDescent="0.2">
      <c r="A55" s="853" t="s">
        <v>1769</v>
      </c>
      <c r="B55" s="854">
        <v>0</v>
      </c>
      <c r="C55" s="2306"/>
      <c r="D55" s="854">
        <v>0</v>
      </c>
      <c r="E55" s="2306"/>
      <c r="F55" s="1202">
        <f t="shared" si="0"/>
        <v>0</v>
      </c>
      <c r="G55" s="855"/>
      <c r="H55" s="159"/>
      <c r="I55" s="846"/>
      <c r="J55" s="846"/>
    </row>
    <row r="56" spans="1:10" s="18" customFormat="1" ht="14.1" customHeight="1" x14ac:dyDescent="0.2">
      <c r="A56" s="853" t="s">
        <v>1770</v>
      </c>
      <c r="B56" s="854">
        <v>0</v>
      </c>
      <c r="C56" s="2306"/>
      <c r="D56" s="854">
        <v>0</v>
      </c>
      <c r="E56" s="2306"/>
      <c r="F56" s="1202">
        <f t="shared" si="0"/>
        <v>0</v>
      </c>
      <c r="G56" s="855"/>
      <c r="H56" s="159"/>
      <c r="I56" s="846"/>
      <c r="J56" s="846"/>
    </row>
    <row r="57" spans="1:10" s="18" customFormat="1" ht="14.1" customHeight="1" x14ac:dyDescent="0.2">
      <c r="A57" s="853" t="s">
        <v>1771</v>
      </c>
      <c r="B57" s="854">
        <v>0</v>
      </c>
      <c r="C57" s="2306"/>
      <c r="D57" s="854">
        <v>0</v>
      </c>
      <c r="E57" s="2306"/>
      <c r="F57" s="1202">
        <f t="shared" si="0"/>
        <v>0</v>
      </c>
      <c r="G57" s="855"/>
      <c r="H57" s="159"/>
      <c r="I57" s="846"/>
      <c r="J57" s="846"/>
    </row>
    <row r="58" spans="1:10" s="18" customFormat="1" ht="14.1" customHeight="1" x14ac:dyDescent="0.2">
      <c r="A58" s="853" t="s">
        <v>1772</v>
      </c>
      <c r="B58" s="854">
        <v>0</v>
      </c>
      <c r="C58" s="2306"/>
      <c r="D58" s="854">
        <v>0</v>
      </c>
      <c r="E58" s="2306"/>
      <c r="F58" s="1202">
        <f t="shared" si="0"/>
        <v>0</v>
      </c>
      <c r="G58" s="855"/>
      <c r="H58" s="159"/>
      <c r="I58" s="846"/>
      <c r="J58" s="846"/>
    </row>
    <row r="59" spans="1:10" s="18" customFormat="1" ht="14.1" customHeight="1" x14ac:dyDescent="0.2">
      <c r="A59" s="853" t="s">
        <v>1773</v>
      </c>
      <c r="B59" s="2306">
        <v>0</v>
      </c>
      <c r="C59" s="2306"/>
      <c r="D59" s="2306">
        <v>0</v>
      </c>
      <c r="E59" s="2306"/>
      <c r="F59" s="2306" t="s">
        <v>50</v>
      </c>
      <c r="G59" s="855"/>
      <c r="H59" s="159"/>
      <c r="I59" s="846"/>
      <c r="J59" s="846"/>
    </row>
    <row r="60" spans="1:10" s="18" customFormat="1" ht="14.1" customHeight="1" x14ac:dyDescent="0.2">
      <c r="A60" s="853" t="s">
        <v>1774</v>
      </c>
      <c r="B60" s="854">
        <v>0</v>
      </c>
      <c r="C60" s="2306"/>
      <c r="D60" s="854">
        <v>0</v>
      </c>
      <c r="E60" s="2306"/>
      <c r="F60" s="1202">
        <f>B60+D60</f>
        <v>0</v>
      </c>
      <c r="G60" s="855"/>
      <c r="H60" s="159"/>
      <c r="I60" s="846"/>
      <c r="J60" s="846"/>
    </row>
    <row r="61" spans="1:10" s="18" customFormat="1" ht="14.1" customHeight="1" x14ac:dyDescent="0.2">
      <c r="A61" s="853" t="s">
        <v>1775</v>
      </c>
      <c r="B61" s="854">
        <v>0</v>
      </c>
      <c r="C61" s="2306"/>
      <c r="D61" s="854">
        <v>0</v>
      </c>
      <c r="E61" s="2306"/>
      <c r="F61" s="1202">
        <f t="shared" si="0"/>
        <v>0</v>
      </c>
      <c r="G61" s="855"/>
      <c r="H61" s="159"/>
      <c r="I61" s="852"/>
      <c r="J61" s="846"/>
    </row>
    <row r="62" spans="1:10" s="18" customFormat="1" ht="14.1" customHeight="1" thickBot="1" x14ac:dyDescent="0.25">
      <c r="A62" s="860" t="s">
        <v>1776</v>
      </c>
      <c r="B62" s="1204">
        <f>B41+B42+B43+B44+B46+B48+B49+B50+B51+B52+B53+B54+B55+B56+B57+B58+B60+B61</f>
        <v>0</v>
      </c>
      <c r="C62" s="2306"/>
      <c r="D62" s="1204">
        <f>D41+D42+D43+D44+D46+D48+D49+D50+D51+D52+D53+D54+D55+D56+D57+D58+D60+D61</f>
        <v>0</v>
      </c>
      <c r="E62" s="2306"/>
      <c r="F62" s="1204">
        <f>F41+F42+F43+F44+F46+F48+F49+F50+F51+F52+F53+F54+F55+F56+F57+F58+F60+F61</f>
        <v>0</v>
      </c>
      <c r="G62" s="855"/>
      <c r="H62" s="159"/>
      <c r="I62" s="852"/>
      <c r="J62" s="846"/>
    </row>
    <row r="63" spans="1:10" s="18" customFormat="1" ht="8.1" customHeight="1" thickTop="1" x14ac:dyDescent="0.2">
      <c r="A63" s="853"/>
      <c r="B63" s="2306"/>
      <c r="C63" s="2306"/>
      <c r="D63" s="2306"/>
      <c r="E63" s="2306"/>
      <c r="F63" s="2306"/>
      <c r="G63" s="855"/>
      <c r="H63" s="159"/>
      <c r="I63" s="852"/>
      <c r="J63" s="846"/>
    </row>
    <row r="64" spans="1:10" s="18" customFormat="1" ht="12.75" x14ac:dyDescent="0.2">
      <c r="A64" s="1017" t="s">
        <v>1777</v>
      </c>
      <c r="B64" s="2306"/>
      <c r="C64" s="2306"/>
      <c r="D64" s="2306"/>
      <c r="E64" s="2306"/>
      <c r="F64" s="2306"/>
      <c r="G64" s="855"/>
      <c r="H64" s="159"/>
      <c r="I64" s="846"/>
      <c r="J64" s="846"/>
    </row>
    <row r="65" spans="1:10" s="18" customFormat="1" ht="12.75" customHeight="1" x14ac:dyDescent="0.2">
      <c r="A65" s="853" t="s">
        <v>1778</v>
      </c>
      <c r="B65" s="2306" t="s">
        <v>50</v>
      </c>
      <c r="C65" s="2306" t="s">
        <v>50</v>
      </c>
      <c r="D65" s="2306" t="s">
        <v>50</v>
      </c>
      <c r="E65" s="2306" t="s">
        <v>50</v>
      </c>
      <c r="F65" s="2306" t="s">
        <v>50</v>
      </c>
      <c r="G65" s="855"/>
      <c r="H65" s="159"/>
      <c r="I65" s="846"/>
      <c r="J65" s="846"/>
    </row>
    <row r="66" spans="1:10" s="18" customFormat="1" ht="12.75" customHeight="1" x14ac:dyDescent="0.2">
      <c r="A66" s="853" t="s">
        <v>1779</v>
      </c>
      <c r="B66" s="854">
        <v>0</v>
      </c>
      <c r="C66" s="2306"/>
      <c r="D66" s="854">
        <v>0</v>
      </c>
      <c r="E66" s="2306"/>
      <c r="F66" s="1202">
        <f t="shared" ref="F66:F76" si="1">B66+D66</f>
        <v>0</v>
      </c>
      <c r="G66" s="855"/>
      <c r="H66" s="159"/>
      <c r="I66" s="846"/>
      <c r="J66" s="846"/>
    </row>
    <row r="67" spans="1:10" s="18" customFormat="1" ht="12.75" customHeight="1" x14ac:dyDescent="0.2">
      <c r="A67" s="853" t="s">
        <v>1780</v>
      </c>
      <c r="B67" s="854">
        <v>0</v>
      </c>
      <c r="C67" s="2306"/>
      <c r="D67" s="854">
        <v>0</v>
      </c>
      <c r="E67" s="2306"/>
      <c r="F67" s="1202">
        <f t="shared" si="1"/>
        <v>0</v>
      </c>
      <c r="G67" s="855"/>
      <c r="H67" s="159"/>
      <c r="I67" s="846"/>
      <c r="J67" s="846"/>
    </row>
    <row r="68" spans="1:10" s="18" customFormat="1" ht="12.75" customHeight="1" x14ac:dyDescent="0.2">
      <c r="A68" s="853" t="s">
        <v>1781</v>
      </c>
      <c r="B68" s="854">
        <v>0</v>
      </c>
      <c r="C68" s="2306"/>
      <c r="D68" s="854">
        <v>0</v>
      </c>
      <c r="E68" s="2306"/>
      <c r="F68" s="1202">
        <f t="shared" si="1"/>
        <v>0</v>
      </c>
      <c r="G68" s="855"/>
      <c r="H68" s="159"/>
      <c r="I68" s="846"/>
      <c r="J68" s="846"/>
    </row>
    <row r="69" spans="1:10" s="18" customFormat="1" ht="12.75" customHeight="1" x14ac:dyDescent="0.2">
      <c r="A69" s="853" t="s">
        <v>1782</v>
      </c>
      <c r="B69" s="854">
        <v>0</v>
      </c>
      <c r="C69" s="2306"/>
      <c r="D69" s="854">
        <v>0</v>
      </c>
      <c r="E69" s="2306"/>
      <c r="F69" s="1202">
        <f t="shared" si="1"/>
        <v>0</v>
      </c>
      <c r="G69" s="855"/>
      <c r="H69" s="159"/>
      <c r="I69" s="846"/>
      <c r="J69" s="846"/>
    </row>
    <row r="70" spans="1:10" s="18" customFormat="1" ht="12.75" customHeight="1" x14ac:dyDescent="0.2">
      <c r="A70" s="853" t="s">
        <v>1783</v>
      </c>
      <c r="B70" s="854">
        <v>0</v>
      </c>
      <c r="C70" s="2306"/>
      <c r="D70" s="854">
        <v>0</v>
      </c>
      <c r="E70" s="2306"/>
      <c r="F70" s="1202">
        <f t="shared" si="1"/>
        <v>0</v>
      </c>
      <c r="G70" s="855"/>
      <c r="H70" s="159"/>
      <c r="I70" s="846"/>
      <c r="J70" s="846"/>
    </row>
    <row r="71" spans="1:10" s="18" customFormat="1" ht="12.75" customHeight="1" x14ac:dyDescent="0.2">
      <c r="A71" s="853" t="s">
        <v>1784</v>
      </c>
      <c r="B71" s="854">
        <v>0</v>
      </c>
      <c r="C71" s="2306"/>
      <c r="D71" s="854">
        <v>0</v>
      </c>
      <c r="E71" s="2306"/>
      <c r="F71" s="1202">
        <f t="shared" si="1"/>
        <v>0</v>
      </c>
      <c r="G71" s="855"/>
      <c r="H71" s="159"/>
      <c r="I71" s="846"/>
      <c r="J71" s="846"/>
    </row>
    <row r="72" spans="1:10" s="18" customFormat="1" ht="12.75" customHeight="1" x14ac:dyDescent="0.2">
      <c r="A72" s="853" t="s">
        <v>1785</v>
      </c>
      <c r="B72" s="854">
        <v>0</v>
      </c>
      <c r="C72" s="2306"/>
      <c r="D72" s="854">
        <v>0</v>
      </c>
      <c r="E72" s="2306"/>
      <c r="F72" s="1202">
        <f t="shared" si="1"/>
        <v>0</v>
      </c>
      <c r="G72" s="855"/>
      <c r="H72" s="159"/>
      <c r="I72" s="846"/>
      <c r="J72" s="846"/>
    </row>
    <row r="73" spans="1:10" s="18" customFormat="1" ht="12.75" customHeight="1" x14ac:dyDescent="0.2">
      <c r="A73" s="853" t="s">
        <v>1786</v>
      </c>
      <c r="B73" s="854">
        <v>0</v>
      </c>
      <c r="C73" s="2306"/>
      <c r="D73" s="854">
        <v>0</v>
      </c>
      <c r="E73" s="2306"/>
      <c r="F73" s="1202">
        <f t="shared" si="1"/>
        <v>0</v>
      </c>
      <c r="G73" s="855"/>
      <c r="H73" s="159"/>
      <c r="I73" s="846"/>
      <c r="J73" s="846"/>
    </row>
    <row r="74" spans="1:10" s="18" customFormat="1" ht="12.75" customHeight="1" x14ac:dyDescent="0.2">
      <c r="A74" s="853" t="s">
        <v>1787</v>
      </c>
      <c r="B74" s="854">
        <v>0</v>
      </c>
      <c r="C74" s="2306"/>
      <c r="D74" s="854">
        <v>0</v>
      </c>
      <c r="E74" s="2306"/>
      <c r="F74" s="1202">
        <f t="shared" si="1"/>
        <v>0</v>
      </c>
      <c r="G74" s="855"/>
      <c r="H74" s="159"/>
      <c r="I74" s="846"/>
      <c r="J74" s="846"/>
    </row>
    <row r="75" spans="1:10" s="18" customFormat="1" ht="12.75" customHeight="1" x14ac:dyDescent="0.2">
      <c r="A75" s="853" t="s">
        <v>1788</v>
      </c>
      <c r="B75" s="854">
        <v>0</v>
      </c>
      <c r="C75" s="2306"/>
      <c r="D75" s="854">
        <v>0</v>
      </c>
      <c r="E75" s="2306"/>
      <c r="F75" s="1202">
        <f t="shared" si="1"/>
        <v>0</v>
      </c>
      <c r="G75" s="855"/>
      <c r="H75" s="159"/>
      <c r="I75" s="846"/>
      <c r="J75" s="846"/>
    </row>
    <row r="76" spans="1:10" s="18" customFormat="1" ht="14.1" customHeight="1" thickBot="1" x14ac:dyDescent="0.25">
      <c r="A76" s="860" t="s">
        <v>1789</v>
      </c>
      <c r="B76" s="1204">
        <f>B66+B67+B68+B69+B70+B71+B72+B73+B74+B75</f>
        <v>0</v>
      </c>
      <c r="C76" s="2306"/>
      <c r="D76" s="1204">
        <f>D66+D67+D68+D69+D70+D71+D72+D73+D74+D75</f>
        <v>0</v>
      </c>
      <c r="E76" s="2306"/>
      <c r="F76" s="1202">
        <f t="shared" si="1"/>
        <v>0</v>
      </c>
      <c r="G76" s="855"/>
      <c r="H76" s="159"/>
      <c r="I76" s="846"/>
      <c r="J76" s="846"/>
    </row>
    <row r="77" spans="1:10" s="18" customFormat="1" ht="9" customHeight="1" thickTop="1" x14ac:dyDescent="0.2">
      <c r="A77" s="860"/>
      <c r="B77" s="2306"/>
      <c r="C77" s="2306"/>
      <c r="D77" s="2306"/>
      <c r="E77" s="2306"/>
      <c r="F77" s="2306"/>
      <c r="G77" s="855"/>
      <c r="H77" s="159"/>
      <c r="I77" s="846"/>
      <c r="J77" s="846"/>
    </row>
    <row r="78" spans="1:10" s="18" customFormat="1" ht="14.1" customHeight="1" x14ac:dyDescent="0.2">
      <c r="A78" s="853" t="s">
        <v>1790</v>
      </c>
      <c r="B78" s="854">
        <v>0</v>
      </c>
      <c r="C78" s="2306"/>
      <c r="D78" s="854">
        <v>0</v>
      </c>
      <c r="E78" s="2306"/>
      <c r="F78" s="1202">
        <f>B78+D78</f>
        <v>0</v>
      </c>
      <c r="G78" s="855"/>
      <c r="H78" s="159"/>
      <c r="I78" s="846"/>
      <c r="J78" s="846"/>
    </row>
    <row r="79" spans="1:10" s="18" customFormat="1" ht="14.1" customHeight="1" x14ac:dyDescent="0.2">
      <c r="A79" s="853" t="s">
        <v>1791</v>
      </c>
      <c r="B79" s="854">
        <v>0</v>
      </c>
      <c r="C79" s="2306"/>
      <c r="D79" s="854">
        <v>0</v>
      </c>
      <c r="E79" s="2306"/>
      <c r="F79" s="1202">
        <f>B79+D79</f>
        <v>0</v>
      </c>
      <c r="G79" s="855"/>
      <c r="H79" s="159"/>
      <c r="I79" s="846"/>
      <c r="J79" s="846"/>
    </row>
    <row r="80" spans="1:10" s="18" customFormat="1" ht="14.1" customHeight="1" x14ac:dyDescent="0.2">
      <c r="A80" s="853" t="s">
        <v>1792</v>
      </c>
      <c r="B80" s="854">
        <v>0</v>
      </c>
      <c r="C80" s="2306"/>
      <c r="D80" s="854">
        <v>0</v>
      </c>
      <c r="E80" s="2306"/>
      <c r="F80" s="1202">
        <f>B80+D80</f>
        <v>0</v>
      </c>
      <c r="G80" s="855"/>
      <c r="H80" s="159"/>
      <c r="I80" s="846"/>
      <c r="J80" s="846"/>
    </row>
    <row r="81" spans="1:10" s="18" customFormat="1" ht="14.1" customHeight="1" x14ac:dyDescent="0.2">
      <c r="A81" s="853" t="s">
        <v>1793</v>
      </c>
      <c r="B81" s="854">
        <v>0</v>
      </c>
      <c r="C81" s="2306"/>
      <c r="D81" s="2306">
        <v>0</v>
      </c>
      <c r="E81" s="2306"/>
      <c r="F81" s="1202">
        <f>B81+D81</f>
        <v>0</v>
      </c>
      <c r="G81" s="855"/>
      <c r="H81" s="159"/>
      <c r="I81" s="846"/>
      <c r="J81" s="846"/>
    </row>
    <row r="82" spans="1:10" s="18" customFormat="1" ht="7.5" customHeight="1" x14ac:dyDescent="0.2">
      <c r="A82" s="853"/>
      <c r="B82" s="2306"/>
      <c r="C82" s="2306"/>
      <c r="D82" s="1060"/>
      <c r="E82" s="2306"/>
      <c r="F82" s="2306"/>
      <c r="G82" s="855"/>
      <c r="H82" s="159"/>
      <c r="I82" s="846"/>
      <c r="J82" s="846"/>
    </row>
    <row r="83" spans="1:10" s="18" customFormat="1" ht="14.1" customHeight="1" thickBot="1" x14ac:dyDescent="0.25">
      <c r="A83" s="860" t="s">
        <v>1794</v>
      </c>
      <c r="B83" s="2306" t="s">
        <v>50</v>
      </c>
      <c r="C83" s="2306"/>
      <c r="D83" s="1203">
        <f>D62-D76+D78+D79-D80+D81</f>
        <v>0</v>
      </c>
      <c r="E83" s="2306"/>
      <c r="F83" s="2306" t="s">
        <v>50</v>
      </c>
      <c r="G83" s="855"/>
      <c r="H83" s="159"/>
      <c r="I83" s="846"/>
      <c r="J83" s="846"/>
    </row>
    <row r="84" spans="1:10" s="18" customFormat="1" ht="10.35" customHeight="1" thickTop="1" x14ac:dyDescent="0.2">
      <c r="A84" s="846"/>
      <c r="B84" s="846"/>
      <c r="C84" s="846"/>
      <c r="D84" s="846"/>
      <c r="E84" s="846"/>
      <c r="F84" s="846"/>
      <c r="G84" s="846"/>
      <c r="H84" s="159"/>
      <c r="I84" s="846"/>
      <c r="J84" s="846"/>
    </row>
    <row r="85" spans="1:10" s="18" customFormat="1" ht="12.75" x14ac:dyDescent="0.2">
      <c r="A85" s="2733" t="s">
        <v>1795</v>
      </c>
      <c r="B85" s="2734"/>
      <c r="C85" s="2734"/>
      <c r="D85" s="2734"/>
      <c r="E85" s="2734"/>
      <c r="F85" s="2734"/>
      <c r="G85" s="2734"/>
      <c r="H85" s="2734"/>
      <c r="I85" s="2734"/>
      <c r="J85" s="2734"/>
    </row>
    <row r="86" spans="1:10" s="18" customFormat="1" ht="12.75" x14ac:dyDescent="0.2">
      <c r="A86" s="2310" t="s">
        <v>1796</v>
      </c>
      <c r="B86" s="2310"/>
      <c r="C86" s="2310"/>
      <c r="D86" s="2310"/>
      <c r="E86" s="2310"/>
      <c r="F86" s="2310"/>
      <c r="G86" s="2310"/>
      <c r="H86" s="2311"/>
      <c r="I86" s="2310"/>
      <c r="J86" s="2310"/>
    </row>
    <row r="87" spans="1:10" s="18" customFormat="1" ht="12.75" x14ac:dyDescent="0.2">
      <c r="H87"/>
    </row>
    <row r="88" spans="1:10" ht="12.75" x14ac:dyDescent="0.2">
      <c r="H88"/>
      <c r="I88" s="18"/>
    </row>
    <row r="89" spans="1:10" ht="12.75" x14ac:dyDescent="0.2">
      <c r="H89"/>
      <c r="I89" s="18"/>
    </row>
    <row r="90" spans="1:10" ht="12.75" x14ac:dyDescent="0.2">
      <c r="H90"/>
      <c r="I90" s="18"/>
    </row>
    <row r="91" spans="1:10" ht="12.75" x14ac:dyDescent="0.2">
      <c r="H91"/>
    </row>
    <row r="92" spans="1:10" ht="12.75" x14ac:dyDescent="0.2">
      <c r="H92"/>
    </row>
    <row r="93" spans="1:10" ht="12.75" x14ac:dyDescent="0.2">
      <c r="H93"/>
    </row>
    <row r="94" spans="1:10" ht="12.75" x14ac:dyDescent="0.2">
      <c r="H94"/>
    </row>
    <row r="95" spans="1:10" ht="12.75" x14ac:dyDescent="0.2">
      <c r="H95"/>
    </row>
    <row r="96" spans="1:10" ht="12.75" x14ac:dyDescent="0.2">
      <c r="H96"/>
    </row>
    <row r="97" spans="8:8" ht="12.75" x14ac:dyDescent="0.2">
      <c r="H97"/>
    </row>
    <row r="98" spans="8:8" ht="12.75" x14ac:dyDescent="0.2">
      <c r="H98"/>
    </row>
    <row r="99" spans="8:8" ht="12.75" x14ac:dyDescent="0.2">
      <c r="H99"/>
    </row>
    <row r="100" spans="8:8" ht="12.75" x14ac:dyDescent="0.2">
      <c r="H100"/>
    </row>
    <row r="101" spans="8:8" ht="12.75" x14ac:dyDescent="0.2">
      <c r="H101"/>
    </row>
    <row r="102" spans="8:8" ht="12.75" x14ac:dyDescent="0.2">
      <c r="H102"/>
    </row>
    <row r="103" spans="8:8" ht="12.75" x14ac:dyDescent="0.2">
      <c r="H103"/>
    </row>
    <row r="104" spans="8:8" ht="12.75" x14ac:dyDescent="0.2">
      <c r="H104"/>
    </row>
  </sheetData>
  <sheetProtection algorithmName="SHA-512" hashValue="7VDVX6QEmSLeGuzdqJdPLsdnVrPqnYqSesNlYcoxNDr8G3Mip4RMH+1cnv5QUJww4+fEZZmCVMrLA6woQPvIpQ==" saltValue="dpwOGfe0joXjnURQ65+VeA==" spinCount="100000" sheet="1" objects="1" scenarios="1" autoFilter="0"/>
  <customSheetViews>
    <customSheetView guid="{9FCFC836-1CA5-48BF-958D-24D2EA94B219}" showGridLines="0" fitToPage="1">
      <selection activeCell="B12" sqref="B12"/>
      <pageMargins left="0" right="0" top="0" bottom="0" header="0" footer="0"/>
      <pageSetup scale="72" orientation="portrait" r:id="rId1"/>
      <headerFooter alignWithMargins="0">
        <oddFooter>&amp;R431</oddFooter>
      </headerFooter>
    </customSheetView>
    <customSheetView guid="{BEA4BE86-04D1-4C96-9358-7A260B9D2B2D}" showGridLines="0" fitToPage="1" showRuler="0">
      <selection sqref="A1:H1"/>
      <pageMargins left="0" right="0" top="0" bottom="0" header="0" footer="0"/>
      <pageSetup scale="92" orientation="portrait" r:id="rId2"/>
      <headerFooter alignWithMargins="0">
        <oddFooter>&amp;R431</oddFooter>
      </headerFooter>
    </customSheetView>
    <customSheetView guid="{1250FD07-FF56-4A9D-AF9E-C27124A7EBE9}" showGridLines="0" fitToPage="1" showRuler="0">
      <selection sqref="A1:H1"/>
      <pageMargins left="0" right="0" top="0" bottom="0" header="0" footer="0"/>
      <pageSetup scale="92" orientation="portrait" r:id="rId3"/>
      <headerFooter alignWithMargins="0">
        <oddFooter>&amp;R431</oddFooter>
      </headerFooter>
    </customSheetView>
    <customSheetView guid="{B08879A4-635B-4C39-9937-AC7883D562FC}" showGridLines="0" fitToPage="1">
      <selection activeCell="B12" sqref="B12"/>
      <pageMargins left="0" right="0" top="0" bottom="0" header="0" footer="0"/>
      <pageSetup scale="72" orientation="portrait" r:id="rId4"/>
      <headerFooter alignWithMargins="0">
        <oddFooter>&amp;R431</oddFooter>
      </headerFooter>
    </customSheetView>
  </customSheetViews>
  <mergeCells count="10">
    <mergeCell ref="H11:H13"/>
    <mergeCell ref="A1:H1"/>
    <mergeCell ref="A4:H4"/>
    <mergeCell ref="A85:J85"/>
    <mergeCell ref="F8:H8"/>
    <mergeCell ref="F5:H5"/>
    <mergeCell ref="F6:H6"/>
    <mergeCell ref="F7:H7"/>
    <mergeCell ref="A2:H2"/>
    <mergeCell ref="A3:H3"/>
  </mergeCells>
  <phoneticPr fontId="16" type="noConversion"/>
  <conditionalFormatting sqref="H11:H13">
    <cfRule type="cellIs" dxfId="76" priority="1" stopIfTrue="1" operator="equal">
      <formula>"na"</formula>
    </cfRule>
  </conditionalFormatting>
  <conditionalFormatting sqref="L1">
    <cfRule type="cellIs" dxfId="75" priority="3" stopIfTrue="1" operator="equal">
      <formula>"na"</formula>
    </cfRule>
  </conditionalFormatting>
  <hyperlinks>
    <hyperlink ref="A1:H1" location="Index!A1" display="Index!A1" xr:uid="{00000000-0004-0000-2400-000000000000}"/>
  </hyperlinks>
  <pageMargins left="0.6" right="0.6" top="0.5" bottom="0.5" header="0.3" footer="0.3"/>
  <pageSetup scale="67" fitToWidth="0" orientation="portrait"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pageSetUpPr fitToPage="1"/>
  </sheetPr>
  <dimension ref="A1:S87"/>
  <sheetViews>
    <sheetView showGridLines="0" zoomScaleNormal="100" zoomScaleSheetLayoutView="100" workbookViewId="0">
      <selection activeCell="A2" sqref="A2:H2"/>
    </sheetView>
  </sheetViews>
  <sheetFormatPr defaultColWidth="9.42578125" defaultRowHeight="10.5" x14ac:dyDescent="0.15"/>
  <cols>
    <col min="1" max="1" width="31.42578125" style="17" customWidth="1"/>
    <col min="2" max="2" width="16.5703125" style="17" customWidth="1"/>
    <col min="3" max="3" width="1.5703125" style="17" customWidth="1"/>
    <col min="4" max="4" width="15.5703125" style="17" customWidth="1"/>
    <col min="5" max="5" width="1.5703125" style="17" customWidth="1"/>
    <col min="6" max="6" width="16.5703125" style="17" customWidth="1"/>
    <col min="7" max="7" width="1.5703125" style="17" customWidth="1"/>
    <col min="8" max="8" width="12.5703125" style="17" customWidth="1"/>
    <col min="9" max="9" width="4.5703125" style="17" customWidth="1"/>
    <col min="10" max="16" width="1.5703125" style="17" customWidth="1"/>
    <col min="17" max="16384" width="9.42578125" style="17"/>
  </cols>
  <sheetData>
    <row r="1" spans="1:19" s="207" customFormat="1" ht="15.75" x14ac:dyDescent="0.25">
      <c r="A1" s="2455" t="str">
        <f>Index!A1</f>
        <v xml:space="preserve">                                                               Office of the State Controller                                                                </v>
      </c>
      <c r="B1" s="2455"/>
      <c r="C1" s="2455"/>
      <c r="D1" s="2455"/>
      <c r="E1" s="2455"/>
      <c r="F1" s="2455"/>
      <c r="G1" s="2455"/>
      <c r="H1" s="2455"/>
      <c r="I1" s="2376"/>
      <c r="J1" s="2376"/>
      <c r="K1" s="2376"/>
      <c r="L1" s="2376"/>
      <c r="M1" s="2376"/>
      <c r="N1" s="2376"/>
      <c r="O1" s="2376"/>
      <c r="P1" s="2376"/>
      <c r="Q1" s="2376"/>
      <c r="R1" s="2376"/>
      <c r="S1" s="1012"/>
    </row>
    <row r="2" spans="1:19" s="16" customFormat="1" ht="15" customHeight="1" x14ac:dyDescent="0.25">
      <c r="A2" s="2718" t="str">
        <f>+Index!$A$2</f>
        <v>2023 ACFR Worksheets</v>
      </c>
      <c r="B2" s="2718"/>
      <c r="C2" s="2718"/>
      <c r="D2" s="2718"/>
      <c r="E2" s="2718"/>
      <c r="F2" s="2718"/>
      <c r="G2" s="2718"/>
      <c r="H2" s="2718"/>
      <c r="I2" s="2456" t="str">
        <f>IF(Index!$B$64="na","NA","")</f>
        <v/>
      </c>
    </row>
    <row r="3" spans="1:19" s="16" customFormat="1" ht="15" customHeight="1" x14ac:dyDescent="0.25">
      <c r="A3" s="2634" t="s">
        <v>1797</v>
      </c>
      <c r="B3" s="2634"/>
      <c r="C3" s="2634"/>
      <c r="D3" s="2634"/>
      <c r="E3" s="2634"/>
      <c r="F3" s="2634"/>
      <c r="G3" s="2634"/>
      <c r="H3" s="2634"/>
      <c r="I3" s="2456"/>
    </row>
    <row r="4" spans="1:19" s="18" customFormat="1" ht="15" customHeight="1" x14ac:dyDescent="0.25">
      <c r="A4" s="2732" t="s">
        <v>1798</v>
      </c>
      <c r="B4" s="2732"/>
      <c r="C4" s="2732"/>
      <c r="D4" s="2732"/>
      <c r="E4" s="2732"/>
      <c r="F4" s="2732"/>
      <c r="G4" s="2732"/>
      <c r="H4" s="2732"/>
      <c r="I4" s="2456"/>
      <c r="J4" s="512"/>
      <c r="K4" s="512"/>
    </row>
    <row r="5" spans="1:19" s="18" customFormat="1" ht="6" customHeight="1" x14ac:dyDescent="0.2">
      <c r="C5" s="149"/>
      <c r="D5" s="149"/>
      <c r="F5" s="2735"/>
      <c r="G5" s="2735"/>
      <c r="H5" s="2735"/>
    </row>
    <row r="6" spans="1:19" s="18" customFormat="1" ht="15" customHeight="1" x14ac:dyDescent="0.2">
      <c r="A6" s="2301" t="s">
        <v>317</v>
      </c>
      <c r="B6" s="2303" t="str">
        <f>Index!$E$10</f>
        <v>01</v>
      </c>
      <c r="C6" s="2297"/>
      <c r="D6" s="2297"/>
      <c r="E6" s="847" t="s">
        <v>318</v>
      </c>
      <c r="F6" s="2492" t="str">
        <f>+Index!$E$11</f>
        <v>North Carolina General Assembly</v>
      </c>
      <c r="G6" s="2492"/>
      <c r="H6" s="2492"/>
    </row>
    <row r="7" spans="1:19" s="18" customFormat="1" ht="15" customHeight="1" x14ac:dyDescent="0.2">
      <c r="A7" s="846"/>
      <c r="B7" s="846"/>
      <c r="C7" s="2297"/>
      <c r="D7" s="2297"/>
      <c r="E7" s="847" t="s">
        <v>319</v>
      </c>
      <c r="F7" s="2546" t="str">
        <f>CONCATENATE(Index!$E$12,"",Index!$E$14)</f>
        <v/>
      </c>
      <c r="G7" s="2546"/>
      <c r="H7" s="2546"/>
    </row>
    <row r="8" spans="1:19" s="18" customFormat="1" ht="15" customHeight="1" x14ac:dyDescent="0.2">
      <c r="A8" s="846" t="s">
        <v>568</v>
      </c>
      <c r="B8" s="2307" t="s">
        <v>50</v>
      </c>
      <c r="C8" s="2297"/>
      <c r="D8" s="2297"/>
      <c r="E8" s="847" t="s">
        <v>71</v>
      </c>
      <c r="F8" s="2546">
        <f>+Index!$E$13</f>
        <v>0</v>
      </c>
      <c r="G8" s="2546"/>
      <c r="H8" s="2546"/>
    </row>
    <row r="9" spans="1:19" s="18" customFormat="1" ht="6" customHeight="1" thickBot="1" x14ac:dyDescent="0.25">
      <c r="A9" s="84"/>
      <c r="B9" s="84"/>
      <c r="C9" s="84"/>
      <c r="D9" s="84"/>
      <c r="E9" s="84"/>
      <c r="F9" s="84"/>
      <c r="G9" s="84"/>
      <c r="H9" s="84"/>
    </row>
    <row r="10" spans="1:19" s="18" customFormat="1" ht="5.25" customHeight="1" x14ac:dyDescent="0.2"/>
    <row r="11" spans="1:19" s="18" customFormat="1" ht="15" customHeight="1" x14ac:dyDescent="0.2">
      <c r="A11" s="878" t="s">
        <v>1799</v>
      </c>
      <c r="B11" s="878"/>
      <c r="C11" s="878"/>
      <c r="D11" s="878"/>
      <c r="E11" s="878"/>
      <c r="F11" s="878"/>
    </row>
    <row r="12" spans="1:19" s="18" customFormat="1" ht="15" customHeight="1" x14ac:dyDescent="0.2">
      <c r="A12" s="878"/>
      <c r="B12" s="878"/>
      <c r="C12" s="878"/>
      <c r="D12" s="878"/>
      <c r="E12" s="878"/>
      <c r="F12" s="878"/>
    </row>
    <row r="13" spans="1:19" s="18" customFormat="1" ht="15" customHeight="1" x14ac:dyDescent="0.2">
      <c r="A13" s="878" t="s">
        <v>50</v>
      </c>
      <c r="B13" s="846"/>
      <c r="C13" s="846"/>
      <c r="D13" s="846"/>
      <c r="E13" s="846"/>
      <c r="F13" s="846"/>
    </row>
    <row r="14" spans="1:19" customFormat="1" ht="15" customHeight="1" x14ac:dyDescent="0.2">
      <c r="B14" s="2231" t="s">
        <v>1735</v>
      </c>
      <c r="F14" s="2231" t="s">
        <v>1736</v>
      </c>
    </row>
    <row r="15" spans="1:19" customFormat="1" ht="15" customHeight="1" x14ac:dyDescent="0.2">
      <c r="B15" s="447">
        <v>44743</v>
      </c>
      <c r="D15" s="2261" t="s">
        <v>1737</v>
      </c>
      <c r="F15" s="2261" t="s">
        <v>1738</v>
      </c>
    </row>
    <row r="16" spans="1:19" customFormat="1" ht="15" customHeight="1" x14ac:dyDescent="0.2">
      <c r="A16" s="1" t="s">
        <v>1800</v>
      </c>
      <c r="B16" s="1201"/>
      <c r="D16" s="2231"/>
      <c r="F16" s="2231"/>
    </row>
    <row r="17" spans="1:6" customFormat="1" ht="15" customHeight="1" x14ac:dyDescent="0.2">
      <c r="A17" s="381" t="s">
        <v>1801</v>
      </c>
      <c r="B17" s="361">
        <v>0</v>
      </c>
      <c r="C17" s="159"/>
      <c r="D17" s="361">
        <v>0</v>
      </c>
      <c r="F17" s="1202">
        <f>B17+D17</f>
        <v>0</v>
      </c>
    </row>
    <row r="18" spans="1:6" customFormat="1" ht="15" customHeight="1" x14ac:dyDescent="0.2">
      <c r="A18" s="381" t="s">
        <v>1801</v>
      </c>
      <c r="B18" s="361">
        <v>0</v>
      </c>
      <c r="C18" s="159"/>
      <c r="D18" s="361">
        <v>0</v>
      </c>
      <c r="F18" s="1202">
        <f>B18+D18</f>
        <v>0</v>
      </c>
    </row>
    <row r="19" spans="1:6" customFormat="1" ht="15" customHeight="1" x14ac:dyDescent="0.2">
      <c r="A19" s="1" t="s">
        <v>1802</v>
      </c>
      <c r="B19" s="360"/>
      <c r="C19" s="159"/>
      <c r="D19" s="360"/>
      <c r="F19" s="2231"/>
    </row>
    <row r="20" spans="1:6" customFormat="1" ht="15" customHeight="1" x14ac:dyDescent="0.2">
      <c r="A20" s="381" t="s">
        <v>1801</v>
      </c>
      <c r="B20" s="361">
        <v>0</v>
      </c>
      <c r="C20" s="159"/>
      <c r="D20" s="361">
        <v>0</v>
      </c>
      <c r="F20" s="1202">
        <f>B20+D20</f>
        <v>0</v>
      </c>
    </row>
    <row r="21" spans="1:6" customFormat="1" ht="15" customHeight="1" x14ac:dyDescent="0.2">
      <c r="A21" s="381" t="s">
        <v>1801</v>
      </c>
      <c r="B21" s="361">
        <v>0</v>
      </c>
      <c r="C21" s="159"/>
      <c r="D21" s="361">
        <v>0</v>
      </c>
      <c r="F21" s="1202">
        <f>B21+D21</f>
        <v>0</v>
      </c>
    </row>
    <row r="22" spans="1:6" customFormat="1" ht="15" customHeight="1" x14ac:dyDescent="0.2">
      <c r="A22" s="1" t="s">
        <v>1803</v>
      </c>
      <c r="B22" s="361">
        <v>0</v>
      </c>
      <c r="C22" s="159"/>
      <c r="D22" s="361">
        <v>0</v>
      </c>
      <c r="F22" s="1202">
        <f>B22+D22</f>
        <v>0</v>
      </c>
    </row>
    <row r="23" spans="1:6" customFormat="1" ht="15" customHeight="1" x14ac:dyDescent="0.2">
      <c r="A23" s="1" t="s">
        <v>1804</v>
      </c>
      <c r="B23" s="361">
        <v>0</v>
      </c>
      <c r="C23" s="159"/>
      <c r="D23" s="361">
        <v>0</v>
      </c>
      <c r="F23" s="1202">
        <f>B23+D23</f>
        <v>0</v>
      </c>
    </row>
    <row r="24" spans="1:6" customFormat="1" ht="15" customHeight="1" x14ac:dyDescent="0.2">
      <c r="A24" s="1" t="s">
        <v>1805</v>
      </c>
      <c r="B24" s="360"/>
      <c r="C24" s="159"/>
      <c r="D24" s="360"/>
      <c r="F24" s="2231"/>
    </row>
    <row r="25" spans="1:6" customFormat="1" ht="15" customHeight="1" x14ac:dyDescent="0.2">
      <c r="A25" s="2332" t="s">
        <v>1801</v>
      </c>
      <c r="B25" s="361">
        <v>0</v>
      </c>
      <c r="C25" s="159"/>
      <c r="D25" s="361">
        <v>0</v>
      </c>
      <c r="F25" s="1202">
        <f>B25+D25</f>
        <v>0</v>
      </c>
    </row>
    <row r="26" spans="1:6" customFormat="1" ht="15" customHeight="1" x14ac:dyDescent="0.2">
      <c r="A26" s="1" t="s">
        <v>1806</v>
      </c>
      <c r="B26" s="360"/>
      <c r="C26" s="159"/>
      <c r="D26" s="360"/>
      <c r="F26" s="2231"/>
    </row>
    <row r="27" spans="1:6" customFormat="1" ht="15" customHeight="1" x14ac:dyDescent="0.2">
      <c r="A27" s="381" t="s">
        <v>1801</v>
      </c>
      <c r="B27" s="361">
        <v>0</v>
      </c>
      <c r="C27" s="159"/>
      <c r="D27" s="361">
        <v>0</v>
      </c>
      <c r="F27" s="1202">
        <f>B27+D27</f>
        <v>0</v>
      </c>
    </row>
    <row r="28" spans="1:6" customFormat="1" ht="15" customHeight="1" x14ac:dyDescent="0.2">
      <c r="A28" s="381" t="s">
        <v>1801</v>
      </c>
      <c r="B28" s="361">
        <v>0</v>
      </c>
      <c r="C28" s="159"/>
      <c r="D28" s="361">
        <v>0</v>
      </c>
      <c r="F28" s="1202">
        <f>B28+D28</f>
        <v>0</v>
      </c>
    </row>
    <row r="29" spans="1:6" customFormat="1" ht="15" customHeight="1" x14ac:dyDescent="0.2">
      <c r="A29" s="1" t="s">
        <v>1807</v>
      </c>
      <c r="B29" s="360"/>
      <c r="C29" s="159"/>
      <c r="D29" s="360"/>
      <c r="F29" s="2231"/>
    </row>
    <row r="30" spans="1:6" customFormat="1" ht="15" customHeight="1" x14ac:dyDescent="0.2">
      <c r="A30" s="381" t="s">
        <v>1801</v>
      </c>
      <c r="B30" s="361">
        <v>0</v>
      </c>
      <c r="C30" s="159"/>
      <c r="D30" s="361">
        <v>0</v>
      </c>
      <c r="F30" s="1202">
        <f>B30+D30</f>
        <v>0</v>
      </c>
    </row>
    <row r="31" spans="1:6" customFormat="1" ht="15" customHeight="1" x14ac:dyDescent="0.2">
      <c r="A31" s="381" t="s">
        <v>1801</v>
      </c>
      <c r="B31" s="361">
        <v>0</v>
      </c>
      <c r="C31" s="159"/>
      <c r="D31" s="361">
        <v>0</v>
      </c>
      <c r="F31" s="1202">
        <f>B31+D31</f>
        <v>0</v>
      </c>
    </row>
    <row r="32" spans="1:6" customFormat="1" ht="15" customHeight="1" x14ac:dyDescent="0.2">
      <c r="A32" s="1" t="s">
        <v>1808</v>
      </c>
      <c r="B32" s="360"/>
      <c r="C32" s="159"/>
      <c r="D32" s="360"/>
      <c r="F32" s="2231"/>
    </row>
    <row r="33" spans="1:10" customFormat="1" ht="15" customHeight="1" x14ac:dyDescent="0.2">
      <c r="A33" s="2332" t="s">
        <v>1801</v>
      </c>
      <c r="B33" s="361">
        <v>0</v>
      </c>
      <c r="C33" s="159"/>
      <c r="D33" s="361">
        <v>0</v>
      </c>
      <c r="F33" s="1202">
        <f>B33+D33</f>
        <v>0</v>
      </c>
    </row>
    <row r="34" spans="1:10" customFormat="1" ht="15" customHeight="1" x14ac:dyDescent="0.2">
      <c r="A34" s="1" t="s">
        <v>1809</v>
      </c>
      <c r="B34" s="360"/>
      <c r="C34" s="159"/>
      <c r="D34" s="360"/>
      <c r="F34" s="2231"/>
    </row>
    <row r="35" spans="1:10" customFormat="1" ht="15" customHeight="1" x14ac:dyDescent="0.2">
      <c r="A35" s="159" t="s">
        <v>1810</v>
      </c>
      <c r="B35" s="361">
        <v>0</v>
      </c>
      <c r="C35" s="159"/>
      <c r="D35" s="361">
        <v>0</v>
      </c>
      <c r="F35" s="1202">
        <f>B35+D35</f>
        <v>0</v>
      </c>
    </row>
    <row r="36" spans="1:10" customFormat="1" ht="15" customHeight="1" x14ac:dyDescent="0.2">
      <c r="A36" s="159" t="s">
        <v>1615</v>
      </c>
      <c r="B36" s="361">
        <v>0</v>
      </c>
      <c r="C36" s="159"/>
      <c r="D36" s="361">
        <v>0</v>
      </c>
      <c r="F36" s="1202">
        <f>B36+D36</f>
        <v>0</v>
      </c>
    </row>
    <row r="37" spans="1:10" customFormat="1" ht="15" customHeight="1" x14ac:dyDescent="0.2">
      <c r="A37" s="159" t="s">
        <v>1629</v>
      </c>
      <c r="B37" s="361">
        <v>0</v>
      </c>
      <c r="C37" s="159"/>
      <c r="D37" s="361">
        <v>0</v>
      </c>
      <c r="F37" s="1202">
        <f>B37+D37</f>
        <v>0</v>
      </c>
    </row>
    <row r="38" spans="1:10" customFormat="1" ht="15" customHeight="1" x14ac:dyDescent="0.2">
      <c r="B38" s="1201"/>
      <c r="D38" s="2231"/>
      <c r="F38" s="2231"/>
    </row>
    <row r="39" spans="1:10" customFormat="1" ht="15" customHeight="1" thickBot="1" x14ac:dyDescent="0.25">
      <c r="A39" s="1" t="s">
        <v>1811</v>
      </c>
      <c r="B39" s="1201"/>
      <c r="D39" s="1203">
        <f>SUM(D17:D25)-SUM(D27:D33)</f>
        <v>0</v>
      </c>
      <c r="F39" s="2231"/>
    </row>
    <row r="40" spans="1:10" customFormat="1" ht="15" customHeight="1" thickTop="1" x14ac:dyDescent="0.2">
      <c r="B40" s="1201"/>
      <c r="D40" s="2231"/>
      <c r="F40" s="2231"/>
    </row>
    <row r="41" spans="1:10" s="18" customFormat="1" ht="12.75" x14ac:dyDescent="0.2">
      <c r="A41" s="1015" t="s">
        <v>1753</v>
      </c>
      <c r="B41" s="2306"/>
      <c r="C41" s="2306"/>
      <c r="D41" s="2306"/>
      <c r="E41" s="2306"/>
      <c r="F41" s="2306"/>
      <c r="G41" s="855"/>
      <c r="H41" s="159"/>
      <c r="I41" s="846"/>
      <c r="J41" s="846"/>
    </row>
    <row r="42" spans="1:10" s="18" customFormat="1" ht="12.75" customHeight="1" x14ac:dyDescent="0.2">
      <c r="A42" s="860" t="s">
        <v>1755</v>
      </c>
      <c r="B42" s="2306"/>
      <c r="C42" s="2306"/>
      <c r="D42" s="2306"/>
      <c r="E42" s="2306"/>
      <c r="F42" s="2306"/>
      <c r="G42" s="855"/>
      <c r="H42" s="159"/>
      <c r="I42" s="846"/>
      <c r="J42" s="846"/>
    </row>
    <row r="43" spans="1:10" s="18" customFormat="1" ht="12.75" customHeight="1" x14ac:dyDescent="0.2">
      <c r="A43" s="853" t="s">
        <v>1756</v>
      </c>
      <c r="B43" s="854">
        <v>0</v>
      </c>
      <c r="C43" s="2306"/>
      <c r="D43" s="854">
        <v>0</v>
      </c>
      <c r="E43" s="2306"/>
      <c r="F43" s="1202">
        <f>B43+D43</f>
        <v>0</v>
      </c>
      <c r="G43" s="855"/>
      <c r="H43" s="159"/>
      <c r="I43" s="846"/>
      <c r="J43" s="846"/>
    </row>
    <row r="44" spans="1:10" s="18" customFormat="1" ht="12.75" customHeight="1" x14ac:dyDescent="0.2">
      <c r="A44" s="853" t="s">
        <v>1757</v>
      </c>
      <c r="B44" s="854">
        <v>0</v>
      </c>
      <c r="C44" s="2306"/>
      <c r="D44" s="854"/>
      <c r="E44" s="2306"/>
      <c r="F44" s="1202">
        <f>B44+D44</f>
        <v>0</v>
      </c>
      <c r="G44" s="855"/>
      <c r="H44" s="159"/>
      <c r="I44" s="846"/>
      <c r="J44" s="846"/>
    </row>
    <row r="45" spans="1:10" s="18" customFormat="1" ht="12.75" customHeight="1" x14ac:dyDescent="0.2">
      <c r="A45" s="853" t="s">
        <v>1758</v>
      </c>
      <c r="B45" s="854">
        <v>0</v>
      </c>
      <c r="C45" s="2306"/>
      <c r="D45" s="854"/>
      <c r="E45" s="2306"/>
      <c r="F45" s="1202">
        <f>B45+D45</f>
        <v>0</v>
      </c>
      <c r="G45" s="855"/>
      <c r="H45" s="159"/>
      <c r="I45" s="846"/>
      <c r="J45" s="846"/>
    </row>
    <row r="46" spans="1:10" s="18" customFormat="1" ht="12.75" customHeight="1" x14ac:dyDescent="0.2">
      <c r="A46" s="853" t="s">
        <v>1759</v>
      </c>
      <c r="B46" s="854">
        <v>0</v>
      </c>
      <c r="C46" s="2306"/>
      <c r="D46" s="854"/>
      <c r="E46" s="2306"/>
      <c r="F46" s="1202">
        <f>B46+D46</f>
        <v>0</v>
      </c>
      <c r="G46" s="855"/>
      <c r="H46" s="159"/>
      <c r="I46" s="846"/>
      <c r="J46" s="846"/>
    </row>
    <row r="47" spans="1:10" s="18" customFormat="1" ht="12.75" customHeight="1" x14ac:dyDescent="0.2">
      <c r="A47" s="860" t="s">
        <v>1760</v>
      </c>
      <c r="B47" s="2306">
        <v>0</v>
      </c>
      <c r="C47" s="2306"/>
      <c r="D47" s="2306">
        <v>0</v>
      </c>
      <c r="E47" s="2306"/>
      <c r="F47" s="855" t="s">
        <v>50</v>
      </c>
      <c r="G47" s="855"/>
      <c r="H47" s="159"/>
      <c r="I47" s="852"/>
      <c r="J47" s="846"/>
    </row>
    <row r="48" spans="1:10" s="18" customFormat="1" ht="12.75" customHeight="1" x14ac:dyDescent="0.2">
      <c r="A48" s="853" t="s">
        <v>1759</v>
      </c>
      <c r="B48" s="854">
        <v>0</v>
      </c>
      <c r="C48" s="2306"/>
      <c r="D48" s="854"/>
      <c r="E48" s="2306"/>
      <c r="F48" s="1202">
        <f>B48+D48</f>
        <v>0</v>
      </c>
      <c r="G48" s="855"/>
      <c r="H48" s="159"/>
      <c r="I48" s="846"/>
      <c r="J48" s="846"/>
    </row>
    <row r="49" spans="1:10" s="18" customFormat="1" ht="14.1" customHeight="1" thickBot="1" x14ac:dyDescent="0.25">
      <c r="A49" s="860" t="s">
        <v>1776</v>
      </c>
      <c r="B49" s="1204">
        <f>B43+B44+B45+B46+B48</f>
        <v>0</v>
      </c>
      <c r="C49" s="2306"/>
      <c r="D49" s="1204">
        <f>D43+D44+D45+D46+D48</f>
        <v>0</v>
      </c>
      <c r="E49" s="2306"/>
      <c r="F49" s="1204">
        <f>F43+F44+F45+F46+F48</f>
        <v>0</v>
      </c>
      <c r="G49" s="855"/>
      <c r="H49" s="159"/>
      <c r="I49" s="852"/>
      <c r="J49" s="846"/>
    </row>
    <row r="50" spans="1:10" s="18" customFormat="1" ht="8.1" customHeight="1" thickTop="1" x14ac:dyDescent="0.2">
      <c r="A50" s="860"/>
      <c r="B50" s="2306"/>
      <c r="C50" s="2306"/>
      <c r="D50" s="2306"/>
      <c r="E50" s="2306"/>
      <c r="F50" s="855"/>
      <c r="G50" s="855"/>
      <c r="H50" s="159"/>
      <c r="I50" s="852"/>
      <c r="J50" s="846"/>
    </row>
    <row r="51" spans="1:10" s="18" customFormat="1" ht="12.75" customHeight="1" x14ac:dyDescent="0.2">
      <c r="A51" s="860" t="s">
        <v>1777</v>
      </c>
      <c r="B51" s="2306"/>
      <c r="C51" s="2306"/>
      <c r="D51" s="2306"/>
      <c r="E51" s="2306"/>
      <c r="F51" s="855"/>
      <c r="G51" s="855"/>
      <c r="H51" s="159"/>
      <c r="I51" s="846"/>
      <c r="J51" s="846"/>
    </row>
    <row r="52" spans="1:10" s="18" customFormat="1" ht="12.75" customHeight="1" x14ac:dyDescent="0.2">
      <c r="A52" s="853" t="s">
        <v>1812</v>
      </c>
      <c r="B52" s="854">
        <v>0</v>
      </c>
      <c r="C52" s="2306"/>
      <c r="D52" s="854">
        <v>0</v>
      </c>
      <c r="E52" s="2306"/>
      <c r="F52" s="1202">
        <f>B52+D52</f>
        <v>0</v>
      </c>
      <c r="G52" s="855"/>
      <c r="H52" s="159"/>
      <c r="I52" s="846"/>
      <c r="J52" s="846"/>
    </row>
    <row r="53" spans="1:10" s="18" customFormat="1" ht="12.75" customHeight="1" x14ac:dyDescent="0.2">
      <c r="A53" s="853" t="s">
        <v>1813</v>
      </c>
      <c r="B53" s="854">
        <v>0</v>
      </c>
      <c r="C53" s="2306"/>
      <c r="D53" s="854"/>
      <c r="E53" s="2306"/>
      <c r="F53" s="1202">
        <f t="shared" ref="F53:F64" si="0">B53+D53</f>
        <v>0</v>
      </c>
      <c r="G53" s="855"/>
      <c r="H53" s="159"/>
      <c r="I53" s="846"/>
      <c r="J53" s="846"/>
    </row>
    <row r="54" spans="1:10" s="18" customFormat="1" ht="12.75" customHeight="1" x14ac:dyDescent="0.2">
      <c r="A54" s="853" t="s">
        <v>1814</v>
      </c>
      <c r="B54" s="854">
        <v>0</v>
      </c>
      <c r="C54" s="2306"/>
      <c r="D54" s="854"/>
      <c r="E54" s="2306"/>
      <c r="F54" s="1202">
        <f t="shared" si="0"/>
        <v>0</v>
      </c>
      <c r="G54" s="855"/>
      <c r="H54" s="159"/>
      <c r="I54" s="846"/>
      <c r="J54" s="846"/>
    </row>
    <row r="55" spans="1:10" s="18" customFormat="1" ht="12.75" customHeight="1" x14ac:dyDescent="0.2">
      <c r="A55" s="853" t="s">
        <v>1815</v>
      </c>
      <c r="B55" s="854">
        <v>0</v>
      </c>
      <c r="C55" s="2306"/>
      <c r="D55" s="854"/>
      <c r="E55" s="2306"/>
      <c r="F55" s="1202">
        <f t="shared" si="0"/>
        <v>0</v>
      </c>
      <c r="G55" s="855"/>
      <c r="H55" s="159"/>
      <c r="I55" s="846"/>
      <c r="J55" s="846"/>
    </row>
    <row r="56" spans="1:10" s="18" customFormat="1" ht="12.75" customHeight="1" x14ac:dyDescent="0.2">
      <c r="A56" s="853" t="s">
        <v>1816</v>
      </c>
      <c r="B56" s="854">
        <v>0</v>
      </c>
      <c r="C56" s="2306"/>
      <c r="D56" s="854"/>
      <c r="E56" s="2306"/>
      <c r="F56" s="1202">
        <f t="shared" si="0"/>
        <v>0</v>
      </c>
      <c r="G56" s="855"/>
      <c r="H56" s="159"/>
      <c r="I56" s="846"/>
      <c r="J56" s="846"/>
    </row>
    <row r="57" spans="1:10" s="18" customFormat="1" ht="12.75" customHeight="1" x14ac:dyDescent="0.2">
      <c r="A57" s="853" t="s">
        <v>1817</v>
      </c>
      <c r="B57" s="854">
        <v>0</v>
      </c>
      <c r="C57" s="2306"/>
      <c r="D57" s="854"/>
      <c r="E57" s="2306"/>
      <c r="F57" s="1202">
        <f t="shared" si="0"/>
        <v>0</v>
      </c>
      <c r="G57" s="855"/>
      <c r="H57" s="159"/>
      <c r="I57" s="846"/>
      <c r="J57" s="846"/>
    </row>
    <row r="58" spans="1:10" s="18" customFormat="1" ht="12.75" customHeight="1" x14ac:dyDescent="0.2">
      <c r="A58" s="853" t="s">
        <v>1818</v>
      </c>
      <c r="B58" s="854">
        <v>0</v>
      </c>
      <c r="C58" s="2306"/>
      <c r="D58" s="854"/>
      <c r="E58" s="2306"/>
      <c r="F58" s="1202">
        <f t="shared" si="0"/>
        <v>0</v>
      </c>
      <c r="G58" s="855"/>
      <c r="H58" s="159"/>
      <c r="I58" s="846"/>
      <c r="J58" s="846"/>
    </row>
    <row r="59" spans="1:10" s="18" customFormat="1" ht="12.75" customHeight="1" x14ac:dyDescent="0.2">
      <c r="A59" s="853" t="s">
        <v>1819</v>
      </c>
      <c r="B59" s="854">
        <v>0</v>
      </c>
      <c r="C59" s="2306"/>
      <c r="D59" s="854"/>
      <c r="E59" s="2306"/>
      <c r="F59" s="1202">
        <f t="shared" si="0"/>
        <v>0</v>
      </c>
      <c r="G59" s="855"/>
      <c r="H59" s="159"/>
      <c r="I59" s="846"/>
      <c r="J59" s="846"/>
    </row>
    <row r="60" spans="1:10" s="18" customFormat="1" ht="14.1" customHeight="1" thickBot="1" x14ac:dyDescent="0.25">
      <c r="A60" s="860" t="s">
        <v>1789</v>
      </c>
      <c r="B60" s="1204">
        <f>B52+B53+B54+B55+B56+B57+B58+B59</f>
        <v>0</v>
      </c>
      <c r="C60" s="2306"/>
      <c r="D60" s="1204">
        <f>D52+D53+D54+D55+D56+D57+D58+D59</f>
        <v>0</v>
      </c>
      <c r="E60" s="2306"/>
      <c r="F60" s="1204">
        <f>B60+D60</f>
        <v>0</v>
      </c>
      <c r="G60" s="855"/>
      <c r="H60" s="159"/>
      <c r="I60" s="846"/>
      <c r="J60" s="846"/>
    </row>
    <row r="61" spans="1:10" s="18" customFormat="1" ht="8.25" customHeight="1" thickTop="1" x14ac:dyDescent="0.2">
      <c r="A61" s="1013"/>
      <c r="B61" s="2306"/>
      <c r="C61" s="2306"/>
      <c r="D61" s="2306"/>
      <c r="E61" s="2306"/>
      <c r="F61" s="855"/>
      <c r="G61" s="855"/>
      <c r="H61" s="159"/>
      <c r="I61" s="846"/>
      <c r="J61" s="846"/>
    </row>
    <row r="62" spans="1:10" s="18" customFormat="1" ht="12.75" customHeight="1" x14ac:dyDescent="0.2">
      <c r="A62" s="853" t="s">
        <v>1791</v>
      </c>
      <c r="B62" s="854">
        <v>0</v>
      </c>
      <c r="C62" s="2306"/>
      <c r="D62" s="854">
        <v>0</v>
      </c>
      <c r="E62" s="2306"/>
      <c r="F62" s="1202">
        <f t="shared" si="0"/>
        <v>0</v>
      </c>
      <c r="G62" s="855"/>
      <c r="H62" s="159"/>
      <c r="I62" s="846"/>
      <c r="J62" s="846"/>
    </row>
    <row r="63" spans="1:10" s="18" customFormat="1" ht="12.75" customHeight="1" x14ac:dyDescent="0.2">
      <c r="A63" s="853" t="s">
        <v>1792</v>
      </c>
      <c r="B63" s="854">
        <v>0</v>
      </c>
      <c r="C63" s="2306"/>
      <c r="D63" s="854">
        <v>0</v>
      </c>
      <c r="E63" s="2306"/>
      <c r="F63" s="1202">
        <f t="shared" si="0"/>
        <v>0</v>
      </c>
      <c r="G63" s="855"/>
      <c r="H63" s="159"/>
      <c r="I63" s="846"/>
      <c r="J63" s="846"/>
    </row>
    <row r="64" spans="1:10" s="18" customFormat="1" ht="12.75" customHeight="1" x14ac:dyDescent="0.2">
      <c r="A64" s="853" t="s">
        <v>1820</v>
      </c>
      <c r="B64" s="854">
        <v>0</v>
      </c>
      <c r="C64" s="2306"/>
      <c r="D64" s="2306">
        <v>0</v>
      </c>
      <c r="E64" s="2306"/>
      <c r="F64" s="1202">
        <f t="shared" si="0"/>
        <v>0</v>
      </c>
      <c r="G64" s="855"/>
      <c r="H64" s="159"/>
      <c r="I64" s="846"/>
      <c r="J64" s="846"/>
    </row>
    <row r="65" spans="1:10" s="18" customFormat="1" ht="7.5" customHeight="1" x14ac:dyDescent="0.2">
      <c r="A65" s="853"/>
      <c r="B65" s="2306"/>
      <c r="C65" s="2306"/>
      <c r="D65" s="1060"/>
      <c r="E65" s="2306"/>
      <c r="F65" s="2306"/>
      <c r="G65" s="855"/>
      <c r="H65" s="159"/>
      <c r="I65" s="846"/>
      <c r="J65" s="846"/>
    </row>
    <row r="66" spans="1:10" s="18" customFormat="1" ht="14.1" customHeight="1" thickBot="1" x14ac:dyDescent="0.25">
      <c r="A66" s="860" t="s">
        <v>1794</v>
      </c>
      <c r="B66" s="2306" t="s">
        <v>50</v>
      </c>
      <c r="C66" s="2306"/>
      <c r="D66" s="1203">
        <f>D49-D60+D62-D63+D64</f>
        <v>0</v>
      </c>
      <c r="E66" s="2306"/>
      <c r="F66" s="2306" t="s">
        <v>50</v>
      </c>
      <c r="G66" s="855"/>
      <c r="H66" s="159"/>
      <c r="I66" s="846"/>
      <c r="J66" s="846"/>
    </row>
    <row r="67" spans="1:10" s="18" customFormat="1" ht="8.1" customHeight="1" thickTop="1" x14ac:dyDescent="0.2">
      <c r="A67" s="846"/>
      <c r="B67" s="846"/>
      <c r="C67" s="846"/>
      <c r="D67" s="846"/>
      <c r="E67" s="846"/>
      <c r="F67" s="846"/>
      <c r="G67" s="846"/>
      <c r="H67" s="159"/>
      <c r="I67" s="846"/>
      <c r="J67" s="846"/>
    </row>
    <row r="68" spans="1:10" s="18" customFormat="1" ht="12.75" x14ac:dyDescent="0.2">
      <c r="A68" s="2733" t="s">
        <v>1795</v>
      </c>
      <c r="B68" s="2734"/>
      <c r="C68" s="2734"/>
      <c r="D68" s="2734"/>
      <c r="E68" s="2734"/>
      <c r="F68" s="2734"/>
      <c r="G68" s="2734"/>
      <c r="H68" s="2734"/>
      <c r="I68" s="2734"/>
      <c r="J68" s="2734"/>
    </row>
    <row r="69" spans="1:10" s="18" customFormat="1" ht="12.75" x14ac:dyDescent="0.2">
      <c r="A69" s="2310" t="s">
        <v>1796</v>
      </c>
      <c r="B69" s="2310"/>
      <c r="C69" s="2310"/>
      <c r="D69" s="2310"/>
      <c r="E69" s="2310"/>
      <c r="F69" s="2310"/>
      <c r="G69" s="2310"/>
      <c r="H69" s="2311"/>
      <c r="I69" s="2310"/>
      <c r="J69" s="2310"/>
    </row>
    <row r="70" spans="1:10" s="18" customFormat="1" ht="12.75" x14ac:dyDescent="0.2">
      <c r="H70"/>
    </row>
    <row r="71" spans="1:10" ht="12.75" x14ac:dyDescent="0.2">
      <c r="H71"/>
      <c r="I71" s="18"/>
    </row>
    <row r="72" spans="1:10" ht="12.75" x14ac:dyDescent="0.2">
      <c r="H72"/>
      <c r="I72" s="18"/>
    </row>
    <row r="73" spans="1:10" ht="12.75" x14ac:dyDescent="0.2">
      <c r="H73"/>
      <c r="I73" s="18"/>
    </row>
    <row r="74" spans="1:10" ht="12.75" x14ac:dyDescent="0.2">
      <c r="H74"/>
    </row>
    <row r="75" spans="1:10" ht="12.75" x14ac:dyDescent="0.2">
      <c r="H75"/>
    </row>
    <row r="76" spans="1:10" ht="12.75" x14ac:dyDescent="0.2">
      <c r="H76"/>
    </row>
    <row r="77" spans="1:10" ht="12.75" x14ac:dyDescent="0.2">
      <c r="H77"/>
    </row>
    <row r="78" spans="1:10" ht="12.75" x14ac:dyDescent="0.2">
      <c r="H78"/>
    </row>
    <row r="79" spans="1:10" ht="12.75" x14ac:dyDescent="0.2">
      <c r="H79"/>
    </row>
    <row r="80" spans="1:10" ht="12.75" x14ac:dyDescent="0.2">
      <c r="H80"/>
    </row>
    <row r="81" spans="8:8" ht="12.75" x14ac:dyDescent="0.2">
      <c r="H81"/>
    </row>
    <row r="82" spans="8:8" ht="12.75" x14ac:dyDescent="0.2">
      <c r="H82"/>
    </row>
    <row r="83" spans="8:8" ht="12.75" x14ac:dyDescent="0.2">
      <c r="H83"/>
    </row>
    <row r="84" spans="8:8" ht="12.75" x14ac:dyDescent="0.2">
      <c r="H84"/>
    </row>
    <row r="85" spans="8:8" ht="12.75" x14ac:dyDescent="0.2">
      <c r="H85"/>
    </row>
    <row r="86" spans="8:8" ht="12.75" x14ac:dyDescent="0.2">
      <c r="H86"/>
    </row>
    <row r="87" spans="8:8" ht="12.75" x14ac:dyDescent="0.2">
      <c r="H87"/>
    </row>
  </sheetData>
  <sheetProtection algorithmName="SHA-512" hashValue="uDhneh323KxkU4yoskDnk5TDQrrCmw6lkJy2p9YuqxBMfKKsxMAU4LteOD94kpDPKvEhFmDCUSsnRy0ahRDVng==" saltValue="WW2GRTDpi0+sXdJqX98mPw==" spinCount="100000" sheet="1" objects="1" scenarios="1" autoFilter="0"/>
  <mergeCells count="10">
    <mergeCell ref="A1:H1"/>
    <mergeCell ref="A4:H4"/>
    <mergeCell ref="F7:H7"/>
    <mergeCell ref="F8:H8"/>
    <mergeCell ref="A68:J68"/>
    <mergeCell ref="A2:H2"/>
    <mergeCell ref="A3:H3"/>
    <mergeCell ref="F5:H5"/>
    <mergeCell ref="F6:H6"/>
    <mergeCell ref="I2:I4"/>
  </mergeCells>
  <conditionalFormatting sqref="I2:I4">
    <cfRule type="cellIs" dxfId="74" priority="1" stopIfTrue="1" operator="equal">
      <formula>"na"</formula>
    </cfRule>
  </conditionalFormatting>
  <conditionalFormatting sqref="S1">
    <cfRule type="cellIs" dxfId="73" priority="3" stopIfTrue="1" operator="equal">
      <formula>"na"</formula>
    </cfRule>
  </conditionalFormatting>
  <dataValidations count="3">
    <dataValidation type="list" allowBlank="1" showInputMessage="1" showErrorMessage="1" sqref="A27:A28" xr:uid="{00000000-0002-0000-2500-000002000000}">
      <formula1>CurrentLiabilities</formula1>
    </dataValidation>
    <dataValidation type="list" allowBlank="1" showInputMessage="1" showErrorMessage="1" sqref="A31 A30" xr:uid="{00000000-0002-0000-2500-000003000000}">
      <formula1>NoncurrentLiabilities</formula1>
    </dataValidation>
    <dataValidation type="list" allowBlank="1" showInputMessage="1" showErrorMessage="1" sqref="A25" xr:uid="{00000000-0002-0000-2500-000004000000}">
      <formula1>DeferredOutflows</formula1>
    </dataValidation>
  </dataValidations>
  <hyperlinks>
    <hyperlink ref="A1:H1" location="Index!A1" display="Index!A1" xr:uid="{00000000-0004-0000-2500-000000000000}"/>
  </hyperlinks>
  <pageMargins left="0.6" right="0.6" top="0.5" bottom="0.5" header="0.3" footer="0.3"/>
  <pageSetup scale="80" fitToWidth="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500-000000000000}">
          <x14:formula1>
            <xm:f>Notes!$R$4:$R$22</xm:f>
          </x14:formula1>
          <xm:sqref>A17:A18</xm:sqref>
        </x14:dataValidation>
        <x14:dataValidation type="list" allowBlank="1" showInputMessage="1" showErrorMessage="1" xr:uid="{00000000-0002-0000-2500-000001000000}">
          <x14:formula1>
            <xm:f>Notes!$R$25:$R$34</xm:f>
          </x14:formula1>
          <xm:sqref>A20:A21</xm:sqref>
        </x14:dataValidation>
        <x14:dataValidation type="list" allowBlank="1" showInputMessage="1" showErrorMessage="1" xr:uid="{E5787500-58E2-4D6F-AEE0-FE7E47F3FB35}">
          <x14:formula1>
            <xm:f>Notes!$R$82:$R$88</xm:f>
          </x14:formula1>
          <xm:sqref>A33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pageSetUpPr fitToPage="1"/>
  </sheetPr>
  <dimension ref="A1:AP55"/>
  <sheetViews>
    <sheetView showGridLines="0" topLeftCell="B1" zoomScaleNormal="100" workbookViewId="0">
      <selection activeCell="B2" sqref="B2"/>
    </sheetView>
  </sheetViews>
  <sheetFormatPr defaultColWidth="9.42578125" defaultRowHeight="15.75" x14ac:dyDescent="0.25"/>
  <cols>
    <col min="1" max="1" width="0" style="33" hidden="1" customWidth="1"/>
    <col min="2" max="2" width="7.5703125" style="33" customWidth="1"/>
    <col min="3" max="3" width="1.5703125" style="33" customWidth="1"/>
    <col min="4" max="4" width="11.42578125" style="33" customWidth="1"/>
    <col min="5" max="5" width="1.5703125" style="33" customWidth="1"/>
    <col min="6" max="6" width="8.5703125" style="33" customWidth="1"/>
    <col min="7" max="7" width="1.5703125" style="33" customWidth="1"/>
    <col min="8" max="8" width="20.5703125" style="33" customWidth="1"/>
    <col min="9" max="9" width="1.5703125" style="33" customWidth="1"/>
    <col min="10" max="10" width="5.42578125" style="33" customWidth="1"/>
    <col min="11" max="11" width="1.5703125" style="33" customWidth="1"/>
    <col min="12" max="12" width="7.5703125" style="33" customWidth="1"/>
    <col min="13" max="13" width="1.5703125" style="33" customWidth="1"/>
    <col min="14" max="14" width="13.42578125" style="33" customWidth="1"/>
    <col min="15" max="15" width="1.5703125" style="33" customWidth="1"/>
    <col min="16" max="16" width="9.5703125" style="33" customWidth="1"/>
    <col min="17" max="17" width="1.5703125" style="33" customWidth="1"/>
    <col min="18" max="18" width="21" style="33" customWidth="1"/>
    <col min="19" max="19" width="0.5703125" style="33" customWidth="1"/>
    <col min="20" max="20" width="5.42578125" style="33" customWidth="1"/>
    <col min="21" max="21" width="4.5703125" style="33" bestFit="1" customWidth="1"/>
    <col min="22" max="35" width="5.42578125" style="33" customWidth="1"/>
    <col min="36" max="39" width="5.42578125" customWidth="1"/>
    <col min="40" max="41" width="5.42578125" style="33" customWidth="1"/>
    <col min="42" max="42" width="5.42578125" customWidth="1"/>
    <col min="43" max="16384" width="9.42578125" style="33"/>
  </cols>
  <sheetData>
    <row r="1" spans="2:42" s="100" customFormat="1" ht="25.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455"/>
      <c r="R1" s="2455"/>
      <c r="S1" s="2455"/>
      <c r="T1" s="2455"/>
      <c r="U1" s="880" t="str">
        <f>IF(Index!$B$65="na","NA","")</f>
        <v/>
      </c>
      <c r="V1" s="2241"/>
      <c r="W1" s="2241"/>
    </row>
    <row r="2" spans="2:42" s="100" customFormat="1" ht="15" customHeight="1" x14ac:dyDescent="0.25">
      <c r="C2" s="2313"/>
      <c r="D2" s="2313"/>
      <c r="E2" s="2313"/>
      <c r="F2" s="2313"/>
      <c r="G2" s="2313"/>
      <c r="H2" s="2313"/>
      <c r="I2" s="2313"/>
      <c r="J2" s="2313"/>
      <c r="K2" s="2313" t="str">
        <f>+Index!$A$2</f>
        <v>2023 ACFR Worksheets</v>
      </c>
      <c r="L2" s="2313"/>
      <c r="M2" s="2313"/>
      <c r="N2" s="2313"/>
      <c r="O2" s="2313"/>
      <c r="P2" s="2313"/>
      <c r="Q2" s="143"/>
      <c r="R2" s="2313"/>
      <c r="S2" s="2313"/>
      <c r="T2" s="1001" t="s">
        <v>1592</v>
      </c>
      <c r="U2" s="880"/>
      <c r="V2" s="2241"/>
      <c r="W2" s="2241"/>
    </row>
    <row r="3" spans="2:42" s="100" customFormat="1" ht="15" customHeight="1" x14ac:dyDescent="0.25">
      <c r="B3" s="2738" t="s">
        <v>1821</v>
      </c>
      <c r="C3" s="2738"/>
      <c r="D3" s="2738"/>
      <c r="E3" s="2738"/>
      <c r="F3" s="2738"/>
      <c r="G3" s="2738"/>
      <c r="H3" s="2738"/>
      <c r="I3" s="2738"/>
      <c r="J3" s="2738"/>
      <c r="K3" s="2738"/>
      <c r="L3" s="2738"/>
      <c r="M3" s="2738"/>
      <c r="N3" s="2738"/>
      <c r="O3" s="2738"/>
      <c r="P3" s="2738"/>
      <c r="Q3" s="2738"/>
      <c r="R3" s="2738"/>
      <c r="S3" s="2738"/>
      <c r="T3" s="2738"/>
      <c r="U3" s="880"/>
      <c r="V3" s="2241"/>
      <c r="W3" s="2241"/>
    </row>
    <row r="4" spans="2:42" s="100" customFormat="1" ht="15" customHeight="1" x14ac:dyDescent="0.25">
      <c r="B4" s="2738" t="s">
        <v>1822</v>
      </c>
      <c r="C4" s="2738"/>
      <c r="D4" s="2738"/>
      <c r="E4" s="2738"/>
      <c r="F4" s="2738"/>
      <c r="G4" s="2738"/>
      <c r="H4" s="2738"/>
      <c r="I4" s="2738"/>
      <c r="J4" s="2738"/>
      <c r="K4" s="2738"/>
      <c r="L4" s="2738"/>
      <c r="M4" s="2738"/>
      <c r="N4" s="2738"/>
      <c r="O4" s="2738"/>
      <c r="P4" s="2738"/>
      <c r="Q4" s="2738"/>
      <c r="R4" s="2738"/>
      <c r="S4" s="2738"/>
      <c r="T4" s="2738"/>
    </row>
    <row r="5" spans="2:42" ht="15" customHeight="1" x14ac:dyDescent="0.3">
      <c r="B5" s="98"/>
      <c r="C5" s="98"/>
      <c r="D5" s="98"/>
      <c r="E5" s="98"/>
      <c r="F5" s="99"/>
      <c r="G5" s="99"/>
      <c r="H5" s="99"/>
      <c r="I5" s="99"/>
      <c r="J5" s="99"/>
      <c r="K5" s="98"/>
      <c r="L5" s="99"/>
      <c r="M5" s="99"/>
      <c r="N5" s="99"/>
      <c r="O5" s="99"/>
      <c r="P5" s="99"/>
      <c r="Q5" s="99"/>
      <c r="R5" s="99"/>
      <c r="S5" s="99"/>
      <c r="T5" s="99"/>
      <c r="AJ5" s="33"/>
      <c r="AK5" s="33"/>
      <c r="AL5" s="33"/>
      <c r="AM5" s="33"/>
      <c r="AP5" s="33"/>
    </row>
    <row r="6" spans="2:42" ht="15" customHeight="1" x14ac:dyDescent="0.25">
      <c r="B6" s="34" t="s">
        <v>317</v>
      </c>
      <c r="E6" s="2739" t="str">
        <f>+Index!$E$10</f>
        <v>01</v>
      </c>
      <c r="F6" s="2739"/>
      <c r="G6" s="2739"/>
      <c r="H6" s="2739"/>
      <c r="I6" s="302"/>
      <c r="J6" s="302"/>
      <c r="L6" s="101"/>
      <c r="M6" s="101"/>
      <c r="N6" s="35" t="s">
        <v>319</v>
      </c>
      <c r="O6" s="2737" t="str">
        <f>CONCATENATE(Index!$E$12," ",Index!$E$14)</f>
        <v xml:space="preserve"> </v>
      </c>
      <c r="P6" s="2737"/>
      <c r="Q6" s="2737"/>
      <c r="R6" s="2737"/>
      <c r="S6" s="2737"/>
      <c r="T6" s="2737"/>
    </row>
    <row r="7" spans="2:42" ht="15" customHeight="1" x14ac:dyDescent="0.25">
      <c r="B7" s="34" t="s">
        <v>318</v>
      </c>
      <c r="E7" s="644" t="str">
        <f>+Index!$E$11</f>
        <v>North Carolina General Assembly</v>
      </c>
      <c r="F7" s="644"/>
      <c r="G7" s="644"/>
      <c r="H7" s="644"/>
      <c r="I7" s="303"/>
      <c r="J7" s="303"/>
      <c r="K7" s="303"/>
      <c r="L7" s="304"/>
      <c r="N7" s="35" t="s">
        <v>71</v>
      </c>
      <c r="O7" s="2740">
        <f>+Index!$E$13</f>
        <v>0</v>
      </c>
      <c r="P7" s="2740"/>
      <c r="Q7" s="2740"/>
      <c r="R7" s="2740"/>
      <c r="S7" s="2740"/>
      <c r="T7" s="2740"/>
    </row>
    <row r="8" spans="2:42" ht="15" customHeight="1" thickBot="1" x14ac:dyDescent="0.3">
      <c r="B8" s="36"/>
      <c r="C8" s="36"/>
      <c r="D8" s="36"/>
      <c r="E8" s="36"/>
      <c r="F8" s="36"/>
      <c r="G8" s="36"/>
      <c r="H8" s="36"/>
      <c r="I8" s="36"/>
      <c r="J8" s="36"/>
      <c r="K8" s="37"/>
      <c r="L8" s="36"/>
      <c r="M8" s="36"/>
      <c r="N8" s="36"/>
      <c r="O8" s="36"/>
      <c r="P8" s="36"/>
      <c r="Q8" s="36"/>
      <c r="R8" s="36"/>
      <c r="S8" s="36"/>
      <c r="T8" s="36"/>
    </row>
    <row r="9" spans="2:42" s="104" customFormat="1" ht="15" customHeight="1" x14ac:dyDescent="0.2">
      <c r="B9" s="302"/>
      <c r="C9" s="302"/>
      <c r="D9" s="103" t="s">
        <v>1823</v>
      </c>
      <c r="E9" s="302"/>
      <c r="F9" s="103" t="s">
        <v>1824</v>
      </c>
      <c r="G9" s="302"/>
      <c r="H9" s="302"/>
      <c r="I9" s="105"/>
      <c r="J9" s="106"/>
      <c r="K9" s="103"/>
      <c r="L9" s="302"/>
      <c r="M9" s="302"/>
      <c r="N9" s="103" t="s">
        <v>1825</v>
      </c>
      <c r="O9" s="302"/>
      <c r="P9" s="103" t="s">
        <v>1826</v>
      </c>
      <c r="Q9" s="302"/>
      <c r="R9" s="302"/>
      <c r="S9" s="103"/>
      <c r="T9" s="103"/>
      <c r="U9" s="302"/>
      <c r="V9" s="302"/>
      <c r="W9" s="302"/>
      <c r="X9" s="302"/>
      <c r="Y9" s="302"/>
      <c r="Z9" s="302"/>
      <c r="AA9" s="302"/>
      <c r="AB9" s="302"/>
      <c r="AC9" s="302"/>
      <c r="AD9" s="302"/>
      <c r="AE9" s="302"/>
      <c r="AF9" s="302"/>
      <c r="AG9" s="302"/>
      <c r="AH9" s="302"/>
      <c r="AI9" s="302"/>
      <c r="AJ9" s="302"/>
      <c r="AK9" s="302"/>
      <c r="AL9" s="302"/>
      <c r="AM9" s="302"/>
      <c r="AN9" s="302"/>
      <c r="AO9" s="302"/>
      <c r="AP9" s="302"/>
    </row>
    <row r="10" spans="2:42" s="104" customFormat="1" ht="15" customHeight="1" x14ac:dyDescent="0.2">
      <c r="B10" s="302"/>
      <c r="C10" s="302"/>
      <c r="D10" s="103" t="s">
        <v>748</v>
      </c>
      <c r="E10" s="302"/>
      <c r="F10" s="103" t="s">
        <v>1596</v>
      </c>
      <c r="G10" s="302"/>
      <c r="H10" s="302"/>
      <c r="I10" s="105"/>
      <c r="J10" s="103"/>
      <c r="K10" s="103"/>
      <c r="L10" s="302"/>
      <c r="M10" s="302"/>
      <c r="N10" s="103" t="s">
        <v>748</v>
      </c>
      <c r="O10" s="302"/>
      <c r="P10" s="103" t="s">
        <v>1596</v>
      </c>
      <c r="Q10" s="302"/>
      <c r="R10" s="302"/>
      <c r="S10" s="103"/>
      <c r="T10" s="103"/>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row>
    <row r="11" spans="2:42" s="104" customFormat="1" ht="15" customHeight="1" thickBot="1" x14ac:dyDescent="0.25">
      <c r="B11" s="107" t="s">
        <v>1596</v>
      </c>
      <c r="C11" s="103"/>
      <c r="D11" s="1859" t="s">
        <v>1827</v>
      </c>
      <c r="E11" s="302"/>
      <c r="F11" s="107" t="s">
        <v>1700</v>
      </c>
      <c r="G11" s="302"/>
      <c r="H11" s="107" t="s">
        <v>1347</v>
      </c>
      <c r="I11" s="302"/>
      <c r="J11" s="103"/>
      <c r="K11" s="103"/>
      <c r="L11" s="107" t="s">
        <v>1596</v>
      </c>
      <c r="M11" s="103"/>
      <c r="N11" s="1859" t="s">
        <v>1828</v>
      </c>
      <c r="O11" s="302"/>
      <c r="P11" s="107" t="s">
        <v>1700</v>
      </c>
      <c r="Q11" s="302"/>
      <c r="R11" s="107" t="s">
        <v>1347</v>
      </c>
      <c r="S11" s="103"/>
      <c r="T11" s="103"/>
      <c r="U11" s="103"/>
      <c r="V11" s="103"/>
      <c r="W11" s="103"/>
      <c r="X11" s="302"/>
      <c r="Y11" s="302"/>
      <c r="Z11" s="302"/>
      <c r="AA11" s="302"/>
      <c r="AB11" s="302"/>
      <c r="AC11" s="302"/>
      <c r="AD11" s="302"/>
      <c r="AE11" s="302"/>
      <c r="AF11" s="302"/>
      <c r="AG11" s="302"/>
      <c r="AH11" s="302"/>
      <c r="AI11" s="302"/>
      <c r="AJ11" s="302"/>
      <c r="AK11" s="302"/>
      <c r="AL11" s="302"/>
      <c r="AM11" s="302"/>
      <c r="AN11" s="302"/>
      <c r="AO11" s="302"/>
      <c r="AP11" s="302"/>
    </row>
    <row r="12" spans="2:42" s="104" customFormat="1" ht="15" customHeight="1" x14ac:dyDescent="0.2">
      <c r="B12" s="1646"/>
      <c r="C12" s="303"/>
      <c r="D12" s="1646"/>
      <c r="E12" s="303"/>
      <c r="F12" s="1860"/>
      <c r="G12" s="303"/>
      <c r="H12" s="1861"/>
      <c r="I12" s="302"/>
      <c r="J12" s="1862"/>
      <c r="K12" s="303"/>
      <c r="L12" s="1863">
        <f t="shared" ref="L12:L31" si="0">+F12</f>
        <v>0</v>
      </c>
      <c r="M12" s="303"/>
      <c r="N12" s="1646"/>
      <c r="O12" s="303"/>
      <c r="P12" s="1863">
        <f t="shared" ref="P12:P31" si="1">+B12</f>
        <v>0</v>
      </c>
      <c r="Q12" s="302"/>
      <c r="R12" s="1864">
        <f t="shared" ref="R12:R31" si="2">+H12</f>
        <v>0</v>
      </c>
      <c r="S12" s="302"/>
      <c r="T12" s="1862"/>
      <c r="U12" s="313"/>
      <c r="V12" s="1142"/>
      <c r="W12" s="1142"/>
      <c r="X12" s="1142"/>
      <c r="Y12" s="1142"/>
      <c r="Z12" s="1142"/>
      <c r="AA12" s="1142"/>
      <c r="AB12" s="1142"/>
      <c r="AC12" s="302"/>
      <c r="AD12" s="302"/>
      <c r="AE12" s="302"/>
      <c r="AF12" s="302"/>
      <c r="AG12" s="1865"/>
      <c r="AH12" s="1866"/>
      <c r="AI12" s="302"/>
      <c r="AJ12" s="302"/>
      <c r="AK12" s="1865"/>
      <c r="AL12" s="302"/>
      <c r="AM12" s="1865"/>
      <c r="AN12" s="1866"/>
      <c r="AO12" s="302"/>
      <c r="AP12" s="302"/>
    </row>
    <row r="13" spans="2:42" s="104" customFormat="1" ht="15" customHeight="1" x14ac:dyDescent="0.2">
      <c r="B13" s="1646"/>
      <c r="C13" s="303"/>
      <c r="D13" s="1646"/>
      <c r="E13" s="303"/>
      <c r="F13" s="1860"/>
      <c r="G13" s="303"/>
      <c r="H13" s="1861"/>
      <c r="I13" s="302"/>
      <c r="J13" s="1862"/>
      <c r="K13" s="303"/>
      <c r="L13" s="1863">
        <f t="shared" si="0"/>
        <v>0</v>
      </c>
      <c r="M13" s="303"/>
      <c r="N13" s="1646"/>
      <c r="O13" s="303"/>
      <c r="P13" s="1863">
        <f t="shared" si="1"/>
        <v>0</v>
      </c>
      <c r="Q13" s="302"/>
      <c r="R13" s="1864">
        <f t="shared" si="2"/>
        <v>0</v>
      </c>
      <c r="S13" s="302"/>
      <c r="T13" s="1862"/>
      <c r="U13" s="313"/>
      <c r="V13" s="1142"/>
      <c r="W13" s="1142"/>
      <c r="X13" s="1142"/>
      <c r="Y13" s="1142"/>
      <c r="Z13" s="1142"/>
      <c r="AA13" s="1142"/>
      <c r="AB13" s="1142"/>
      <c r="AC13" s="302"/>
      <c r="AD13" s="302"/>
      <c r="AE13" s="302"/>
      <c r="AF13" s="302"/>
      <c r="AG13" s="1865"/>
      <c r="AH13" s="1866"/>
      <c r="AI13" s="302"/>
      <c r="AJ13" s="302"/>
      <c r="AK13" s="1865"/>
      <c r="AL13" s="302"/>
      <c r="AM13" s="1865"/>
      <c r="AN13" s="1866"/>
      <c r="AO13" s="302"/>
      <c r="AP13" s="302"/>
    </row>
    <row r="14" spans="2:42" s="104" customFormat="1" ht="15" customHeight="1" x14ac:dyDescent="0.2">
      <c r="B14" s="1646"/>
      <c r="C14" s="303"/>
      <c r="D14" s="1646"/>
      <c r="E14" s="303"/>
      <c r="F14" s="1860"/>
      <c r="G14" s="303"/>
      <c r="H14" s="1861"/>
      <c r="I14" s="302"/>
      <c r="J14" s="1862"/>
      <c r="K14" s="303"/>
      <c r="L14" s="1863">
        <f t="shared" si="0"/>
        <v>0</v>
      </c>
      <c r="M14" s="303"/>
      <c r="N14" s="1646"/>
      <c r="O14" s="303"/>
      <c r="P14" s="1863">
        <f t="shared" si="1"/>
        <v>0</v>
      </c>
      <c r="Q14" s="302"/>
      <c r="R14" s="1864">
        <f t="shared" si="2"/>
        <v>0</v>
      </c>
      <c r="S14" s="302"/>
      <c r="T14" s="1862"/>
      <c r="U14" s="313"/>
      <c r="V14" s="1142"/>
      <c r="W14" s="1142"/>
      <c r="X14" s="1142"/>
      <c r="Y14" s="1142"/>
      <c r="Z14" s="1142"/>
      <c r="AA14" s="1142"/>
      <c r="AB14" s="1142"/>
      <c r="AC14" s="302"/>
      <c r="AD14" s="302"/>
      <c r="AE14" s="302"/>
      <c r="AF14" s="302"/>
      <c r="AG14" s="1865"/>
      <c r="AH14" s="1866"/>
      <c r="AI14" s="302"/>
      <c r="AJ14" s="302"/>
      <c r="AK14" s="1865"/>
      <c r="AL14" s="302"/>
      <c r="AM14" s="1865"/>
      <c r="AN14" s="1866"/>
      <c r="AO14" s="302"/>
      <c r="AP14" s="302"/>
    </row>
    <row r="15" spans="2:42" s="104" customFormat="1" ht="15" customHeight="1" x14ac:dyDescent="0.2">
      <c r="B15" s="1646"/>
      <c r="C15" s="303"/>
      <c r="D15" s="1646"/>
      <c r="E15" s="303"/>
      <c r="F15" s="1860"/>
      <c r="G15" s="303"/>
      <c r="H15" s="1861"/>
      <c r="I15" s="302"/>
      <c r="J15" s="1862"/>
      <c r="K15" s="303"/>
      <c r="L15" s="1863">
        <f t="shared" si="0"/>
        <v>0</v>
      </c>
      <c r="M15" s="303"/>
      <c r="N15" s="1646"/>
      <c r="O15" s="303"/>
      <c r="P15" s="1863">
        <f t="shared" si="1"/>
        <v>0</v>
      </c>
      <c r="Q15" s="302"/>
      <c r="R15" s="1864">
        <f t="shared" si="2"/>
        <v>0</v>
      </c>
      <c r="S15" s="302"/>
      <c r="T15" s="1862"/>
      <c r="U15" s="313"/>
      <c r="V15" s="1142"/>
      <c r="W15" s="1142"/>
      <c r="X15" s="1142"/>
      <c r="Y15" s="1142"/>
      <c r="Z15" s="1142"/>
      <c r="AA15" s="1142"/>
      <c r="AB15" s="1142"/>
      <c r="AC15" s="302"/>
      <c r="AD15" s="302"/>
      <c r="AE15" s="302"/>
      <c r="AF15" s="302"/>
      <c r="AG15" s="1865"/>
      <c r="AH15" s="1866"/>
      <c r="AI15" s="302"/>
      <c r="AJ15" s="302"/>
      <c r="AK15" s="1865"/>
      <c r="AL15" s="302"/>
      <c r="AM15" s="1865"/>
      <c r="AN15" s="1866"/>
      <c r="AO15" s="302"/>
      <c r="AP15" s="302"/>
    </row>
    <row r="16" spans="2:42" s="104" customFormat="1" ht="15" customHeight="1" x14ac:dyDescent="0.2">
      <c r="B16" s="1646"/>
      <c r="C16" s="303"/>
      <c r="D16" s="1646"/>
      <c r="E16" s="303"/>
      <c r="F16" s="1860"/>
      <c r="G16" s="303"/>
      <c r="H16" s="1861"/>
      <c r="I16" s="302"/>
      <c r="J16" s="1862"/>
      <c r="K16" s="303"/>
      <c r="L16" s="1863">
        <f t="shared" si="0"/>
        <v>0</v>
      </c>
      <c r="M16" s="303"/>
      <c r="N16" s="1646"/>
      <c r="O16" s="303"/>
      <c r="P16" s="1863">
        <f t="shared" si="1"/>
        <v>0</v>
      </c>
      <c r="Q16" s="302"/>
      <c r="R16" s="1864">
        <f t="shared" si="2"/>
        <v>0</v>
      </c>
      <c r="S16" s="302"/>
      <c r="T16" s="1862"/>
      <c r="U16" s="313"/>
      <c r="V16" s="1142"/>
      <c r="W16" s="1142"/>
      <c r="X16" s="1142"/>
      <c r="Y16" s="1142"/>
      <c r="Z16" s="1142"/>
      <c r="AA16" s="1142"/>
      <c r="AB16" s="1142"/>
      <c r="AC16" s="302"/>
      <c r="AD16" s="302"/>
      <c r="AE16" s="302"/>
      <c r="AF16" s="302"/>
      <c r="AG16" s="1865"/>
      <c r="AH16" s="1866"/>
      <c r="AI16" s="302"/>
      <c r="AJ16" s="302"/>
      <c r="AK16" s="1865"/>
      <c r="AL16" s="302"/>
      <c r="AM16" s="1865"/>
      <c r="AN16" s="1866"/>
      <c r="AO16" s="302"/>
      <c r="AP16" s="302"/>
    </row>
    <row r="17" spans="1:40" s="104" customFormat="1" ht="15" customHeight="1" x14ac:dyDescent="0.2">
      <c r="A17" s="302"/>
      <c r="B17" s="1646"/>
      <c r="C17" s="303"/>
      <c r="D17" s="1646"/>
      <c r="E17" s="303"/>
      <c r="F17" s="1860"/>
      <c r="G17" s="303"/>
      <c r="H17" s="1861"/>
      <c r="I17" s="302"/>
      <c r="J17" s="1862"/>
      <c r="K17" s="303"/>
      <c r="L17" s="1863">
        <f t="shared" si="0"/>
        <v>0</v>
      </c>
      <c r="M17" s="303"/>
      <c r="N17" s="1646"/>
      <c r="O17" s="303"/>
      <c r="P17" s="1863">
        <f t="shared" si="1"/>
        <v>0</v>
      </c>
      <c r="Q17" s="302"/>
      <c r="R17" s="1864">
        <f t="shared" si="2"/>
        <v>0</v>
      </c>
      <c r="S17" s="302"/>
      <c r="T17" s="1862"/>
      <c r="U17" s="313"/>
      <c r="V17" s="1142"/>
      <c r="W17" s="1142"/>
      <c r="X17" s="1142"/>
      <c r="Y17" s="1142"/>
      <c r="Z17" s="1142"/>
      <c r="AA17" s="1142"/>
      <c r="AB17" s="1142"/>
      <c r="AC17" s="302"/>
      <c r="AD17" s="302"/>
      <c r="AE17" s="302"/>
      <c r="AF17" s="302"/>
      <c r="AG17" s="1865"/>
      <c r="AH17" s="1866"/>
      <c r="AI17" s="302"/>
      <c r="AJ17" s="302"/>
      <c r="AK17" s="1865"/>
      <c r="AL17" s="302"/>
      <c r="AM17" s="1865"/>
      <c r="AN17" s="1866"/>
    </row>
    <row r="18" spans="1:40" s="104" customFormat="1" ht="15" customHeight="1" x14ac:dyDescent="0.2">
      <c r="A18" s="302"/>
      <c r="B18" s="1646"/>
      <c r="C18" s="303"/>
      <c r="D18" s="1646"/>
      <c r="E18" s="303"/>
      <c r="F18" s="1860"/>
      <c r="G18" s="303"/>
      <c r="H18" s="1861"/>
      <c r="I18" s="302"/>
      <c r="J18" s="1862"/>
      <c r="K18" s="303"/>
      <c r="L18" s="1863">
        <f t="shared" si="0"/>
        <v>0</v>
      </c>
      <c r="M18" s="303"/>
      <c r="N18" s="1646"/>
      <c r="O18" s="303"/>
      <c r="P18" s="1863">
        <f t="shared" si="1"/>
        <v>0</v>
      </c>
      <c r="Q18" s="302"/>
      <c r="R18" s="1864">
        <f t="shared" si="2"/>
        <v>0</v>
      </c>
      <c r="S18" s="302"/>
      <c r="T18" s="1862"/>
      <c r="U18" s="313"/>
      <c r="V18" s="1142"/>
      <c r="W18" s="1142"/>
      <c r="X18" s="1142"/>
      <c r="Y18" s="1142"/>
      <c r="Z18" s="1142"/>
      <c r="AA18" s="1142"/>
      <c r="AB18" s="1142"/>
      <c r="AC18" s="302"/>
      <c r="AD18" s="302"/>
      <c r="AE18" s="302"/>
      <c r="AF18" s="302"/>
      <c r="AG18" s="1865"/>
      <c r="AH18" s="1866"/>
      <c r="AI18" s="302"/>
      <c r="AJ18" s="302"/>
      <c r="AK18" s="1865"/>
      <c r="AL18" s="302"/>
      <c r="AM18" s="1865"/>
      <c r="AN18" s="1866"/>
    </row>
    <row r="19" spans="1:40" s="104" customFormat="1" ht="15" customHeight="1" x14ac:dyDescent="0.2">
      <c r="A19" s="302"/>
      <c r="B19" s="1646"/>
      <c r="C19" s="303"/>
      <c r="D19" s="1646"/>
      <c r="E19" s="303"/>
      <c r="F19" s="1860"/>
      <c r="G19" s="303"/>
      <c r="H19" s="1861"/>
      <c r="I19" s="302"/>
      <c r="J19" s="1862"/>
      <c r="K19" s="303"/>
      <c r="L19" s="1863">
        <f t="shared" si="0"/>
        <v>0</v>
      </c>
      <c r="M19" s="303"/>
      <c r="N19" s="1646"/>
      <c r="O19" s="303"/>
      <c r="P19" s="1863">
        <f t="shared" si="1"/>
        <v>0</v>
      </c>
      <c r="Q19" s="302"/>
      <c r="R19" s="1864">
        <f t="shared" si="2"/>
        <v>0</v>
      </c>
      <c r="S19" s="302"/>
      <c r="T19" s="1862"/>
      <c r="U19" s="313"/>
      <c r="V19" s="1142"/>
      <c r="W19" s="1142"/>
      <c r="X19" s="1142"/>
      <c r="Y19" s="1142"/>
      <c r="Z19" s="1142"/>
      <c r="AA19" s="1142"/>
      <c r="AB19" s="1142"/>
      <c r="AC19" s="302"/>
      <c r="AD19" s="302"/>
      <c r="AE19" s="302"/>
      <c r="AF19" s="302"/>
      <c r="AG19" s="1865"/>
      <c r="AH19" s="1866"/>
      <c r="AI19" s="302"/>
      <c r="AJ19" s="302"/>
      <c r="AK19" s="1865"/>
      <c r="AL19" s="302"/>
      <c r="AM19" s="1865"/>
      <c r="AN19" s="1866"/>
    </row>
    <row r="20" spans="1:40" s="104" customFormat="1" ht="15" customHeight="1" x14ac:dyDescent="0.2">
      <c r="A20" s="302"/>
      <c r="B20" s="1646"/>
      <c r="C20" s="303"/>
      <c r="D20" s="1646"/>
      <c r="E20" s="303"/>
      <c r="F20" s="1860"/>
      <c r="G20" s="303"/>
      <c r="H20" s="1861"/>
      <c r="I20" s="302"/>
      <c r="J20" s="1862"/>
      <c r="K20" s="303"/>
      <c r="L20" s="1863">
        <f t="shared" si="0"/>
        <v>0</v>
      </c>
      <c r="M20" s="303"/>
      <c r="N20" s="1646"/>
      <c r="O20" s="303"/>
      <c r="P20" s="1863">
        <f t="shared" si="1"/>
        <v>0</v>
      </c>
      <c r="Q20" s="302"/>
      <c r="R20" s="1864">
        <f t="shared" si="2"/>
        <v>0</v>
      </c>
      <c r="S20" s="302"/>
      <c r="T20" s="1862"/>
      <c r="U20" s="313"/>
      <c r="V20" s="1142"/>
      <c r="W20" s="1142"/>
      <c r="X20" s="1142"/>
      <c r="Y20" s="1142"/>
      <c r="Z20" s="1142"/>
      <c r="AA20" s="1142"/>
      <c r="AB20" s="1142"/>
      <c r="AC20" s="302"/>
      <c r="AD20" s="302"/>
      <c r="AE20" s="302"/>
      <c r="AF20" s="302"/>
      <c r="AG20" s="1865"/>
      <c r="AH20" s="1866"/>
      <c r="AI20" s="302"/>
      <c r="AJ20" s="302"/>
      <c r="AK20" s="1865"/>
      <c r="AL20" s="302"/>
      <c r="AM20" s="1865"/>
      <c r="AN20" s="1866"/>
    </row>
    <row r="21" spans="1:40" s="104" customFormat="1" ht="15" customHeight="1" x14ac:dyDescent="0.2">
      <c r="A21" s="302"/>
      <c r="B21" s="1646"/>
      <c r="C21" s="303"/>
      <c r="D21" s="1646"/>
      <c r="E21" s="303"/>
      <c r="F21" s="1860"/>
      <c r="G21" s="303"/>
      <c r="H21" s="1861"/>
      <c r="I21" s="302"/>
      <c r="J21" s="1862"/>
      <c r="K21" s="303"/>
      <c r="L21" s="1863">
        <f t="shared" si="0"/>
        <v>0</v>
      </c>
      <c r="M21" s="303"/>
      <c r="N21" s="1646"/>
      <c r="O21" s="303"/>
      <c r="P21" s="1863">
        <f t="shared" si="1"/>
        <v>0</v>
      </c>
      <c r="Q21" s="302"/>
      <c r="R21" s="1864">
        <f t="shared" si="2"/>
        <v>0</v>
      </c>
      <c r="S21" s="302"/>
      <c r="T21" s="1862"/>
      <c r="U21" s="313"/>
      <c r="V21" s="1142"/>
      <c r="W21" s="1142"/>
      <c r="X21" s="1142"/>
      <c r="Y21" s="1142"/>
      <c r="Z21" s="1142"/>
      <c r="AA21" s="1142"/>
      <c r="AB21" s="1142"/>
      <c r="AC21" s="302"/>
      <c r="AD21" s="302"/>
      <c r="AE21" s="302"/>
      <c r="AF21" s="302"/>
      <c r="AG21" s="1865"/>
      <c r="AH21" s="1866"/>
      <c r="AI21" s="302"/>
      <c r="AJ21" s="302"/>
      <c r="AK21" s="1865"/>
      <c r="AL21" s="302"/>
      <c r="AM21" s="1865"/>
      <c r="AN21" s="1866"/>
    </row>
    <row r="22" spans="1:40" s="104" customFormat="1" ht="15" customHeight="1" x14ac:dyDescent="0.2">
      <c r="A22" s="302"/>
      <c r="B22" s="1646"/>
      <c r="C22" s="303"/>
      <c r="D22" s="1646"/>
      <c r="E22" s="303"/>
      <c r="F22" s="1860"/>
      <c r="G22" s="303"/>
      <c r="H22" s="1861"/>
      <c r="I22" s="302"/>
      <c r="J22" s="1862"/>
      <c r="K22" s="303"/>
      <c r="L22" s="1863">
        <f t="shared" si="0"/>
        <v>0</v>
      </c>
      <c r="M22" s="303"/>
      <c r="N22" s="1646"/>
      <c r="O22" s="303"/>
      <c r="P22" s="1863">
        <f t="shared" si="1"/>
        <v>0</v>
      </c>
      <c r="Q22" s="302"/>
      <c r="R22" s="1864">
        <f t="shared" si="2"/>
        <v>0</v>
      </c>
      <c r="S22" s="302"/>
      <c r="T22" s="1862"/>
      <c r="U22" s="313"/>
      <c r="V22" s="1142"/>
      <c r="W22" s="1142"/>
      <c r="X22" s="1142"/>
      <c r="Y22" s="1142"/>
      <c r="Z22" s="1142"/>
      <c r="AA22" s="1142"/>
      <c r="AB22" s="1142"/>
      <c r="AC22" s="302"/>
      <c r="AD22" s="302"/>
      <c r="AE22" s="302"/>
      <c r="AF22" s="302"/>
      <c r="AG22" s="1865"/>
      <c r="AH22" s="1866"/>
      <c r="AI22" s="302"/>
      <c r="AJ22" s="302"/>
      <c r="AK22" s="1865"/>
      <c r="AL22" s="302"/>
      <c r="AM22" s="1865"/>
      <c r="AN22" s="1866"/>
    </row>
    <row r="23" spans="1:40" s="104" customFormat="1" ht="15" customHeight="1" x14ac:dyDescent="0.2">
      <c r="A23" s="302"/>
      <c r="B23" s="1646"/>
      <c r="C23" s="303"/>
      <c r="D23" s="1646"/>
      <c r="E23" s="303"/>
      <c r="F23" s="1860"/>
      <c r="G23" s="303"/>
      <c r="H23" s="1861"/>
      <c r="I23" s="302"/>
      <c r="J23" s="1862"/>
      <c r="K23" s="303"/>
      <c r="L23" s="1863">
        <f t="shared" si="0"/>
        <v>0</v>
      </c>
      <c r="M23" s="303"/>
      <c r="N23" s="1646"/>
      <c r="O23" s="303"/>
      <c r="P23" s="1863">
        <f t="shared" si="1"/>
        <v>0</v>
      </c>
      <c r="Q23" s="302"/>
      <c r="R23" s="1864">
        <f t="shared" si="2"/>
        <v>0</v>
      </c>
      <c r="S23" s="302"/>
      <c r="T23" s="1862"/>
      <c r="U23" s="313"/>
      <c r="V23" s="1142"/>
      <c r="W23" s="1142"/>
      <c r="X23" s="1142"/>
      <c r="Y23" s="1142"/>
      <c r="Z23" s="1142"/>
      <c r="AA23" s="1142"/>
      <c r="AB23" s="1142"/>
      <c r="AC23" s="302"/>
      <c r="AD23" s="302"/>
      <c r="AE23" s="302"/>
      <c r="AF23" s="302"/>
      <c r="AG23" s="1865"/>
      <c r="AH23" s="1866"/>
      <c r="AI23" s="302"/>
      <c r="AJ23" s="302"/>
      <c r="AK23" s="1865"/>
      <c r="AL23" s="302"/>
      <c r="AM23" s="1865"/>
      <c r="AN23" s="1866"/>
    </row>
    <row r="24" spans="1:40" s="104" customFormat="1" ht="15" customHeight="1" x14ac:dyDescent="0.2">
      <c r="A24" s="302"/>
      <c r="B24" s="1646"/>
      <c r="C24" s="303"/>
      <c r="D24" s="1646"/>
      <c r="E24" s="303"/>
      <c r="F24" s="1860"/>
      <c r="G24" s="303"/>
      <c r="H24" s="1861"/>
      <c r="I24" s="302"/>
      <c r="J24" s="1862"/>
      <c r="K24" s="303"/>
      <c r="L24" s="1863">
        <f t="shared" si="0"/>
        <v>0</v>
      </c>
      <c r="M24" s="303"/>
      <c r="N24" s="1646"/>
      <c r="O24" s="303"/>
      <c r="P24" s="1863">
        <f t="shared" si="1"/>
        <v>0</v>
      </c>
      <c r="Q24" s="302"/>
      <c r="R24" s="1864">
        <f t="shared" si="2"/>
        <v>0</v>
      </c>
      <c r="S24" s="302"/>
      <c r="T24" s="1862"/>
      <c r="U24" s="313"/>
      <c r="V24" s="1142"/>
      <c r="W24" s="1142"/>
      <c r="X24" s="1142"/>
      <c r="Y24" s="1142"/>
      <c r="Z24" s="1142"/>
      <c r="AA24" s="1142"/>
      <c r="AB24" s="1142"/>
      <c r="AC24" s="302"/>
      <c r="AD24" s="302"/>
      <c r="AE24" s="302"/>
      <c r="AF24" s="302"/>
      <c r="AG24" s="1865"/>
      <c r="AH24" s="1866"/>
      <c r="AI24" s="302"/>
      <c r="AJ24" s="302"/>
      <c r="AK24" s="1865"/>
      <c r="AL24" s="302"/>
      <c r="AM24" s="1865"/>
      <c r="AN24" s="1866"/>
    </row>
    <row r="25" spans="1:40" s="104" customFormat="1" ht="15" customHeight="1" x14ac:dyDescent="0.2">
      <c r="A25" s="302"/>
      <c r="B25" s="1646"/>
      <c r="C25" s="303"/>
      <c r="D25" s="1646"/>
      <c r="E25" s="303"/>
      <c r="F25" s="1860"/>
      <c r="G25" s="303"/>
      <c r="H25" s="1861"/>
      <c r="I25" s="302"/>
      <c r="J25" s="1862"/>
      <c r="K25" s="303"/>
      <c r="L25" s="1863">
        <f t="shared" si="0"/>
        <v>0</v>
      </c>
      <c r="M25" s="303"/>
      <c r="N25" s="1646"/>
      <c r="O25" s="303"/>
      <c r="P25" s="1863">
        <f t="shared" si="1"/>
        <v>0</v>
      </c>
      <c r="Q25" s="302"/>
      <c r="R25" s="1864">
        <f t="shared" si="2"/>
        <v>0</v>
      </c>
      <c r="S25" s="302"/>
      <c r="T25" s="1862"/>
      <c r="U25" s="313"/>
      <c r="V25" s="1142"/>
      <c r="W25" s="1142"/>
      <c r="X25" s="1142"/>
      <c r="Y25" s="1142"/>
      <c r="Z25" s="1142"/>
      <c r="AA25" s="1142"/>
      <c r="AB25" s="1142"/>
      <c r="AC25" s="302"/>
      <c r="AD25" s="302"/>
      <c r="AE25" s="302"/>
      <c r="AF25" s="302"/>
      <c r="AG25" s="1865"/>
      <c r="AH25" s="1866"/>
      <c r="AI25" s="302"/>
      <c r="AJ25" s="302"/>
      <c r="AK25" s="1865"/>
      <c r="AL25" s="302"/>
      <c r="AM25" s="1865"/>
      <c r="AN25" s="1866"/>
    </row>
    <row r="26" spans="1:40" s="104" customFormat="1" ht="15" customHeight="1" x14ac:dyDescent="0.2">
      <c r="A26" s="302"/>
      <c r="B26" s="1646"/>
      <c r="C26" s="303"/>
      <c r="D26" s="1646"/>
      <c r="E26" s="303"/>
      <c r="F26" s="1860"/>
      <c r="G26" s="303"/>
      <c r="H26" s="1861"/>
      <c r="I26" s="302"/>
      <c r="J26" s="1862"/>
      <c r="K26" s="303"/>
      <c r="L26" s="1863">
        <f t="shared" si="0"/>
        <v>0</v>
      </c>
      <c r="M26" s="303"/>
      <c r="N26" s="1646"/>
      <c r="O26" s="303"/>
      <c r="P26" s="1863">
        <f t="shared" si="1"/>
        <v>0</v>
      </c>
      <c r="Q26" s="302"/>
      <c r="R26" s="1864">
        <f t="shared" si="2"/>
        <v>0</v>
      </c>
      <c r="S26" s="302"/>
      <c r="T26" s="1862"/>
      <c r="U26" s="313"/>
      <c r="V26" s="1142"/>
      <c r="W26" s="1142"/>
      <c r="X26" s="1142"/>
      <c r="Y26" s="1142"/>
      <c r="Z26" s="1142"/>
      <c r="AA26" s="1142"/>
      <c r="AB26" s="1142"/>
      <c r="AC26" s="302"/>
      <c r="AD26" s="302"/>
      <c r="AE26" s="302"/>
      <c r="AF26" s="302"/>
      <c r="AG26" s="1865"/>
      <c r="AH26" s="1866"/>
      <c r="AI26" s="302"/>
      <c r="AJ26" s="302"/>
      <c r="AK26" s="1865"/>
      <c r="AL26" s="302"/>
      <c r="AM26" s="1865"/>
      <c r="AN26" s="1866"/>
    </row>
    <row r="27" spans="1:40" s="104" customFormat="1" ht="15" customHeight="1" x14ac:dyDescent="0.2">
      <c r="A27" s="302"/>
      <c r="B27" s="1646"/>
      <c r="C27" s="303"/>
      <c r="D27" s="1646"/>
      <c r="E27" s="303"/>
      <c r="F27" s="1860"/>
      <c r="G27" s="303"/>
      <c r="H27" s="1861"/>
      <c r="I27" s="302"/>
      <c r="J27" s="1862"/>
      <c r="K27" s="303"/>
      <c r="L27" s="1863">
        <f t="shared" si="0"/>
        <v>0</v>
      </c>
      <c r="M27" s="303"/>
      <c r="N27" s="1646"/>
      <c r="O27" s="303"/>
      <c r="P27" s="1863">
        <f t="shared" si="1"/>
        <v>0</v>
      </c>
      <c r="Q27" s="302"/>
      <c r="R27" s="1864">
        <f t="shared" si="2"/>
        <v>0</v>
      </c>
      <c r="S27" s="302"/>
      <c r="T27" s="1862"/>
      <c r="U27" s="313"/>
      <c r="V27" s="1142"/>
      <c r="W27" s="1142"/>
      <c r="X27" s="1142"/>
      <c r="Y27" s="1142"/>
      <c r="Z27" s="1142"/>
      <c r="AA27" s="1142"/>
      <c r="AB27" s="1142"/>
      <c r="AC27" s="302"/>
      <c r="AD27" s="302"/>
      <c r="AE27" s="302"/>
      <c r="AF27" s="302"/>
      <c r="AG27" s="1865"/>
      <c r="AH27" s="1866"/>
      <c r="AI27" s="302"/>
      <c r="AJ27" s="302"/>
      <c r="AK27" s="1865"/>
      <c r="AL27" s="302"/>
      <c r="AM27" s="1865"/>
      <c r="AN27" s="1866"/>
    </row>
    <row r="28" spans="1:40" s="104" customFormat="1" ht="15" customHeight="1" x14ac:dyDescent="0.2">
      <c r="A28" s="302"/>
      <c r="B28" s="1646"/>
      <c r="C28" s="303"/>
      <c r="D28" s="1646"/>
      <c r="E28" s="303"/>
      <c r="F28" s="1860"/>
      <c r="G28" s="303"/>
      <c r="H28" s="1861"/>
      <c r="I28" s="302"/>
      <c r="J28" s="1862"/>
      <c r="K28" s="303"/>
      <c r="L28" s="1863">
        <f t="shared" si="0"/>
        <v>0</v>
      </c>
      <c r="M28" s="303"/>
      <c r="N28" s="1646"/>
      <c r="O28" s="303"/>
      <c r="P28" s="1863">
        <f t="shared" si="1"/>
        <v>0</v>
      </c>
      <c r="Q28" s="302"/>
      <c r="R28" s="1864">
        <f t="shared" si="2"/>
        <v>0</v>
      </c>
      <c r="S28" s="302"/>
      <c r="T28" s="1862"/>
      <c r="U28" s="313"/>
      <c r="V28" s="1142"/>
      <c r="W28" s="1142"/>
      <c r="X28" s="1142"/>
      <c r="Y28" s="1142"/>
      <c r="Z28" s="1142"/>
      <c r="AA28" s="1142"/>
      <c r="AB28" s="1142"/>
      <c r="AC28" s="302"/>
      <c r="AD28" s="302"/>
      <c r="AE28" s="302"/>
      <c r="AF28" s="302"/>
      <c r="AG28" s="1865"/>
      <c r="AH28" s="1866"/>
      <c r="AI28" s="302"/>
      <c r="AJ28" s="302"/>
      <c r="AK28" s="1865"/>
      <c r="AL28" s="302"/>
      <c r="AM28" s="1865"/>
      <c r="AN28" s="1866"/>
    </row>
    <row r="29" spans="1:40" s="104" customFormat="1" ht="15" customHeight="1" x14ac:dyDescent="0.2">
      <c r="A29" s="302"/>
      <c r="B29" s="1646"/>
      <c r="C29" s="303"/>
      <c r="D29" s="1646"/>
      <c r="E29" s="303"/>
      <c r="F29" s="1860"/>
      <c r="G29" s="303"/>
      <c r="H29" s="1861"/>
      <c r="I29" s="302"/>
      <c r="J29" s="1862"/>
      <c r="K29" s="303"/>
      <c r="L29" s="1863">
        <f t="shared" si="0"/>
        <v>0</v>
      </c>
      <c r="M29" s="303"/>
      <c r="N29" s="1646"/>
      <c r="O29" s="303"/>
      <c r="P29" s="1863">
        <f t="shared" si="1"/>
        <v>0</v>
      </c>
      <c r="Q29" s="302"/>
      <c r="R29" s="1864">
        <f t="shared" si="2"/>
        <v>0</v>
      </c>
      <c r="S29" s="302"/>
      <c r="T29" s="1862"/>
      <c r="U29" s="313"/>
      <c r="V29" s="1142"/>
      <c r="W29" s="1142"/>
      <c r="X29" s="1142"/>
      <c r="Y29" s="1142"/>
      <c r="Z29" s="1142"/>
      <c r="AA29" s="1142"/>
      <c r="AB29" s="1142"/>
      <c r="AC29" s="302"/>
      <c r="AD29" s="302"/>
      <c r="AE29" s="302"/>
      <c r="AF29" s="302"/>
      <c r="AG29" s="1865"/>
      <c r="AH29" s="1866"/>
      <c r="AI29" s="302"/>
      <c r="AJ29" s="302"/>
      <c r="AK29" s="1865"/>
      <c r="AL29" s="302"/>
      <c r="AM29" s="1865"/>
      <c r="AN29" s="1866"/>
    </row>
    <row r="30" spans="1:40" s="104" customFormat="1" ht="15" customHeight="1" x14ac:dyDescent="0.2">
      <c r="A30" s="302"/>
      <c r="B30" s="1646"/>
      <c r="C30" s="303"/>
      <c r="D30" s="1646"/>
      <c r="E30" s="303"/>
      <c r="F30" s="1860"/>
      <c r="G30" s="303"/>
      <c r="H30" s="1861"/>
      <c r="I30" s="302"/>
      <c r="J30" s="1862"/>
      <c r="K30" s="303"/>
      <c r="L30" s="1863">
        <f t="shared" si="0"/>
        <v>0</v>
      </c>
      <c r="M30" s="303"/>
      <c r="N30" s="1646"/>
      <c r="O30" s="303"/>
      <c r="P30" s="1863">
        <f t="shared" si="1"/>
        <v>0</v>
      </c>
      <c r="Q30" s="302"/>
      <c r="R30" s="1864">
        <f t="shared" si="2"/>
        <v>0</v>
      </c>
      <c r="S30" s="302"/>
      <c r="T30" s="1862"/>
      <c r="U30" s="313"/>
      <c r="V30" s="1142"/>
      <c r="W30" s="1142"/>
      <c r="X30" s="1142"/>
      <c r="Y30" s="1142"/>
      <c r="Z30" s="1142"/>
      <c r="AA30" s="1142"/>
      <c r="AB30" s="1142"/>
      <c r="AC30" s="302"/>
      <c r="AD30" s="302"/>
      <c r="AE30" s="302"/>
      <c r="AF30" s="302"/>
      <c r="AG30" s="1865"/>
      <c r="AH30" s="1866"/>
      <c r="AI30" s="302"/>
      <c r="AJ30" s="302"/>
      <c r="AK30" s="1865"/>
      <c r="AL30" s="302"/>
      <c r="AM30" s="1865"/>
      <c r="AN30" s="1866"/>
    </row>
    <row r="31" spans="1:40" s="104" customFormat="1" ht="15" customHeight="1" x14ac:dyDescent="0.2">
      <c r="A31" s="302"/>
      <c r="B31" s="1646"/>
      <c r="C31" s="303"/>
      <c r="D31" s="1646"/>
      <c r="E31" s="303"/>
      <c r="F31" s="1860"/>
      <c r="G31" s="303"/>
      <c r="H31" s="1861"/>
      <c r="I31" s="302"/>
      <c r="J31" s="1862"/>
      <c r="K31" s="303"/>
      <c r="L31" s="1863">
        <f t="shared" si="0"/>
        <v>0</v>
      </c>
      <c r="M31" s="303"/>
      <c r="N31" s="1646"/>
      <c r="O31" s="303"/>
      <c r="P31" s="1863">
        <f t="shared" si="1"/>
        <v>0</v>
      </c>
      <c r="Q31" s="302"/>
      <c r="R31" s="1864">
        <f t="shared" si="2"/>
        <v>0</v>
      </c>
      <c r="S31" s="302"/>
      <c r="T31" s="1862"/>
      <c r="U31" s="313"/>
      <c r="V31" s="1142"/>
      <c r="W31" s="1142"/>
      <c r="X31" s="1142"/>
      <c r="Y31" s="1142"/>
      <c r="Z31" s="1142"/>
      <c r="AA31" s="1142"/>
      <c r="AB31" s="1142"/>
      <c r="AC31" s="302"/>
      <c r="AD31" s="302"/>
      <c r="AE31" s="302"/>
      <c r="AF31" s="302"/>
      <c r="AG31" s="1865"/>
      <c r="AH31" s="1866"/>
      <c r="AI31" s="302"/>
      <c r="AJ31" s="302"/>
      <c r="AK31" s="1865"/>
      <c r="AL31" s="302"/>
      <c r="AM31" s="1865"/>
      <c r="AN31" s="1866"/>
    </row>
    <row r="32" spans="1:40" s="104" customFormat="1" ht="15" customHeight="1" thickBot="1" x14ac:dyDescent="0.25">
      <c r="A32" s="302"/>
      <c r="B32" s="302"/>
      <c r="C32" s="302"/>
      <c r="D32" s="103" t="s">
        <v>1829</v>
      </c>
      <c r="E32" s="103"/>
      <c r="F32" s="103"/>
      <c r="G32" s="103"/>
      <c r="H32" s="1867">
        <f>SUM(H12:H31)</f>
        <v>0</v>
      </c>
      <c r="I32" s="302"/>
      <c r="J32" s="302"/>
      <c r="K32" s="302"/>
      <c r="L32" s="302"/>
      <c r="M32" s="302"/>
      <c r="N32" s="103" t="s">
        <v>1830</v>
      </c>
      <c r="O32" s="103"/>
      <c r="P32" s="103"/>
      <c r="Q32" s="103"/>
      <c r="R32" s="1867">
        <f>SUM(R12:R31)</f>
        <v>0</v>
      </c>
      <c r="S32" s="302"/>
      <c r="T32" s="302"/>
      <c r="U32" s="1142"/>
      <c r="V32" s="1142"/>
      <c r="W32" s="1142"/>
      <c r="X32" s="1142"/>
      <c r="Y32" s="1142"/>
      <c r="Z32" s="1142"/>
      <c r="AA32" s="1142"/>
      <c r="AB32" s="1142"/>
      <c r="AC32" s="302"/>
      <c r="AD32" s="302"/>
      <c r="AE32" s="302"/>
      <c r="AF32" s="302"/>
      <c r="AG32" s="302"/>
      <c r="AH32" s="302"/>
      <c r="AI32" s="302"/>
      <c r="AJ32" s="302"/>
      <c r="AK32" s="302"/>
      <c r="AL32" s="302"/>
      <c r="AM32" s="302"/>
      <c r="AN32" s="302"/>
    </row>
    <row r="33" spans="1:40" s="104" customFormat="1" ht="18" customHeight="1" x14ac:dyDescent="0.2">
      <c r="A33" s="302"/>
      <c r="B33" s="302"/>
      <c r="C33" s="302"/>
      <c r="D33" s="103" t="s">
        <v>50</v>
      </c>
      <c r="E33" s="103"/>
      <c r="F33" s="103"/>
      <c r="G33" s="103"/>
      <c r="H33" s="103" t="s">
        <v>1831</v>
      </c>
      <c r="I33" s="302"/>
      <c r="J33" s="302"/>
      <c r="K33" s="302"/>
      <c r="L33" s="302"/>
      <c r="M33" s="302"/>
      <c r="N33" s="2736" t="str">
        <f>IF(R33&lt;&gt;0,"Out of Balance","")</f>
        <v/>
      </c>
      <c r="O33" s="2736"/>
      <c r="P33" s="2736"/>
      <c r="Q33" s="305"/>
      <c r="R33" s="1868">
        <f>+H32-R32</f>
        <v>0</v>
      </c>
      <c r="S33" s="302"/>
      <c r="T33" s="302"/>
      <c r="U33" s="302"/>
      <c r="V33" s="302"/>
      <c r="W33" s="302"/>
      <c r="X33" s="302"/>
      <c r="Y33" s="302"/>
      <c r="Z33" s="302"/>
      <c r="AA33" s="302"/>
      <c r="AB33" s="302"/>
      <c r="AC33" s="302"/>
      <c r="AD33" s="302"/>
      <c r="AE33" s="302"/>
      <c r="AF33" s="302"/>
      <c r="AG33" s="302"/>
      <c r="AH33" s="302"/>
      <c r="AI33" s="302"/>
      <c r="AJ33" s="302"/>
      <c r="AK33" s="302"/>
      <c r="AL33" s="302"/>
      <c r="AM33" s="302"/>
      <c r="AN33" s="302"/>
    </row>
    <row r="34" spans="1:40" s="104" customFormat="1" ht="15" customHeight="1" x14ac:dyDescent="0.2">
      <c r="A34" s="302"/>
      <c r="B34" s="1869" t="s">
        <v>1832</v>
      </c>
      <c r="C34" s="302"/>
      <c r="D34" s="103"/>
      <c r="E34" s="103"/>
      <c r="F34" s="103"/>
      <c r="G34" s="103"/>
      <c r="H34" s="302"/>
      <c r="I34" s="302"/>
      <c r="J34" s="302"/>
      <c r="K34" s="103"/>
      <c r="L34" s="302"/>
      <c r="M34" s="302"/>
      <c r="N34" s="302"/>
      <c r="O34" s="103"/>
      <c r="P34" s="103"/>
      <c r="Q34" s="103"/>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row>
    <row r="35" spans="1:40" s="104" customFormat="1" ht="15" customHeight="1" x14ac:dyDescent="0.2">
      <c r="A35" s="302"/>
      <c r="B35" s="106" t="s">
        <v>1833</v>
      </c>
      <c r="C35" s="302"/>
      <c r="D35" s="103"/>
      <c r="E35" s="103"/>
      <c r="F35" s="103"/>
      <c r="G35" s="103"/>
      <c r="H35" s="302"/>
      <c r="I35" s="302"/>
      <c r="J35" s="302"/>
      <c r="K35" s="103"/>
      <c r="L35" s="302"/>
      <c r="M35" s="302"/>
      <c r="N35" s="302"/>
      <c r="O35" s="103"/>
      <c r="P35" s="103"/>
      <c r="Q35" s="103"/>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row>
    <row r="36" spans="1:40" s="104" customFormat="1" ht="15" customHeight="1" x14ac:dyDescent="0.2">
      <c r="A36" s="302"/>
      <c r="B36" s="106"/>
      <c r="C36" s="302"/>
      <c r="D36" s="103"/>
      <c r="E36" s="103"/>
      <c r="F36" s="103"/>
      <c r="G36" s="103"/>
      <c r="H36" s="302"/>
      <c r="I36" s="302"/>
      <c r="J36" s="302"/>
      <c r="K36" s="103"/>
      <c r="L36" s="302"/>
      <c r="M36" s="302"/>
      <c r="N36" s="302"/>
      <c r="O36" s="103"/>
      <c r="P36" s="103"/>
      <c r="Q36" s="103"/>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row>
    <row r="37" spans="1:40" s="104" customFormat="1" ht="15" customHeight="1" x14ac:dyDescent="0.2">
      <c r="A37" s="302"/>
      <c r="B37" s="302"/>
      <c r="C37" s="302"/>
      <c r="D37" s="103"/>
      <c r="E37" s="103"/>
      <c r="F37" s="103"/>
      <c r="G37" s="103"/>
      <c r="H37" s="302"/>
      <c r="I37" s="302"/>
      <c r="J37" s="302"/>
      <c r="K37" s="103"/>
      <c r="L37" s="302"/>
      <c r="M37" s="302"/>
      <c r="N37" s="302"/>
      <c r="O37" s="103"/>
      <c r="P37" s="103"/>
      <c r="Q37" s="103"/>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row>
    <row r="38" spans="1:40" s="104" customFormat="1" ht="15" customHeight="1" x14ac:dyDescent="0.2">
      <c r="A38" s="445" t="str">
        <f ca="1">MID(CELL("filename",A1),FIND("]",CELL("filename",A1))+1,256)</f>
        <v>501</v>
      </c>
      <c r="B38" s="445" t="s">
        <v>636</v>
      </c>
      <c r="C38" s="302"/>
      <c r="D38" s="103"/>
      <c r="E38" s="103"/>
      <c r="F38" s="103"/>
      <c r="G38" s="103"/>
      <c r="H38" s="302"/>
      <c r="I38" s="302"/>
      <c r="J38" s="302"/>
      <c r="K38" s="103"/>
      <c r="L38" s="302"/>
      <c r="M38" s="302"/>
      <c r="N38" s="302"/>
      <c r="O38" s="103"/>
      <c r="P38" s="103"/>
      <c r="Q38" s="103"/>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row>
    <row r="39" spans="1:40" s="104" customFormat="1" ht="15" customHeight="1" x14ac:dyDescent="0.2">
      <c r="A39" s="445" t="s">
        <v>380</v>
      </c>
      <c r="B39" s="445" t="str">
        <f t="shared" ref="B39:B48" ca="1" si="3">IF(ISNA(INDEX(ErrorTable,MATCH($A$38&amp;$A39&amp;FALSE,ErrorKey,0),6)),"",INDEX(ErrorTable,MATCH($A$38&amp;$A39&amp;FALSE,ErrorKey,0),6))</f>
        <v/>
      </c>
      <c r="C39" s="302"/>
      <c r="D39" s="103"/>
      <c r="E39" s="103"/>
      <c r="F39" s="103"/>
      <c r="G39" s="103"/>
      <c r="H39" s="302"/>
      <c r="I39" s="302"/>
      <c r="J39" s="302"/>
      <c r="K39" s="103"/>
      <c r="L39" s="302"/>
      <c r="M39" s="302"/>
      <c r="N39" s="302"/>
      <c r="O39" s="103"/>
      <c r="P39" s="103"/>
      <c r="Q39" s="103"/>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row>
    <row r="40" spans="1:40" s="104" customFormat="1" ht="15" customHeight="1" x14ac:dyDescent="0.2">
      <c r="A40" s="445" t="s">
        <v>381</v>
      </c>
      <c r="B40" s="445" t="str">
        <f t="shared" ca="1" si="3"/>
        <v/>
      </c>
      <c r="C40" s="302"/>
      <c r="D40" s="103"/>
      <c r="E40" s="103"/>
      <c r="F40" s="103"/>
      <c r="G40" s="103"/>
      <c r="H40" s="302"/>
      <c r="I40" s="302"/>
      <c r="J40" s="302"/>
      <c r="K40" s="103"/>
      <c r="L40" s="302"/>
      <c r="M40" s="302"/>
      <c r="N40" s="302"/>
      <c r="O40" s="103"/>
      <c r="P40" s="103"/>
      <c r="Q40" s="103"/>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row>
    <row r="41" spans="1:40" s="104" customFormat="1" ht="15" customHeight="1" x14ac:dyDescent="0.2">
      <c r="A41" s="445" t="s">
        <v>382</v>
      </c>
      <c r="B41" s="445" t="str">
        <f t="shared" ca="1" si="3"/>
        <v/>
      </c>
      <c r="C41" s="302"/>
      <c r="D41" s="103"/>
      <c r="E41" s="103"/>
      <c r="F41" s="103"/>
      <c r="G41" s="103"/>
      <c r="H41" s="302"/>
      <c r="I41" s="302"/>
      <c r="J41" s="302"/>
      <c r="K41" s="103"/>
      <c r="L41" s="302"/>
      <c r="M41" s="302"/>
      <c r="N41" s="302"/>
      <c r="O41" s="103"/>
      <c r="P41" s="103"/>
      <c r="Q41" s="103"/>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row>
    <row r="42" spans="1:40" s="104" customFormat="1" ht="15" customHeight="1" x14ac:dyDescent="0.2">
      <c r="A42" s="445" t="s">
        <v>383</v>
      </c>
      <c r="B42" s="445" t="str">
        <f t="shared" ca="1" si="3"/>
        <v/>
      </c>
      <c r="C42" s="302"/>
      <c r="D42" s="103"/>
      <c r="E42" s="103"/>
      <c r="F42" s="103"/>
      <c r="G42" s="103"/>
      <c r="H42" s="302"/>
      <c r="I42" s="302"/>
      <c r="J42" s="302"/>
      <c r="K42" s="103"/>
      <c r="L42" s="302"/>
      <c r="M42" s="302"/>
      <c r="N42" s="302"/>
      <c r="O42" s="103"/>
      <c r="P42" s="103"/>
      <c r="Q42" s="103"/>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row>
    <row r="43" spans="1:40" ht="20.85" customHeight="1" x14ac:dyDescent="0.25">
      <c r="A43" s="445" t="s">
        <v>384</v>
      </c>
      <c r="B43" s="445" t="str">
        <f t="shared" ca="1" si="3"/>
        <v/>
      </c>
    </row>
    <row r="44" spans="1:40" ht="20.85" customHeight="1" x14ac:dyDescent="0.25">
      <c r="A44" s="445" t="s">
        <v>385</v>
      </c>
      <c r="B44" s="445" t="str">
        <f t="shared" ca="1" si="3"/>
        <v/>
      </c>
      <c r="D44" s="39" t="s">
        <v>50</v>
      </c>
      <c r="E44" s="39"/>
      <c r="F44" s="39"/>
      <c r="G44" s="39"/>
      <c r="H44" s="39"/>
      <c r="I44" s="39"/>
      <c r="J44" s="39"/>
      <c r="K44" s="39"/>
      <c r="L44" s="39"/>
      <c r="M44" s="39"/>
    </row>
    <row r="45" spans="1:40" ht="20.85" customHeight="1" x14ac:dyDescent="0.25">
      <c r="A45" s="445" t="s">
        <v>386</v>
      </c>
      <c r="B45" s="445" t="str">
        <f t="shared" ca="1" si="3"/>
        <v/>
      </c>
      <c r="D45" s="39" t="s">
        <v>50</v>
      </c>
      <c r="E45" s="39"/>
      <c r="F45" s="39"/>
      <c r="G45" s="39"/>
      <c r="M45" s="39"/>
      <c r="N45" s="38" t="s">
        <v>50</v>
      </c>
      <c r="O45" s="38"/>
      <c r="P45" s="38"/>
      <c r="Q45" s="38"/>
      <c r="U45" s="39" t="s">
        <v>50</v>
      </c>
      <c r="V45" s="39"/>
      <c r="W45" s="39"/>
    </row>
    <row r="46" spans="1:40" ht="20.85" customHeight="1" x14ac:dyDescent="0.25">
      <c r="A46" s="445" t="s">
        <v>387</v>
      </c>
      <c r="B46" s="445" t="str">
        <f t="shared" ca="1" si="3"/>
        <v/>
      </c>
    </row>
    <row r="47" spans="1:40" ht="20.85" customHeight="1" x14ac:dyDescent="0.25">
      <c r="A47" s="445" t="s">
        <v>388</v>
      </c>
      <c r="B47" s="445" t="str">
        <f t="shared" ca="1" si="3"/>
        <v/>
      </c>
    </row>
    <row r="48" spans="1:40" ht="20.85" customHeight="1" x14ac:dyDescent="0.25">
      <c r="A48" s="445" t="s">
        <v>389</v>
      </c>
      <c r="B48" s="445" t="str">
        <f t="shared" ca="1" si="3"/>
        <v/>
      </c>
    </row>
    <row r="49" spans="4:23" ht="20.85" customHeight="1" x14ac:dyDescent="0.25"/>
    <row r="50" spans="4:23" ht="20.85" customHeight="1" x14ac:dyDescent="0.25"/>
    <row r="51" spans="4:23" ht="20.85" customHeight="1" x14ac:dyDescent="0.25"/>
    <row r="52" spans="4:23" ht="20.85" customHeight="1" x14ac:dyDescent="0.25">
      <c r="D52" s="33" t="s">
        <v>50</v>
      </c>
    </row>
    <row r="53" spans="4:23" ht="20.85" customHeight="1" x14ac:dyDescent="0.25"/>
    <row r="54" spans="4:23" ht="20.85" customHeight="1" x14ac:dyDescent="0.25"/>
    <row r="55" spans="4:23" ht="20.85" customHeight="1" x14ac:dyDescent="0.25">
      <c r="D55" s="39" t="s">
        <v>50</v>
      </c>
      <c r="E55" s="39"/>
      <c r="F55" s="39"/>
      <c r="G55" s="39"/>
      <c r="M55" s="39"/>
      <c r="N55" s="38" t="s">
        <v>50</v>
      </c>
      <c r="O55" s="38"/>
      <c r="P55" s="38"/>
      <c r="Q55" s="38"/>
      <c r="U55" s="39" t="s">
        <v>50</v>
      </c>
      <c r="V55" s="39"/>
      <c r="W55" s="39"/>
    </row>
  </sheetData>
  <sheetProtection algorithmName="SHA-512" hashValue="LV5RuHwYOHb/zmYocbAR3afTWlqlEP/6u3jRamzXGD5Ymr9azN+Zpg9CPDDbBKoUuuew9kyyyImXnmRR8u23rQ==" saltValue="CmqGu+rXV8IsFjEDDoCtOA==" spinCount="100000" sheet="1" objects="1" scenarios="1" autoFilter="0"/>
  <dataConsolidate link="1"/>
  <customSheetViews>
    <customSheetView guid="{9FCFC836-1CA5-48BF-958D-24D2EA94B219}" showGridLines="0"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hiddenColumns="1" showRuler="0">
      <selection sqref="A1:U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hiddenColumns="1" showRuler="0">
      <selection sqref="A1:U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7">
    <mergeCell ref="N33:P33"/>
    <mergeCell ref="O6:T6"/>
    <mergeCell ref="B1:T1"/>
    <mergeCell ref="B3:T3"/>
    <mergeCell ref="B4:T4"/>
    <mergeCell ref="E6:H6"/>
    <mergeCell ref="O7:T7"/>
  </mergeCells>
  <phoneticPr fontId="16" type="noConversion"/>
  <conditionalFormatting sqref="U1:W3">
    <cfRule type="cellIs" dxfId="72" priority="1" stopIfTrue="1" operator="equal">
      <formula>"na"</formula>
    </cfRule>
  </conditionalFormatting>
  <dataValidations count="1">
    <dataValidation type="textLength" operator="equal" allowBlank="1" showInputMessage="1" showErrorMessage="1" errorTitle="Invalid data!" error="GASB number must be 4 digits." sqref="B12:B31" xr:uid="{00000000-0002-0000-2600-000000000000}">
      <formula1>4</formula1>
    </dataValidation>
  </dataValidations>
  <hyperlinks>
    <hyperlink ref="B1:T1" location="Index!A1" display="Index!A1" xr:uid="{00000000-0004-0000-2600-000000000000}"/>
  </hyperlinks>
  <pageMargins left="0.6" right="0.6" top="0.5" bottom="0.5" header="0.3" footer="0.3"/>
  <pageSetup scale="99" orientation="landscape"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S52"/>
  <sheetViews>
    <sheetView showGridLines="0" topLeftCell="B1" zoomScaleNormal="100" workbookViewId="0">
      <selection activeCell="B1" sqref="B1:Q1"/>
    </sheetView>
  </sheetViews>
  <sheetFormatPr defaultColWidth="9.42578125" defaultRowHeight="15.75" x14ac:dyDescent="0.25"/>
  <cols>
    <col min="1" max="1" width="0" style="477" hidden="1" customWidth="1"/>
    <col min="2" max="2" width="13.42578125" style="477" customWidth="1"/>
    <col min="3" max="3" width="1" style="477" customWidth="1"/>
    <col min="4" max="4" width="11.42578125" style="477" customWidth="1"/>
    <col min="5" max="5" width="1" style="477" customWidth="1"/>
    <col min="6" max="6" width="9.85546875" style="477" customWidth="1"/>
    <col min="7" max="7" width="1" style="477" customWidth="1"/>
    <col min="8" max="8" width="20.85546875" style="477" customWidth="1"/>
    <col min="9" max="9" width="1" style="477" customWidth="1"/>
    <col min="10" max="10" width="20.5703125" style="477" customWidth="1"/>
    <col min="11" max="11" width="1.7109375" style="477" customWidth="1"/>
    <col min="12" max="12" width="1.42578125" style="477" customWidth="1"/>
    <col min="13" max="13" width="16.42578125" style="477" customWidth="1"/>
    <col min="14" max="14" width="1.42578125" style="477" customWidth="1"/>
    <col min="15" max="15" width="16.42578125" style="477" customWidth="1"/>
    <col min="16" max="16" width="1.28515625" style="477" customWidth="1"/>
    <col min="17" max="17" width="28.140625" style="477" customWidth="1"/>
    <col min="18" max="18" width="4.42578125" style="477" customWidth="1"/>
    <col min="19" max="16384" width="9.42578125" style="477"/>
  </cols>
  <sheetData>
    <row r="1" spans="2:19" ht="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455"/>
      <c r="R1" s="2520" t="str">
        <f>IF(Index!$B$66="na","NA","")</f>
        <v/>
      </c>
      <c r="S1" s="2744"/>
    </row>
    <row r="2" spans="2:19" ht="15" customHeight="1" x14ac:dyDescent="0.25">
      <c r="B2" s="2742" t="str">
        <f>+Index!$A$2</f>
        <v>2023 ACFR Worksheets</v>
      </c>
      <c r="C2" s="2742"/>
      <c r="D2" s="2742"/>
      <c r="E2" s="2742"/>
      <c r="F2" s="2742"/>
      <c r="G2" s="2742"/>
      <c r="H2" s="2742"/>
      <c r="I2" s="2742"/>
      <c r="J2" s="2742"/>
      <c r="K2" s="2742"/>
      <c r="L2" s="2742"/>
      <c r="M2" s="2742"/>
      <c r="N2" s="2742"/>
      <c r="O2" s="2742"/>
      <c r="P2" s="2742"/>
      <c r="Q2" s="2742"/>
      <c r="R2" s="2520"/>
      <c r="S2" s="2744"/>
    </row>
    <row r="3" spans="2:19" ht="15" customHeight="1" x14ac:dyDescent="0.25">
      <c r="B3" s="2742" t="s">
        <v>1834</v>
      </c>
      <c r="C3" s="2742"/>
      <c r="D3" s="2742"/>
      <c r="E3" s="2742"/>
      <c r="F3" s="2742"/>
      <c r="G3" s="2742"/>
      <c r="H3" s="2742"/>
      <c r="I3" s="2742"/>
      <c r="J3" s="2742"/>
      <c r="K3" s="2742"/>
      <c r="L3" s="2742"/>
      <c r="M3" s="2742"/>
      <c r="N3" s="2742"/>
      <c r="O3" s="2742"/>
      <c r="P3" s="2742"/>
      <c r="Q3" s="2742"/>
      <c r="R3" s="2520"/>
      <c r="S3" s="2744"/>
    </row>
    <row r="4" spans="2:19" ht="15" customHeight="1" x14ac:dyDescent="0.25">
      <c r="B4" s="2742" t="s">
        <v>1835</v>
      </c>
      <c r="C4" s="2742"/>
      <c r="D4" s="2742"/>
      <c r="E4" s="2742"/>
      <c r="F4" s="2742"/>
      <c r="G4" s="2742"/>
      <c r="H4" s="2742"/>
      <c r="I4" s="2742"/>
      <c r="J4" s="2742"/>
      <c r="K4" s="2742"/>
      <c r="L4" s="2742"/>
      <c r="M4" s="2742"/>
      <c r="N4" s="2742"/>
      <c r="O4" s="2742"/>
      <c r="P4" s="2742"/>
      <c r="Q4" s="2742"/>
      <c r="R4" s="1870"/>
      <c r="S4" s="1870"/>
    </row>
    <row r="5" spans="2:19" ht="15" customHeight="1" x14ac:dyDescent="0.25">
      <c r="B5" s="2747" t="s">
        <v>1836</v>
      </c>
      <c r="C5" s="2747"/>
      <c r="D5" s="2747"/>
      <c r="E5" s="2747"/>
      <c r="F5" s="2747"/>
      <c r="G5" s="2747"/>
      <c r="H5" s="2747"/>
      <c r="I5" s="2747"/>
      <c r="J5" s="2747"/>
      <c r="K5" s="2747"/>
      <c r="L5" s="2747"/>
      <c r="M5" s="2747"/>
      <c r="N5" s="2747"/>
      <c r="O5" s="2747"/>
      <c r="P5" s="2747"/>
      <c r="Q5" s="2747"/>
      <c r="R5" s="1870"/>
      <c r="S5" s="1870"/>
    </row>
    <row r="6" spans="2:19" ht="15" customHeight="1" x14ac:dyDescent="0.25">
      <c r="B6" s="1248"/>
      <c r="C6" s="311"/>
      <c r="D6" s="1871"/>
      <c r="E6" s="1871"/>
      <c r="F6" s="1871"/>
      <c r="G6" s="1871"/>
      <c r="H6" s="1871"/>
      <c r="I6" s="1871"/>
      <c r="J6" s="1871"/>
      <c r="K6" s="1871"/>
      <c r="L6" s="1871"/>
      <c r="M6" s="430" t="s">
        <v>1837</v>
      </c>
      <c r="N6" s="430"/>
      <c r="O6" s="1993"/>
      <c r="P6" s="1871"/>
      <c r="Q6" s="1994"/>
      <c r="R6" s="1248"/>
      <c r="S6" s="1870"/>
    </row>
    <row r="7" spans="2:19" ht="15" customHeight="1" x14ac:dyDescent="0.25">
      <c r="B7" s="1872" t="s">
        <v>317</v>
      </c>
      <c r="C7" s="1248"/>
      <c r="D7" s="2745" t="str">
        <f>+Index!$E$10</f>
        <v>01</v>
      </c>
      <c r="E7" s="2745"/>
      <c r="F7" s="2745"/>
      <c r="G7" s="2745"/>
      <c r="H7" s="1873"/>
      <c r="I7" s="1248"/>
      <c r="J7" s="1248"/>
      <c r="K7" s="1874" t="s">
        <v>319</v>
      </c>
      <c r="L7" s="2737" t="str">
        <f>CONCATENATE(Index!$E$12," ",Index!$E$14)</f>
        <v xml:space="preserve"> </v>
      </c>
      <c r="M7" s="2737"/>
      <c r="N7" s="2737"/>
      <c r="O7" s="2737"/>
      <c r="P7" s="2737"/>
      <c r="Q7" s="482"/>
      <c r="R7" s="1870"/>
      <c r="S7" s="1870"/>
    </row>
    <row r="8" spans="2:19" ht="15" customHeight="1" x14ac:dyDescent="0.25">
      <c r="B8" s="1872" t="s">
        <v>318</v>
      </c>
      <c r="C8" s="1248"/>
      <c r="D8" s="2745" t="str">
        <f>+Index!$E$11</f>
        <v>North Carolina General Assembly</v>
      </c>
      <c r="E8" s="2745"/>
      <c r="F8" s="2745"/>
      <c r="G8" s="2745"/>
      <c r="H8" s="2745"/>
      <c r="I8" s="1248"/>
      <c r="J8" s="1248"/>
      <c r="K8" s="1874" t="s">
        <v>71</v>
      </c>
      <c r="L8" s="2746">
        <f>+Index!$E$13</f>
        <v>0</v>
      </c>
      <c r="M8" s="2746"/>
      <c r="N8" s="2746"/>
      <c r="O8" s="2746"/>
      <c r="P8" s="2746"/>
      <c r="Q8" s="482"/>
      <c r="R8" s="1870"/>
      <c r="S8" s="1870"/>
    </row>
    <row r="9" spans="2:19" ht="15" customHeight="1" x14ac:dyDescent="0.25">
      <c r="B9" s="1872" t="s">
        <v>1838</v>
      </c>
      <c r="C9" s="1248"/>
      <c r="D9" s="918"/>
      <c r="E9" s="1248"/>
      <c r="F9" s="1248"/>
      <c r="G9" s="1248"/>
      <c r="H9" s="1248"/>
      <c r="I9" s="1248"/>
      <c r="J9" s="1248"/>
      <c r="K9" s="1248"/>
      <c r="L9" s="1248"/>
      <c r="M9" s="1248"/>
      <c r="N9" s="1248"/>
      <c r="O9" s="1248"/>
      <c r="P9" s="1248"/>
      <c r="Q9" s="1875"/>
      <c r="R9" s="1870"/>
      <c r="S9" s="1870"/>
    </row>
    <row r="10" spans="2:19" ht="11.25" customHeight="1" thickBot="1" x14ac:dyDescent="0.3">
      <c r="B10" s="1876"/>
      <c r="C10" s="1877"/>
      <c r="D10" s="1876"/>
      <c r="E10" s="1876"/>
      <c r="F10" s="479"/>
      <c r="G10" s="1876"/>
      <c r="H10" s="479"/>
      <c r="I10" s="1878"/>
      <c r="J10" s="2743"/>
      <c r="K10" s="2743"/>
      <c r="L10" s="2743"/>
      <c r="M10" s="2743"/>
      <c r="N10" s="2314"/>
      <c r="O10" s="2314"/>
      <c r="P10" s="1878"/>
      <c r="Q10" s="484"/>
      <c r="R10" s="1870"/>
      <c r="S10" s="1870"/>
    </row>
    <row r="11" spans="2:19" ht="14.1" customHeight="1" thickBot="1" x14ac:dyDescent="0.3">
      <c r="B11" s="1544" t="s">
        <v>1823</v>
      </c>
      <c r="C11" s="1544"/>
      <c r="D11" s="1544" t="s">
        <v>1824</v>
      </c>
      <c r="E11" s="1879"/>
      <c r="F11" s="1544" t="s">
        <v>1824</v>
      </c>
      <c r="G11" s="1879"/>
      <c r="H11" s="1545"/>
      <c r="I11" s="1880"/>
      <c r="J11" s="2741" t="s">
        <v>1839</v>
      </c>
      <c r="K11" s="2741"/>
      <c r="L11" s="2741"/>
      <c r="M11" s="2741"/>
      <c r="N11" s="2741"/>
      <c r="O11" s="2741"/>
      <c r="P11" s="1880"/>
      <c r="Q11" s="483"/>
      <c r="R11" s="1870"/>
      <c r="S11" s="1870"/>
    </row>
    <row r="12" spans="2:19" ht="14.1" customHeight="1" x14ac:dyDescent="0.25">
      <c r="B12" s="1544" t="s">
        <v>748</v>
      </c>
      <c r="C12" s="1544"/>
      <c r="D12" s="1544" t="s">
        <v>1840</v>
      </c>
      <c r="E12" s="1879"/>
      <c r="F12" s="1544" t="s">
        <v>1596</v>
      </c>
      <c r="G12" s="1879"/>
      <c r="H12" s="1545"/>
      <c r="I12" s="1880"/>
      <c r="J12" s="1881"/>
      <c r="K12" s="1881"/>
      <c r="L12" s="1881"/>
      <c r="M12" s="1546" t="s">
        <v>1841</v>
      </c>
      <c r="N12" s="1546"/>
      <c r="O12" s="1546" t="s">
        <v>1842</v>
      </c>
      <c r="P12" s="1880"/>
      <c r="Q12" s="483"/>
      <c r="R12" s="1870"/>
      <c r="S12" s="1870"/>
    </row>
    <row r="13" spans="2:19" ht="14.1" customHeight="1" thickBot="1" x14ac:dyDescent="0.3">
      <c r="B13" s="1882" t="s">
        <v>1843</v>
      </c>
      <c r="C13" s="1544"/>
      <c r="D13" s="1882" t="s">
        <v>1700</v>
      </c>
      <c r="E13" s="483"/>
      <c r="F13" s="1882" t="s">
        <v>1700</v>
      </c>
      <c r="G13" s="483"/>
      <c r="H13" s="1547" t="s">
        <v>1347</v>
      </c>
      <c r="I13" s="1880"/>
      <c r="J13" s="1547" t="s">
        <v>1396</v>
      </c>
      <c r="K13" s="1548"/>
      <c r="L13" s="1549"/>
      <c r="M13" s="1547" t="s">
        <v>1844</v>
      </c>
      <c r="N13" s="1546"/>
      <c r="O13" s="1547" t="s">
        <v>670</v>
      </c>
      <c r="P13" s="1880"/>
      <c r="Q13" s="1547" t="s">
        <v>1845</v>
      </c>
      <c r="R13" s="1883" t="s">
        <v>50</v>
      </c>
      <c r="S13" s="1870"/>
    </row>
    <row r="14" spans="2:19" ht="17.25" customHeight="1" x14ac:dyDescent="0.25">
      <c r="B14" s="696"/>
      <c r="C14" s="1880"/>
      <c r="D14" s="697"/>
      <c r="E14" s="1880"/>
      <c r="F14" s="696"/>
      <c r="G14" s="478"/>
      <c r="H14" s="480"/>
      <c r="I14" s="483"/>
      <c r="J14" s="696"/>
      <c r="K14" s="481"/>
      <c r="L14" s="699"/>
      <c r="M14" s="696"/>
      <c r="N14" s="1554"/>
      <c r="O14" s="1648"/>
      <c r="P14" s="483"/>
      <c r="Q14" s="1647"/>
      <c r="R14" s="1870"/>
      <c r="S14" s="1870"/>
    </row>
    <row r="15" spans="2:19" ht="17.25" customHeight="1" x14ac:dyDescent="0.25">
      <c r="B15" s="696"/>
      <c r="C15" s="1880"/>
      <c r="D15" s="697"/>
      <c r="E15" s="1880"/>
      <c r="F15" s="481"/>
      <c r="G15" s="478"/>
      <c r="H15" s="480"/>
      <c r="I15" s="483"/>
      <c r="J15" s="481"/>
      <c r="K15" s="481"/>
      <c r="L15" s="699"/>
      <c r="M15" s="481"/>
      <c r="N15" s="1554"/>
      <c r="O15" s="1648"/>
      <c r="P15" s="483"/>
      <c r="Q15" s="482"/>
      <c r="R15" s="1870"/>
      <c r="S15" s="1870"/>
    </row>
    <row r="16" spans="2:19" ht="17.25" customHeight="1" x14ac:dyDescent="0.25">
      <c r="B16" s="696"/>
      <c r="C16" s="1880"/>
      <c r="D16" s="697"/>
      <c r="E16" s="1880"/>
      <c r="F16" s="481"/>
      <c r="G16" s="478"/>
      <c r="H16" s="480"/>
      <c r="I16" s="483"/>
      <c r="J16" s="481"/>
      <c r="K16" s="481"/>
      <c r="L16" s="699"/>
      <c r="M16" s="481"/>
      <c r="N16" s="1554"/>
      <c r="O16" s="1648"/>
      <c r="P16" s="483"/>
      <c r="Q16" s="482"/>
      <c r="R16" s="1870"/>
      <c r="S16" s="1870"/>
    </row>
    <row r="17" spans="2:19" ht="17.25" customHeight="1" x14ac:dyDescent="0.25">
      <c r="B17" s="696"/>
      <c r="C17" s="1880"/>
      <c r="D17" s="697"/>
      <c r="E17" s="1880"/>
      <c r="F17" s="481"/>
      <c r="G17" s="478"/>
      <c r="H17" s="480"/>
      <c r="I17" s="483"/>
      <c r="J17" s="481"/>
      <c r="K17" s="481"/>
      <c r="L17" s="699"/>
      <c r="M17" s="481"/>
      <c r="N17" s="1554"/>
      <c r="O17" s="1648"/>
      <c r="P17" s="483"/>
      <c r="Q17" s="482"/>
      <c r="R17" s="1870"/>
      <c r="S17" s="1870"/>
    </row>
    <row r="18" spans="2:19" ht="17.25" customHeight="1" x14ac:dyDescent="0.25">
      <c r="B18" s="696"/>
      <c r="C18" s="1880"/>
      <c r="D18" s="697"/>
      <c r="E18" s="1880"/>
      <c r="F18" s="481"/>
      <c r="G18" s="478"/>
      <c r="H18" s="480"/>
      <c r="I18" s="483"/>
      <c r="J18" s="481"/>
      <c r="K18" s="481"/>
      <c r="L18" s="699"/>
      <c r="M18" s="481"/>
      <c r="N18" s="1554"/>
      <c r="O18" s="1648"/>
      <c r="P18" s="483"/>
      <c r="Q18" s="482"/>
      <c r="R18" s="1870"/>
      <c r="S18" s="1870"/>
    </row>
    <row r="19" spans="2:19" ht="17.25" customHeight="1" x14ac:dyDescent="0.25">
      <c r="B19" s="696"/>
      <c r="C19" s="698"/>
      <c r="D19" s="697"/>
      <c r="E19" s="1880"/>
      <c r="F19" s="481"/>
      <c r="G19" s="478"/>
      <c r="H19" s="480"/>
      <c r="I19" s="483"/>
      <c r="J19" s="481"/>
      <c r="K19" s="481"/>
      <c r="L19" s="699"/>
      <c r="M19" s="481"/>
      <c r="N19" s="1554"/>
      <c r="O19" s="1648"/>
      <c r="P19" s="483"/>
      <c r="Q19" s="482"/>
      <c r="R19" s="1870"/>
      <c r="S19" s="1870"/>
    </row>
    <row r="20" spans="2:19" ht="17.25" customHeight="1" x14ac:dyDescent="0.25">
      <c r="B20" s="696"/>
      <c r="C20" s="698"/>
      <c r="D20" s="697"/>
      <c r="E20" s="1880"/>
      <c r="F20" s="481"/>
      <c r="G20" s="478"/>
      <c r="H20" s="480"/>
      <c r="I20" s="483"/>
      <c r="J20" s="481"/>
      <c r="K20" s="481"/>
      <c r="L20" s="699"/>
      <c r="M20" s="481"/>
      <c r="N20" s="1554"/>
      <c r="O20" s="1648"/>
      <c r="P20" s="483"/>
      <c r="Q20" s="482"/>
      <c r="R20" s="1870"/>
      <c r="S20" s="1870"/>
    </row>
    <row r="21" spans="2:19" ht="17.25" customHeight="1" x14ac:dyDescent="0.25">
      <c r="B21" s="696"/>
      <c r="C21" s="698"/>
      <c r="D21" s="697"/>
      <c r="E21" s="1880"/>
      <c r="F21" s="481"/>
      <c r="G21" s="478"/>
      <c r="H21" s="480"/>
      <c r="I21" s="483"/>
      <c r="J21" s="481"/>
      <c r="K21" s="481"/>
      <c r="L21" s="699"/>
      <c r="M21" s="481"/>
      <c r="N21" s="1554"/>
      <c r="O21" s="1648"/>
      <c r="P21" s="483"/>
      <c r="Q21" s="482"/>
      <c r="R21" s="1870"/>
      <c r="S21" s="1870"/>
    </row>
    <row r="22" spans="2:19" ht="17.25" customHeight="1" x14ac:dyDescent="0.25">
      <c r="B22" s="696"/>
      <c r="C22" s="1880"/>
      <c r="D22" s="697"/>
      <c r="E22" s="1880"/>
      <c r="F22" s="481"/>
      <c r="G22" s="478"/>
      <c r="H22" s="480"/>
      <c r="I22" s="483"/>
      <c r="J22" s="481"/>
      <c r="K22" s="481"/>
      <c r="L22" s="699"/>
      <c r="M22" s="481"/>
      <c r="N22" s="1554"/>
      <c r="O22" s="1648"/>
      <c r="P22" s="483"/>
      <c r="Q22" s="482"/>
      <c r="R22" s="1870"/>
      <c r="S22" s="1870"/>
    </row>
    <row r="23" spans="2:19" ht="17.25" customHeight="1" x14ac:dyDescent="0.25">
      <c r="B23" s="696"/>
      <c r="C23" s="1880"/>
      <c r="D23" s="697"/>
      <c r="E23" s="1880"/>
      <c r="F23" s="481"/>
      <c r="G23" s="478"/>
      <c r="H23" s="480"/>
      <c r="I23" s="483"/>
      <c r="J23" s="481"/>
      <c r="K23" s="481"/>
      <c r="L23" s="699"/>
      <c r="M23" s="481"/>
      <c r="N23" s="1554"/>
      <c r="O23" s="1648"/>
      <c r="P23" s="483"/>
      <c r="Q23" s="482"/>
      <c r="R23" s="1870"/>
      <c r="S23" s="1870"/>
    </row>
    <row r="24" spans="2:19" ht="17.25" customHeight="1" x14ac:dyDescent="0.25">
      <c r="B24" s="696"/>
      <c r="C24" s="1880"/>
      <c r="D24" s="697"/>
      <c r="E24" s="1880"/>
      <c r="F24" s="481"/>
      <c r="G24" s="478"/>
      <c r="H24" s="480"/>
      <c r="I24" s="483"/>
      <c r="J24" s="481"/>
      <c r="K24" s="481"/>
      <c r="L24" s="699"/>
      <c r="M24" s="481"/>
      <c r="N24" s="1554"/>
      <c r="O24" s="1648"/>
      <c r="P24" s="483"/>
      <c r="Q24" s="482"/>
      <c r="R24" s="1870"/>
      <c r="S24" s="1870"/>
    </row>
    <row r="25" spans="2:19" ht="17.25" customHeight="1" x14ac:dyDescent="0.25">
      <c r="B25" s="696"/>
      <c r="C25" s="1880"/>
      <c r="D25" s="697"/>
      <c r="E25" s="1880"/>
      <c r="F25" s="481"/>
      <c r="G25" s="478"/>
      <c r="H25" s="480"/>
      <c r="I25" s="483"/>
      <c r="J25" s="481"/>
      <c r="K25" s="481"/>
      <c r="L25" s="699"/>
      <c r="M25" s="481"/>
      <c r="N25" s="1554"/>
      <c r="O25" s="1648"/>
      <c r="P25" s="483"/>
      <c r="Q25" s="482"/>
      <c r="R25" s="1870"/>
      <c r="S25" s="1870"/>
    </row>
    <row r="26" spans="2:19" ht="17.25" customHeight="1" x14ac:dyDescent="0.25">
      <c r="B26" s="696"/>
      <c r="C26" s="1880"/>
      <c r="D26" s="697"/>
      <c r="E26" s="1880"/>
      <c r="F26" s="481"/>
      <c r="G26" s="478"/>
      <c r="H26" s="480"/>
      <c r="I26" s="483"/>
      <c r="J26" s="481"/>
      <c r="K26" s="481"/>
      <c r="L26" s="699"/>
      <c r="M26" s="481"/>
      <c r="N26" s="1554"/>
      <c r="O26" s="1648"/>
      <c r="P26" s="483"/>
      <c r="Q26" s="482"/>
      <c r="R26" s="1870"/>
      <c r="S26" s="1870"/>
    </row>
    <row r="27" spans="2:19" ht="17.25" customHeight="1" x14ac:dyDescent="0.25">
      <c r="B27" s="696"/>
      <c r="C27" s="1880"/>
      <c r="D27" s="697"/>
      <c r="E27" s="1880"/>
      <c r="F27" s="481"/>
      <c r="G27" s="478"/>
      <c r="H27" s="480"/>
      <c r="I27" s="483"/>
      <c r="J27" s="481"/>
      <c r="K27" s="481"/>
      <c r="L27" s="699"/>
      <c r="M27" s="481"/>
      <c r="N27" s="1554"/>
      <c r="O27" s="1648"/>
      <c r="P27" s="483"/>
      <c r="Q27" s="482"/>
      <c r="R27" s="1870"/>
      <c r="S27" s="1870"/>
    </row>
    <row r="28" spans="2:19" ht="17.25" customHeight="1" x14ac:dyDescent="0.25">
      <c r="B28" s="696"/>
      <c r="C28" s="1880"/>
      <c r="D28" s="697"/>
      <c r="E28" s="1880"/>
      <c r="F28" s="481"/>
      <c r="G28" s="478"/>
      <c r="H28" s="480"/>
      <c r="I28" s="483"/>
      <c r="J28" s="481"/>
      <c r="K28" s="481"/>
      <c r="L28" s="699"/>
      <c r="M28" s="481"/>
      <c r="N28" s="1554"/>
      <c r="O28" s="1648"/>
      <c r="P28" s="483"/>
      <c r="Q28" s="482"/>
      <c r="R28" s="1870"/>
      <c r="S28" s="1870"/>
    </row>
    <row r="29" spans="2:19" ht="17.25" customHeight="1" x14ac:dyDescent="0.25">
      <c r="B29" s="696"/>
      <c r="C29" s="1880"/>
      <c r="D29" s="697"/>
      <c r="E29" s="1880"/>
      <c r="F29" s="481"/>
      <c r="G29" s="478"/>
      <c r="H29" s="480"/>
      <c r="I29" s="483"/>
      <c r="J29" s="481"/>
      <c r="K29" s="481"/>
      <c r="L29" s="699"/>
      <c r="M29" s="481"/>
      <c r="N29" s="1554"/>
      <c r="O29" s="1648"/>
      <c r="P29" s="483"/>
      <c r="Q29" s="482"/>
      <c r="R29" s="1870"/>
      <c r="S29" s="1870"/>
    </row>
    <row r="30" spans="2:19" ht="17.25" customHeight="1" x14ac:dyDescent="0.25">
      <c r="B30" s="696"/>
      <c r="C30" s="1880"/>
      <c r="D30" s="697"/>
      <c r="E30" s="1880"/>
      <c r="F30" s="481"/>
      <c r="G30" s="478"/>
      <c r="H30" s="480"/>
      <c r="I30" s="483"/>
      <c r="J30" s="481"/>
      <c r="K30" s="481"/>
      <c r="L30" s="699"/>
      <c r="M30" s="481"/>
      <c r="N30" s="1554"/>
      <c r="O30" s="1648"/>
      <c r="P30" s="483"/>
      <c r="Q30" s="482"/>
      <c r="R30" s="1870"/>
      <c r="S30" s="1870"/>
    </row>
    <row r="31" spans="2:19" ht="17.25" customHeight="1" thickBot="1" x14ac:dyDescent="0.3">
      <c r="B31" s="1884"/>
      <c r="C31" s="1884"/>
      <c r="D31" s="483"/>
      <c r="E31" s="1880"/>
      <c r="F31" s="1880" t="s">
        <v>1846</v>
      </c>
      <c r="G31" s="483">
        <v>132</v>
      </c>
      <c r="H31" s="1542">
        <f>SUM(H14:H30)</f>
        <v>0</v>
      </c>
      <c r="I31" s="483"/>
      <c r="J31" s="312" t="s">
        <v>1847</v>
      </c>
      <c r="K31" s="483"/>
      <c r="L31" s="1880"/>
      <c r="M31" s="483"/>
      <c r="N31" s="483"/>
      <c r="O31" s="483"/>
      <c r="P31" s="483"/>
      <c r="Q31" s="483"/>
      <c r="R31" s="1870"/>
      <c r="S31" s="1870"/>
    </row>
    <row r="32" spans="2:19" ht="18" customHeight="1" x14ac:dyDescent="0.25">
      <c r="B32" s="1543" t="s">
        <v>1832</v>
      </c>
      <c r="C32" s="1884"/>
      <c r="D32" s="483"/>
      <c r="E32" s="483"/>
      <c r="F32" s="483"/>
      <c r="G32" s="1880"/>
      <c r="H32" s="483"/>
      <c r="I32" s="483"/>
      <c r="J32" s="483"/>
      <c r="K32" s="483"/>
      <c r="L32" s="483"/>
      <c r="M32" s="483"/>
      <c r="N32" s="483"/>
      <c r="O32" s="483"/>
      <c r="P32" s="478"/>
      <c r="Q32" s="1885"/>
      <c r="R32" s="1870"/>
      <c r="S32" s="1870"/>
    </row>
    <row r="33" spans="1:18" ht="26.1" customHeight="1" x14ac:dyDescent="0.25">
      <c r="A33" s="1870"/>
      <c r="B33" s="1870"/>
      <c r="C33" s="1870"/>
      <c r="D33" s="1870"/>
      <c r="E33" s="1870"/>
      <c r="F33" s="1870"/>
      <c r="G33" s="1870"/>
      <c r="H33" s="1870"/>
      <c r="I33" s="1870"/>
      <c r="J33" s="1870"/>
      <c r="K33" s="1870"/>
      <c r="L33" s="1870"/>
      <c r="M33" s="1870"/>
      <c r="N33" s="1870"/>
      <c r="O33" s="1870"/>
      <c r="P33" s="1870"/>
      <c r="Q33" s="1870"/>
      <c r="R33" s="1870"/>
    </row>
    <row r="34" spans="1:18" ht="26.1" customHeight="1" x14ac:dyDescent="0.25">
      <c r="A34" s="445">
        <v>505</v>
      </c>
      <c r="B34" s="445" t="s">
        <v>636</v>
      </c>
      <c r="C34" s="1870"/>
      <c r="D34" s="1870"/>
      <c r="E34" s="1870"/>
      <c r="F34" s="1870"/>
      <c r="G34" s="1870"/>
      <c r="H34" s="1870"/>
      <c r="I34" s="1870"/>
      <c r="J34" s="1870"/>
      <c r="K34" s="1870"/>
      <c r="L34" s="1870"/>
      <c r="M34" s="1870"/>
      <c r="N34" s="1870"/>
      <c r="O34" s="1870"/>
      <c r="P34" s="1870"/>
      <c r="Q34" s="1870"/>
      <c r="R34" s="1870"/>
    </row>
    <row r="35" spans="1:18" ht="20.85" customHeight="1" x14ac:dyDescent="0.25">
      <c r="A35" s="445" t="s">
        <v>380</v>
      </c>
      <c r="B35" s="445" t="str">
        <f t="shared" ref="B35:B44" ca="1" si="0">IF(ISNA(INDEX(ErrorTable,MATCH($A$34&amp;$A35&amp;FALSE,ErrorKey,0),6)),"",INDEX(ErrorTable,MATCH($A$34&amp;$A35&amp;FALSE,ErrorKey,0),6))</f>
        <v>GASB number is blank.</v>
      </c>
      <c r="C35" s="1870"/>
      <c r="D35" s="1870"/>
      <c r="E35" s="1870"/>
      <c r="F35" s="1870"/>
      <c r="G35" s="1870"/>
      <c r="H35" s="1870"/>
      <c r="I35" s="1870"/>
      <c r="J35" s="1870"/>
      <c r="K35" s="1870"/>
      <c r="L35" s="1870"/>
      <c r="M35" s="1870"/>
      <c r="N35" s="1870"/>
      <c r="O35" s="1870"/>
      <c r="P35" s="1870"/>
      <c r="Q35" s="1870"/>
      <c r="R35" s="1870"/>
    </row>
    <row r="36" spans="1:18" ht="20.85" customHeight="1" x14ac:dyDescent="0.25">
      <c r="A36" s="445" t="s">
        <v>381</v>
      </c>
      <c r="B36" s="445" t="str">
        <f t="shared" ca="1" si="0"/>
        <v/>
      </c>
      <c r="C36" s="1870"/>
      <c r="D36" s="1870"/>
      <c r="E36" s="1870"/>
      <c r="F36" s="1870"/>
      <c r="G36" s="1870"/>
      <c r="H36" s="1870"/>
      <c r="I36" s="1870"/>
      <c r="J36" s="1870"/>
      <c r="K36" s="1870"/>
      <c r="L36" s="1870"/>
      <c r="M36" s="1870"/>
      <c r="N36" s="1870"/>
      <c r="O36" s="1870"/>
      <c r="P36" s="1870"/>
      <c r="Q36" s="1870"/>
      <c r="R36" s="1870"/>
    </row>
    <row r="37" spans="1:18" ht="20.85" customHeight="1" x14ac:dyDescent="0.25">
      <c r="A37" s="445" t="s">
        <v>382</v>
      </c>
      <c r="B37" s="445" t="str">
        <f t="shared" ca="1" si="0"/>
        <v/>
      </c>
      <c r="C37" s="1870"/>
      <c r="D37" s="1870"/>
      <c r="E37" s="1870"/>
      <c r="F37" s="1870"/>
      <c r="G37" s="1870"/>
      <c r="H37" s="1870"/>
      <c r="I37" s="1870"/>
      <c r="J37" s="1870"/>
      <c r="K37" s="1870"/>
      <c r="L37" s="1870"/>
      <c r="M37" s="1870"/>
      <c r="N37" s="1870"/>
      <c r="O37" s="1870"/>
      <c r="P37" s="1870"/>
      <c r="Q37" s="1870"/>
      <c r="R37" s="1870"/>
    </row>
    <row r="38" spans="1:18" ht="20.85" customHeight="1" x14ac:dyDescent="0.25">
      <c r="A38" s="445" t="s">
        <v>383</v>
      </c>
      <c r="B38" s="445" t="str">
        <f t="shared" ca="1" si="0"/>
        <v/>
      </c>
      <c r="C38" s="1870"/>
      <c r="D38" s="1870"/>
      <c r="E38" s="1870"/>
      <c r="F38" s="1870"/>
      <c r="G38" s="1870"/>
      <c r="H38" s="1870"/>
      <c r="I38" s="1870"/>
      <c r="J38" s="1870"/>
      <c r="K38" s="1870"/>
      <c r="L38" s="1870"/>
      <c r="M38" s="1870"/>
      <c r="N38" s="1870"/>
      <c r="O38" s="1870"/>
      <c r="P38" s="1870"/>
      <c r="Q38" s="1870"/>
      <c r="R38" s="1870"/>
    </row>
    <row r="39" spans="1:18" ht="20.85" customHeight="1" x14ac:dyDescent="0.25">
      <c r="A39" s="445" t="s">
        <v>384</v>
      </c>
      <c r="B39" s="445" t="str">
        <f t="shared" ca="1" si="0"/>
        <v/>
      </c>
      <c r="C39" s="1870"/>
      <c r="D39" s="1870"/>
      <c r="E39" s="1870"/>
      <c r="F39" s="1870"/>
      <c r="G39" s="1870"/>
      <c r="H39" s="1870"/>
      <c r="I39" s="1870"/>
      <c r="J39" s="1870"/>
      <c r="K39" s="1870"/>
      <c r="L39" s="1870"/>
      <c r="M39" s="1870"/>
      <c r="N39" s="1870"/>
      <c r="O39" s="1870"/>
      <c r="P39" s="1870"/>
      <c r="Q39" s="1870"/>
      <c r="R39" s="1870"/>
    </row>
    <row r="40" spans="1:18" ht="20.85" customHeight="1" x14ac:dyDescent="0.25">
      <c r="A40" s="445" t="s">
        <v>385</v>
      </c>
      <c r="B40" s="445" t="str">
        <f t="shared" ca="1" si="0"/>
        <v/>
      </c>
      <c r="C40" s="1870"/>
      <c r="D40" s="1870"/>
      <c r="E40" s="1870"/>
      <c r="F40" s="1870"/>
      <c r="G40" s="1870"/>
      <c r="H40" s="1870"/>
      <c r="I40" s="1870"/>
      <c r="J40" s="1870"/>
      <c r="K40" s="1870"/>
      <c r="L40" s="1870"/>
      <c r="M40" s="1870"/>
      <c r="N40" s="1870"/>
      <c r="O40" s="1870"/>
      <c r="P40" s="1870"/>
      <c r="Q40" s="1870"/>
      <c r="R40" s="1870"/>
    </row>
    <row r="41" spans="1:18" ht="20.85" customHeight="1" x14ac:dyDescent="0.25">
      <c r="A41" s="445" t="s">
        <v>386</v>
      </c>
      <c r="B41" s="445" t="str">
        <f t="shared" ca="1" si="0"/>
        <v/>
      </c>
      <c r="C41" s="1870"/>
      <c r="D41" s="1886" t="s">
        <v>50</v>
      </c>
      <c r="E41" s="1886"/>
      <c r="F41" s="1886"/>
      <c r="G41" s="1886"/>
      <c r="H41" s="1886"/>
      <c r="I41" s="1886"/>
      <c r="J41" s="1886"/>
      <c r="K41" s="1886" t="s">
        <v>50</v>
      </c>
      <c r="L41" s="1870"/>
      <c r="M41" s="1870"/>
      <c r="N41" s="1870"/>
      <c r="O41" s="1870"/>
      <c r="P41" s="1870"/>
      <c r="Q41" s="1870"/>
      <c r="R41" s="1870"/>
    </row>
    <row r="42" spans="1:18" ht="20.85" customHeight="1" x14ac:dyDescent="0.25">
      <c r="A42" s="445" t="s">
        <v>387</v>
      </c>
      <c r="B42" s="445" t="str">
        <f t="shared" ca="1" si="0"/>
        <v/>
      </c>
      <c r="C42" s="1870"/>
      <c r="D42" s="1886" t="s">
        <v>50</v>
      </c>
      <c r="E42" s="1886"/>
      <c r="F42" s="1870"/>
      <c r="G42" s="1870"/>
      <c r="H42" s="1870"/>
      <c r="I42" s="1870"/>
      <c r="J42" s="1870"/>
      <c r="K42" s="1886" t="s">
        <v>50</v>
      </c>
      <c r="L42" s="1883"/>
      <c r="M42" s="1870"/>
      <c r="N42" s="1870"/>
      <c r="O42" s="1870"/>
      <c r="P42" s="1870"/>
      <c r="Q42" s="1870"/>
      <c r="R42" s="1886" t="s">
        <v>50</v>
      </c>
    </row>
    <row r="43" spans="1:18" ht="20.85" customHeight="1" x14ac:dyDescent="0.25">
      <c r="A43" s="445" t="s">
        <v>388</v>
      </c>
      <c r="B43" s="445" t="str">
        <f t="shared" ca="1" si="0"/>
        <v/>
      </c>
      <c r="C43" s="1870"/>
      <c r="D43" s="1870"/>
      <c r="E43" s="1870"/>
      <c r="F43" s="1870"/>
      <c r="G43" s="1870"/>
      <c r="H43" s="1870"/>
      <c r="I43" s="1870"/>
      <c r="J43" s="1870"/>
      <c r="K43" s="1870"/>
      <c r="L43" s="1870"/>
      <c r="M43" s="1870"/>
      <c r="N43" s="1870"/>
      <c r="O43" s="1870"/>
      <c r="P43" s="1870"/>
      <c r="Q43" s="1870"/>
      <c r="R43" s="1870"/>
    </row>
    <row r="44" spans="1:18" ht="20.85" customHeight="1" x14ac:dyDescent="0.25">
      <c r="A44" s="445" t="s">
        <v>389</v>
      </c>
      <c r="B44" s="445" t="str">
        <f t="shared" ca="1" si="0"/>
        <v/>
      </c>
      <c r="C44" s="1870"/>
      <c r="D44" s="1870"/>
      <c r="E44" s="1870"/>
      <c r="F44" s="1870"/>
      <c r="G44" s="1870"/>
      <c r="H44" s="1870"/>
      <c r="I44" s="1870"/>
      <c r="J44" s="1870"/>
      <c r="K44" s="1870"/>
      <c r="L44" s="1870"/>
      <c r="M44" s="1870"/>
      <c r="N44" s="1870"/>
      <c r="O44" s="1870"/>
      <c r="P44" s="1870"/>
      <c r="Q44" s="1870"/>
      <c r="R44" s="1870"/>
    </row>
    <row r="45" spans="1:18" ht="20.85" customHeight="1" x14ac:dyDescent="0.25">
      <c r="A45" s="1870"/>
      <c r="B45" s="1870"/>
      <c r="C45" s="1870"/>
      <c r="D45" s="1870"/>
      <c r="E45" s="1870"/>
      <c r="F45" s="1870"/>
      <c r="G45" s="1870"/>
      <c r="H45" s="1870"/>
      <c r="I45" s="1870"/>
      <c r="J45" s="1870"/>
      <c r="K45" s="1870"/>
      <c r="L45" s="1870"/>
      <c r="M45" s="1870"/>
      <c r="N45" s="1870"/>
      <c r="O45" s="1870"/>
      <c r="P45" s="1870"/>
      <c r="Q45" s="1870"/>
      <c r="R45" s="1870"/>
    </row>
    <row r="46" spans="1:18" ht="20.85" customHeight="1" x14ac:dyDescent="0.25">
      <c r="A46" s="1870"/>
      <c r="B46" s="1870"/>
      <c r="C46" s="1870"/>
      <c r="D46" s="1870"/>
      <c r="E46" s="1870"/>
      <c r="F46" s="1870"/>
      <c r="G46" s="1870"/>
      <c r="H46" s="1870"/>
      <c r="I46" s="1870"/>
      <c r="J46" s="1870"/>
      <c r="K46" s="1870"/>
      <c r="L46" s="1870"/>
      <c r="M46" s="1870"/>
      <c r="N46" s="1870"/>
      <c r="O46" s="1870"/>
      <c r="P46" s="1870"/>
      <c r="Q46" s="1870"/>
      <c r="R46" s="1870"/>
    </row>
    <row r="47" spans="1:18" ht="20.85" customHeight="1" x14ac:dyDescent="0.25">
      <c r="A47" s="1870"/>
      <c r="B47" s="1870"/>
      <c r="C47" s="1870"/>
      <c r="D47" s="1870"/>
      <c r="E47" s="1870"/>
      <c r="F47" s="1870"/>
      <c r="G47" s="1870"/>
      <c r="H47" s="1870"/>
      <c r="I47" s="1870"/>
      <c r="J47" s="1870"/>
      <c r="K47" s="1870"/>
      <c r="L47" s="1870"/>
      <c r="M47" s="1870"/>
      <c r="N47" s="1870"/>
      <c r="O47" s="1870"/>
      <c r="P47" s="1870"/>
      <c r="Q47" s="1870"/>
      <c r="R47" s="1870"/>
    </row>
    <row r="48" spans="1:18" ht="20.85" customHeight="1" x14ac:dyDescent="0.25">
      <c r="A48" s="1870"/>
      <c r="B48" s="1870"/>
      <c r="C48" s="1870"/>
      <c r="D48" s="1870"/>
      <c r="E48" s="1870"/>
      <c r="F48" s="1870"/>
      <c r="G48" s="1870"/>
      <c r="H48" s="1870"/>
      <c r="I48" s="1870"/>
      <c r="J48" s="1870"/>
      <c r="K48" s="1870"/>
      <c r="L48" s="1870"/>
      <c r="M48" s="1870"/>
      <c r="N48" s="1870"/>
      <c r="O48" s="1870"/>
      <c r="P48" s="1870"/>
      <c r="Q48" s="1870"/>
      <c r="R48" s="1870"/>
    </row>
    <row r="49" spans="1:18" ht="20.85" customHeight="1" x14ac:dyDescent="0.25">
      <c r="A49" s="1870"/>
      <c r="B49" s="1870"/>
      <c r="C49" s="1870"/>
      <c r="D49" s="1870" t="s">
        <v>50</v>
      </c>
      <c r="E49" s="1870"/>
      <c r="F49" s="1870"/>
      <c r="G49" s="1870"/>
      <c r="H49" s="1870"/>
      <c r="I49" s="1870"/>
      <c r="J49" s="1870"/>
      <c r="K49" s="1870"/>
      <c r="L49" s="1870"/>
      <c r="M49" s="1870"/>
      <c r="N49" s="1870"/>
      <c r="O49" s="1870"/>
      <c r="P49" s="1870"/>
      <c r="Q49" s="1870"/>
      <c r="R49" s="1870"/>
    </row>
    <row r="50" spans="1:18" ht="20.85" customHeight="1" x14ac:dyDescent="0.25">
      <c r="A50" s="1870"/>
      <c r="B50" s="1870"/>
      <c r="C50" s="1870"/>
      <c r="D50" s="1870"/>
      <c r="E50" s="1870"/>
      <c r="F50" s="1870"/>
      <c r="G50" s="1870"/>
      <c r="H50" s="1870"/>
      <c r="I50" s="1870"/>
      <c r="J50" s="1870"/>
      <c r="K50" s="1870"/>
      <c r="L50" s="1870"/>
      <c r="M50" s="1870"/>
      <c r="N50" s="1870"/>
      <c r="O50" s="1870"/>
      <c r="P50" s="1870"/>
      <c r="Q50" s="1870"/>
      <c r="R50" s="1870"/>
    </row>
    <row r="51" spans="1:18" ht="20.85" customHeight="1" x14ac:dyDescent="0.25">
      <c r="A51" s="1870"/>
      <c r="B51" s="1870"/>
      <c r="C51" s="1870"/>
      <c r="D51" s="1870"/>
      <c r="E51" s="1870"/>
      <c r="F51" s="1870"/>
      <c r="G51" s="1870"/>
      <c r="H51" s="1870"/>
      <c r="I51" s="1870"/>
      <c r="J51" s="1870"/>
      <c r="K51" s="1870"/>
      <c r="L51" s="1870"/>
      <c r="M51" s="1870"/>
      <c r="N51" s="1870"/>
      <c r="O51" s="1870"/>
      <c r="P51" s="1870"/>
      <c r="Q51" s="1870"/>
      <c r="R51" s="1870"/>
    </row>
    <row r="52" spans="1:18" ht="20.85" customHeight="1" x14ac:dyDescent="0.25">
      <c r="A52" s="1870"/>
      <c r="B52" s="1870"/>
      <c r="C52" s="1870"/>
      <c r="D52" s="1886" t="s">
        <v>50</v>
      </c>
      <c r="E52" s="1886"/>
      <c r="F52" s="1870"/>
      <c r="G52" s="1870"/>
      <c r="H52" s="1870"/>
      <c r="I52" s="1870"/>
      <c r="J52" s="1870"/>
      <c r="K52" s="1886" t="s">
        <v>50</v>
      </c>
      <c r="L52" s="1883"/>
      <c r="M52" s="1870"/>
      <c r="N52" s="1870"/>
      <c r="O52" s="1870"/>
      <c r="P52" s="1870"/>
      <c r="Q52" s="1870"/>
      <c r="R52" s="1886" t="s">
        <v>50</v>
      </c>
    </row>
  </sheetData>
  <sheetProtection algorithmName="SHA-512" hashValue="bsI26rSEslR8BX9+JikeZ61zLEEzcd2u15ZJGKnZOnmOdwZUWd2l9TbIZKvdzBBqpUOq7x3gs3A320VwuQSheQ==" saltValue="9LZYBHLwCnoU7v1MGBNLgg==" spinCount="100000" sheet="1" objects="1" scenarios="1" autoFilter="0"/>
  <dataConsolidate link="1"/>
  <customSheetViews>
    <customSheetView guid="{9FCFC836-1CA5-48BF-958D-24D2EA94B219}" showGridLines="0" fitToPage="1">
      <selection sqref="A1:N1"/>
      <pageMargins left="0" right="0" top="0" bottom="0" header="0" footer="0"/>
      <pageSetup scale="85" orientation="landscape" blackAndWhite="1" r:id="rId1"/>
      <headerFooter alignWithMargins="0">
        <oddFooter>&amp;R&amp;"Arial,Regular"&amp;A</oddFooter>
      </headerFooter>
    </customSheetView>
    <customSheetView guid="{B08879A4-635B-4C39-9937-AC7883D562FC}" showGridLines="0" fitToPage="1">
      <selection sqref="A1:N1"/>
      <pageMargins left="0" right="0" top="0" bottom="0" header="0" footer="0"/>
      <pageSetup scale="85" orientation="landscape" blackAndWhite="1" r:id="rId2"/>
      <headerFooter alignWithMargins="0">
        <oddFooter>&amp;R&amp;"Arial,Regular"&amp;A</oddFooter>
      </headerFooter>
    </customSheetView>
  </customSheetViews>
  <mergeCells count="13">
    <mergeCell ref="J11:O11"/>
    <mergeCell ref="B4:Q4"/>
    <mergeCell ref="J10:M10"/>
    <mergeCell ref="S1:S3"/>
    <mergeCell ref="R1:R3"/>
    <mergeCell ref="B3:Q3"/>
    <mergeCell ref="B1:Q1"/>
    <mergeCell ref="B2:Q2"/>
    <mergeCell ref="D7:G7"/>
    <mergeCell ref="L7:P7"/>
    <mergeCell ref="D8:H8"/>
    <mergeCell ref="L8:P8"/>
    <mergeCell ref="B5:Q5"/>
  </mergeCells>
  <conditionalFormatting sqref="R1:S3 C19:C21">
    <cfRule type="cellIs" dxfId="71" priority="7" stopIfTrue="1" operator="equal">
      <formula>"na"</formula>
    </cfRule>
  </conditionalFormatting>
  <dataValidations count="3">
    <dataValidation type="textLength" operator="equal" allowBlank="1" showInputMessage="1" showErrorMessage="1" errorTitle="Invalid data!" error="GASB number must be 4 digits." sqref="D9" xr:uid="{00000000-0002-0000-2700-000000000000}">
      <formula1>4</formula1>
    </dataValidation>
    <dataValidation type="list" allowBlank="1" showInputMessage="1" showErrorMessage="1" sqref="D14:D30" xr:uid="{00000000-0002-0000-2700-000001000000}">
      <formula1>List505thru520</formula1>
    </dataValidation>
    <dataValidation type="textLength" operator="equal" allowBlank="1" showInputMessage="1" showErrorMessage="1" sqref="F14 F15:F30" xr:uid="{A4AE766A-48AD-44B6-8C6F-5D792C3B4B5F}">
      <formula1>4</formula1>
    </dataValidation>
  </dataValidations>
  <hyperlinks>
    <hyperlink ref="B1:Q1" location="Index!A1" display="Index!A1" xr:uid="{00000000-0004-0000-2700-000000000000}"/>
  </hyperlinks>
  <pageMargins left="0.6" right="0.6" top="0.5" bottom="0.5" header="0.3" footer="0.3"/>
  <pageSetup scale="84" orientation="landscape"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pageSetUpPr fitToPage="1"/>
  </sheetPr>
  <dimension ref="A1:Q55"/>
  <sheetViews>
    <sheetView showGridLines="0" topLeftCell="B1" zoomScaleNormal="100" workbookViewId="0">
      <selection activeCell="B5" sqref="B5:Q5"/>
    </sheetView>
  </sheetViews>
  <sheetFormatPr defaultColWidth="9.42578125" defaultRowHeight="15.75" x14ac:dyDescent="0.25"/>
  <cols>
    <col min="1" max="1" width="9.42578125" style="40" hidden="1" customWidth="1"/>
    <col min="2" max="2" width="13.5703125" style="40" customWidth="1"/>
    <col min="3" max="3" width="1.5703125" style="40" customWidth="1"/>
    <col min="4" max="4" width="7" style="40" customWidth="1"/>
    <col min="5" max="5" width="1.5703125" style="40" customWidth="1"/>
    <col min="6" max="6" width="7.85546875" style="40" customWidth="1"/>
    <col min="7" max="7" width="1.5703125" style="40" customWidth="1"/>
    <col min="8" max="8" width="20" style="40" customWidth="1"/>
    <col min="9" max="9" width="1.140625" style="40" customWidth="1"/>
    <col min="10" max="10" width="15.42578125" style="40" customWidth="1"/>
    <col min="11" max="11" width="1.42578125" style="40" customWidth="1"/>
    <col min="12" max="12" width="13.42578125" style="40" customWidth="1"/>
    <col min="13" max="13" width="1.140625" style="40" customWidth="1"/>
    <col min="14" max="14" width="13.42578125" style="40" customWidth="1"/>
    <col min="15" max="15" width="1" style="40" customWidth="1"/>
    <col min="16" max="16" width="34.5703125" style="40" customWidth="1"/>
    <col min="17" max="17" width="4.5703125" style="40" bestFit="1" customWidth="1"/>
    <col min="18" max="16384" width="9.42578125" style="40"/>
  </cols>
  <sheetData>
    <row r="1" spans="2:17" s="108" customFormat="1" ht="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520" t="str">
        <f>IF(Index!$B$67="na","NA","")</f>
        <v/>
      </c>
    </row>
    <row r="2" spans="2:17" s="108" customFormat="1" ht="15" customHeight="1" x14ac:dyDescent="0.25">
      <c r="B2" s="2749" t="str">
        <f>+Index!$A$2</f>
        <v>2023 ACFR Worksheets</v>
      </c>
      <c r="C2" s="2749"/>
      <c r="D2" s="2749"/>
      <c r="E2" s="2749"/>
      <c r="F2" s="2749"/>
      <c r="G2" s="2749"/>
      <c r="H2" s="2749"/>
      <c r="I2" s="2749"/>
      <c r="J2" s="2749"/>
      <c r="K2" s="2749"/>
      <c r="L2" s="2749"/>
      <c r="M2" s="2749"/>
      <c r="N2" s="2749"/>
      <c r="O2" s="2749"/>
      <c r="P2" s="2749"/>
      <c r="Q2" s="2520"/>
    </row>
    <row r="3" spans="2:17" s="108" customFormat="1" ht="15" customHeight="1" x14ac:dyDescent="0.25">
      <c r="B3" s="2749" t="s">
        <v>1848</v>
      </c>
      <c r="C3" s="2749"/>
      <c r="D3" s="2749"/>
      <c r="E3" s="2749"/>
      <c r="F3" s="2749"/>
      <c r="G3" s="2749"/>
      <c r="H3" s="2749"/>
      <c r="I3" s="2749"/>
      <c r="J3" s="2749"/>
      <c r="K3" s="2749"/>
      <c r="L3" s="2749"/>
      <c r="M3" s="2749"/>
      <c r="N3" s="2749"/>
      <c r="O3" s="2749"/>
      <c r="P3" s="2749"/>
      <c r="Q3" s="2520"/>
    </row>
    <row r="4" spans="2:17" s="108" customFormat="1" ht="15" customHeight="1" x14ac:dyDescent="0.25">
      <c r="B4" s="2749" t="s">
        <v>1849</v>
      </c>
      <c r="C4" s="2749"/>
      <c r="D4" s="2749"/>
      <c r="E4" s="2749"/>
      <c r="F4" s="2749"/>
      <c r="G4" s="2749"/>
      <c r="H4" s="2749"/>
      <c r="I4" s="2749"/>
      <c r="J4" s="2749"/>
      <c r="K4" s="2749"/>
      <c r="L4" s="2749"/>
      <c r="M4" s="2749"/>
      <c r="N4" s="2749"/>
      <c r="O4" s="2749"/>
      <c r="P4" s="2749"/>
    </row>
    <row r="5" spans="2:17" s="108" customFormat="1" ht="15" customHeight="1" x14ac:dyDescent="0.25">
      <c r="B5" s="2747" t="s">
        <v>1850</v>
      </c>
      <c r="C5" s="2747"/>
      <c r="D5" s="2747"/>
      <c r="E5" s="2747"/>
      <c r="F5" s="2747"/>
      <c r="G5" s="2747"/>
      <c r="H5" s="2747"/>
      <c r="I5" s="2747"/>
      <c r="J5" s="2747"/>
      <c r="K5" s="2747"/>
      <c r="L5" s="2747"/>
      <c r="M5" s="2747"/>
      <c r="N5" s="2747"/>
      <c r="O5" s="2747"/>
      <c r="P5" s="2747"/>
      <c r="Q5" s="2747"/>
    </row>
    <row r="6" spans="2:17" s="109" customFormat="1" ht="15" customHeight="1" x14ac:dyDescent="0.25">
      <c r="B6" s="111"/>
      <c r="C6" s="1887"/>
      <c r="D6" s="1887"/>
      <c r="E6" s="1887"/>
      <c r="F6" s="1887"/>
      <c r="G6" s="1887"/>
      <c r="H6" s="1887"/>
      <c r="I6" s="1887"/>
      <c r="J6" s="1887"/>
      <c r="K6" s="111"/>
      <c r="L6" s="430" t="s">
        <v>1837</v>
      </c>
      <c r="M6" s="430"/>
      <c r="N6" s="1993"/>
      <c r="O6" s="1887"/>
      <c r="P6" s="1995"/>
      <c r="Q6" s="1003"/>
    </row>
    <row r="7" spans="2:17" s="109" customFormat="1" ht="15" customHeight="1" x14ac:dyDescent="0.2">
      <c r="B7" s="1888" t="s">
        <v>317</v>
      </c>
      <c r="C7" s="1003"/>
      <c r="D7" s="2745" t="str">
        <f>+Index!$E$10</f>
        <v>01</v>
      </c>
      <c r="E7" s="2745"/>
      <c r="F7" s="2745"/>
      <c r="G7" s="2745"/>
      <c r="H7" s="1873"/>
      <c r="I7" s="1003"/>
      <c r="J7" s="1003"/>
      <c r="K7" s="1003"/>
      <c r="L7" s="1003"/>
      <c r="M7" s="1003"/>
      <c r="N7" s="1003"/>
      <c r="O7" s="1889" t="s">
        <v>319</v>
      </c>
      <c r="P7" s="2312" t="str">
        <f>CONCATENATE(Index!$E$12," ",Index!$E$14)</f>
        <v xml:space="preserve"> </v>
      </c>
      <c r="Q7" s="1003"/>
    </row>
    <row r="8" spans="2:17" s="109" customFormat="1" ht="15" customHeight="1" x14ac:dyDescent="0.2">
      <c r="B8" s="1888" t="s">
        <v>318</v>
      </c>
      <c r="C8" s="1003"/>
      <c r="D8" s="2745" t="str">
        <f>+Index!$E$11</f>
        <v>North Carolina General Assembly</v>
      </c>
      <c r="E8" s="2745"/>
      <c r="F8" s="2745"/>
      <c r="G8" s="2745"/>
      <c r="H8" s="2745"/>
      <c r="I8" s="1003"/>
      <c r="J8" s="1003"/>
      <c r="K8" s="1003"/>
      <c r="L8" s="1003"/>
      <c r="M8" s="1003"/>
      <c r="N8" s="1003"/>
      <c r="O8" s="1889" t="s">
        <v>71</v>
      </c>
      <c r="P8" s="1890">
        <f>+Index!$E$13</f>
        <v>0</v>
      </c>
      <c r="Q8" s="1003"/>
    </row>
    <row r="9" spans="2:17" s="109" customFormat="1" ht="15" customHeight="1" x14ac:dyDescent="0.2">
      <c r="B9" s="1888" t="s">
        <v>1838</v>
      </c>
      <c r="C9" s="1003"/>
      <c r="D9" s="1891"/>
      <c r="E9" s="1003"/>
      <c r="F9" s="1003"/>
      <c r="G9" s="1003"/>
      <c r="H9" s="1003"/>
      <c r="I9" s="1003"/>
      <c r="J9" s="1003"/>
      <c r="K9" s="1003"/>
      <c r="L9" s="1003"/>
      <c r="M9" s="1003"/>
      <c r="N9" s="1003"/>
      <c r="O9" s="1003"/>
      <c r="P9" s="1003"/>
      <c r="Q9" s="1003"/>
    </row>
    <row r="10" spans="2:17" s="109" customFormat="1" ht="15" customHeight="1" thickBot="1" x14ac:dyDescent="0.25">
      <c r="B10" s="1892"/>
      <c r="C10" s="1892"/>
      <c r="D10" s="1892"/>
      <c r="E10" s="1892"/>
      <c r="F10" s="1892"/>
      <c r="G10" s="1892"/>
      <c r="H10" s="1892"/>
      <c r="I10" s="1892"/>
      <c r="J10" s="1892"/>
      <c r="K10" s="1893"/>
      <c r="L10" s="1892"/>
      <c r="M10" s="1892"/>
      <c r="N10" s="1892"/>
      <c r="O10" s="1892"/>
      <c r="P10" s="1892"/>
      <c r="Q10" s="1003"/>
    </row>
    <row r="11" spans="2:17" s="109" customFormat="1" ht="15" customHeight="1" thickBot="1" x14ac:dyDescent="0.25">
      <c r="B11" s="110" t="s">
        <v>1825</v>
      </c>
      <c r="C11" s="1003"/>
      <c r="D11" s="102" t="s">
        <v>1826</v>
      </c>
      <c r="E11" s="1248"/>
      <c r="F11" s="102" t="s">
        <v>1826</v>
      </c>
      <c r="G11" s="1003"/>
      <c r="H11" s="1003"/>
      <c r="I11" s="111"/>
      <c r="J11" s="2748" t="s">
        <v>1851</v>
      </c>
      <c r="K11" s="2748"/>
      <c r="L11" s="2748"/>
      <c r="M11" s="2748"/>
      <c r="N11" s="2748"/>
      <c r="O11" s="1871"/>
      <c r="P11" s="1003"/>
      <c r="Q11" s="1003"/>
    </row>
    <row r="12" spans="2:17" s="109" customFormat="1" ht="15" customHeight="1" x14ac:dyDescent="0.2">
      <c r="B12" s="110" t="s">
        <v>748</v>
      </c>
      <c r="C12" s="1003"/>
      <c r="D12" s="102" t="s">
        <v>1840</v>
      </c>
      <c r="E12" s="1248"/>
      <c r="F12" s="102" t="s">
        <v>1596</v>
      </c>
      <c r="G12" s="1003"/>
      <c r="H12" s="1003"/>
      <c r="I12" s="111"/>
      <c r="J12" s="1248"/>
      <c r="K12" s="1248"/>
      <c r="L12" s="1546" t="s">
        <v>1841</v>
      </c>
      <c r="M12" s="102"/>
      <c r="N12" s="1546" t="s">
        <v>1842</v>
      </c>
      <c r="O12" s="1248"/>
      <c r="P12" s="1003"/>
      <c r="Q12" s="1003"/>
    </row>
    <row r="13" spans="2:17" s="109" customFormat="1" ht="15" customHeight="1" thickBot="1" x14ac:dyDescent="0.25">
      <c r="B13" s="145" t="s">
        <v>1852</v>
      </c>
      <c r="C13" s="110"/>
      <c r="D13" s="2315" t="s">
        <v>1700</v>
      </c>
      <c r="E13" s="1248"/>
      <c r="F13" s="2315" t="s">
        <v>1700</v>
      </c>
      <c r="G13" s="1003"/>
      <c r="H13" s="112" t="s">
        <v>1347</v>
      </c>
      <c r="I13" s="1003"/>
      <c r="J13" s="2315" t="s">
        <v>1396</v>
      </c>
      <c r="K13" s="1894"/>
      <c r="L13" s="1547" t="s">
        <v>1844</v>
      </c>
      <c r="M13" s="102"/>
      <c r="N13" s="1547" t="s">
        <v>670</v>
      </c>
      <c r="O13" s="1894"/>
      <c r="P13" s="112" t="s">
        <v>1845</v>
      </c>
      <c r="Q13" s="1003"/>
    </row>
    <row r="14" spans="2:17" s="109" customFormat="1" ht="15" customHeight="1" x14ac:dyDescent="0.2">
      <c r="B14" s="917"/>
      <c r="C14" s="1009"/>
      <c r="D14" s="918"/>
      <c r="E14" s="1895"/>
      <c r="F14" s="918"/>
      <c r="G14" s="1009"/>
      <c r="H14" s="1896"/>
      <c r="I14" s="1897"/>
      <c r="J14" s="1223"/>
      <c r="K14" s="1898"/>
      <c r="L14" s="1650"/>
      <c r="M14" s="1899"/>
      <c r="N14" s="1649"/>
      <c r="O14" s="1898"/>
      <c r="P14" s="1223"/>
      <c r="Q14" s="1003"/>
    </row>
    <row r="15" spans="2:17" s="109" customFormat="1" ht="15" customHeight="1" x14ac:dyDescent="0.2">
      <c r="B15" s="917"/>
      <c r="C15" s="1009"/>
      <c r="D15" s="918"/>
      <c r="E15" s="1895"/>
      <c r="F15" s="918"/>
      <c r="G15" s="1009"/>
      <c r="H15" s="1896"/>
      <c r="I15" s="1897"/>
      <c r="J15" s="1223"/>
      <c r="K15" s="1898"/>
      <c r="L15" s="1650"/>
      <c r="M15" s="1899"/>
      <c r="N15" s="1649"/>
      <c r="O15" s="1898"/>
      <c r="P15" s="1223"/>
      <c r="Q15" s="1003"/>
    </row>
    <row r="16" spans="2:17" s="109" customFormat="1" ht="15" customHeight="1" x14ac:dyDescent="0.2">
      <c r="B16" s="917"/>
      <c r="C16" s="1009"/>
      <c r="D16" s="918"/>
      <c r="E16" s="1895"/>
      <c r="F16" s="918"/>
      <c r="G16" s="1009"/>
      <c r="H16" s="1896"/>
      <c r="I16" s="1897"/>
      <c r="J16" s="1223"/>
      <c r="K16" s="1898"/>
      <c r="L16" s="1650"/>
      <c r="M16" s="1899"/>
      <c r="N16" s="1649"/>
      <c r="O16" s="1898"/>
      <c r="P16" s="1223"/>
      <c r="Q16" s="1003"/>
    </row>
    <row r="17" spans="2:17" s="109" customFormat="1" ht="15" customHeight="1" x14ac:dyDescent="0.2">
      <c r="B17" s="917"/>
      <c r="C17" s="1009"/>
      <c r="D17" s="918"/>
      <c r="E17" s="1895"/>
      <c r="F17" s="918"/>
      <c r="G17" s="1009"/>
      <c r="H17" s="1896"/>
      <c r="I17" s="1003"/>
      <c r="J17" s="1223"/>
      <c r="K17" s="1248"/>
      <c r="L17" s="1650"/>
      <c r="M17" s="1899"/>
      <c r="N17" s="1649"/>
      <c r="O17" s="1248"/>
      <c r="P17" s="1223"/>
      <c r="Q17" s="1003"/>
    </row>
    <row r="18" spans="2:17" s="109" customFormat="1" ht="15" customHeight="1" x14ac:dyDescent="0.2">
      <c r="B18" s="918"/>
      <c r="C18" s="1900"/>
      <c r="D18" s="918"/>
      <c r="E18" s="1895"/>
      <c r="F18" s="918"/>
      <c r="G18" s="1895"/>
      <c r="H18" s="1896"/>
      <c r="I18" s="1003"/>
      <c r="J18" s="1891"/>
      <c r="K18" s="1003"/>
      <c r="L18" s="1901"/>
      <c r="M18" s="1902"/>
      <c r="N18" s="1649"/>
      <c r="O18" s="1003"/>
      <c r="P18" s="1891"/>
      <c r="Q18" s="1003"/>
    </row>
    <row r="19" spans="2:17" s="109" customFormat="1" ht="15" customHeight="1" x14ac:dyDescent="0.2">
      <c r="B19" s="917"/>
      <c r="C19" s="1900"/>
      <c r="D19" s="918"/>
      <c r="E19" s="1895"/>
      <c r="F19" s="918"/>
      <c r="G19" s="1895"/>
      <c r="H19" s="1896"/>
      <c r="I19" s="1003"/>
      <c r="J19" s="1891"/>
      <c r="K19" s="1003"/>
      <c r="L19" s="1901"/>
      <c r="M19" s="1902"/>
      <c r="N19" s="1649"/>
      <c r="O19" s="1003"/>
      <c r="P19" s="1891"/>
      <c r="Q19" s="1003"/>
    </row>
    <row r="20" spans="2:17" s="109" customFormat="1" ht="15" customHeight="1" x14ac:dyDescent="0.2">
      <c r="B20" s="918"/>
      <c r="C20" s="1900"/>
      <c r="D20" s="918"/>
      <c r="E20" s="1895"/>
      <c r="F20" s="918"/>
      <c r="G20" s="1895"/>
      <c r="H20" s="1896"/>
      <c r="I20" s="1003"/>
      <c r="J20" s="1891"/>
      <c r="K20" s="1003"/>
      <c r="L20" s="1901"/>
      <c r="M20" s="1902"/>
      <c r="N20" s="1649"/>
      <c r="O20" s="1003"/>
      <c r="P20" s="1891"/>
      <c r="Q20" s="1003"/>
    </row>
    <row r="21" spans="2:17" s="109" customFormat="1" ht="15" customHeight="1" x14ac:dyDescent="0.2">
      <c r="B21" s="917"/>
      <c r="C21" s="1900"/>
      <c r="D21" s="918"/>
      <c r="E21" s="1895"/>
      <c r="F21" s="918"/>
      <c r="G21" s="1895"/>
      <c r="H21" s="1896"/>
      <c r="I21" s="1003"/>
      <c r="J21" s="1891"/>
      <c r="K21" s="1003"/>
      <c r="L21" s="1901"/>
      <c r="M21" s="1902"/>
      <c r="N21" s="1649"/>
      <c r="O21" s="1003"/>
      <c r="P21" s="1891"/>
      <c r="Q21" s="1003"/>
    </row>
    <row r="22" spans="2:17" s="109" customFormat="1" ht="15" customHeight="1" x14ac:dyDescent="0.2">
      <c r="B22" s="918"/>
      <c r="C22" s="1900"/>
      <c r="D22" s="918"/>
      <c r="E22" s="1895"/>
      <c r="F22" s="918"/>
      <c r="G22" s="1895"/>
      <c r="H22" s="1896"/>
      <c r="I22" s="1003"/>
      <c r="J22" s="1891"/>
      <c r="K22" s="1003"/>
      <c r="L22" s="1901"/>
      <c r="M22" s="1902"/>
      <c r="N22" s="1649"/>
      <c r="O22" s="1003"/>
      <c r="P22" s="1891"/>
      <c r="Q22" s="1003"/>
    </row>
    <row r="23" spans="2:17" s="109" customFormat="1" ht="15" customHeight="1" x14ac:dyDescent="0.2">
      <c r="B23" s="917"/>
      <c r="C23" s="1900"/>
      <c r="D23" s="918"/>
      <c r="E23" s="1895"/>
      <c r="F23" s="918"/>
      <c r="G23" s="1895"/>
      <c r="H23" s="1896"/>
      <c r="I23" s="1003"/>
      <c r="J23" s="1891"/>
      <c r="K23" s="1003"/>
      <c r="L23" s="1901"/>
      <c r="M23" s="1902"/>
      <c r="N23" s="1649"/>
      <c r="O23" s="1003"/>
      <c r="P23" s="1891"/>
      <c r="Q23" s="1003"/>
    </row>
    <row r="24" spans="2:17" s="109" customFormat="1" ht="15" customHeight="1" x14ac:dyDescent="0.2">
      <c r="B24" s="918"/>
      <c r="C24" s="1900"/>
      <c r="D24" s="918"/>
      <c r="E24" s="1895"/>
      <c r="F24" s="918"/>
      <c r="G24" s="1895"/>
      <c r="H24" s="1896"/>
      <c r="I24" s="1003"/>
      <c r="J24" s="1891"/>
      <c r="K24" s="1003"/>
      <c r="L24" s="1901"/>
      <c r="M24" s="1902"/>
      <c r="N24" s="1649"/>
      <c r="O24" s="1003"/>
      <c r="P24" s="1891"/>
      <c r="Q24" s="1003"/>
    </row>
    <row r="25" spans="2:17" s="109" customFormat="1" ht="15" customHeight="1" x14ac:dyDescent="0.2">
      <c r="B25" s="917"/>
      <c r="C25" s="1900"/>
      <c r="D25" s="918"/>
      <c r="E25" s="1895"/>
      <c r="F25" s="918"/>
      <c r="G25" s="1895"/>
      <c r="H25" s="1896"/>
      <c r="I25" s="1003"/>
      <c r="J25" s="1891"/>
      <c r="K25" s="1003"/>
      <c r="L25" s="1901"/>
      <c r="M25" s="1902"/>
      <c r="N25" s="1649"/>
      <c r="O25" s="1003"/>
      <c r="P25" s="1891"/>
      <c r="Q25" s="1003"/>
    </row>
    <row r="26" spans="2:17" s="109" customFormat="1" ht="15" customHeight="1" x14ac:dyDescent="0.2">
      <c r="B26" s="918"/>
      <c r="C26" s="1900"/>
      <c r="D26" s="918"/>
      <c r="E26" s="1895"/>
      <c r="F26" s="918"/>
      <c r="G26" s="1895"/>
      <c r="H26" s="1896"/>
      <c r="I26" s="1003"/>
      <c r="J26" s="1891"/>
      <c r="K26" s="1003"/>
      <c r="L26" s="1901"/>
      <c r="M26" s="1902"/>
      <c r="N26" s="1649"/>
      <c r="O26" s="1003"/>
      <c r="P26" s="1891"/>
      <c r="Q26" s="1003"/>
    </row>
    <row r="27" spans="2:17" s="109" customFormat="1" ht="15" customHeight="1" x14ac:dyDescent="0.2">
      <c r="B27" s="917"/>
      <c r="C27" s="1900"/>
      <c r="D27" s="918"/>
      <c r="E27" s="1895"/>
      <c r="F27" s="918"/>
      <c r="G27" s="1895"/>
      <c r="H27" s="1896"/>
      <c r="I27" s="1003"/>
      <c r="J27" s="1891"/>
      <c r="K27" s="1003"/>
      <c r="L27" s="1901"/>
      <c r="M27" s="1902"/>
      <c r="N27" s="1649"/>
      <c r="O27" s="1003"/>
      <c r="P27" s="1891"/>
      <c r="Q27" s="1003"/>
    </row>
    <row r="28" spans="2:17" s="109" customFormat="1" ht="15" customHeight="1" x14ac:dyDescent="0.2">
      <c r="B28" s="918"/>
      <c r="C28" s="1900"/>
      <c r="D28" s="918"/>
      <c r="E28" s="1895"/>
      <c r="F28" s="918"/>
      <c r="G28" s="1895"/>
      <c r="H28" s="1896"/>
      <c r="I28" s="1003"/>
      <c r="J28" s="1891"/>
      <c r="K28" s="1003"/>
      <c r="L28" s="1901"/>
      <c r="M28" s="1902"/>
      <c r="N28" s="1649"/>
      <c r="O28" s="1003"/>
      <c r="P28" s="1891"/>
      <c r="Q28" s="1003"/>
    </row>
    <row r="29" spans="2:17" s="109" customFormat="1" ht="15" customHeight="1" x14ac:dyDescent="0.2">
      <c r="B29" s="917"/>
      <c r="C29" s="1900"/>
      <c r="D29" s="918"/>
      <c r="E29" s="1895"/>
      <c r="F29" s="918"/>
      <c r="G29" s="1895"/>
      <c r="H29" s="1896"/>
      <c r="I29" s="1003"/>
      <c r="J29" s="1891"/>
      <c r="K29" s="1003"/>
      <c r="L29" s="1901"/>
      <c r="M29" s="1902"/>
      <c r="N29" s="1649"/>
      <c r="O29" s="1003"/>
      <c r="P29" s="1891"/>
      <c r="Q29" s="1003"/>
    </row>
    <row r="30" spans="2:17" s="109" customFormat="1" ht="15" customHeight="1" x14ac:dyDescent="0.2">
      <c r="B30" s="918"/>
      <c r="C30" s="1900"/>
      <c r="D30" s="918"/>
      <c r="E30" s="1895"/>
      <c r="F30" s="918"/>
      <c r="G30" s="1895"/>
      <c r="H30" s="1896"/>
      <c r="I30" s="1003"/>
      <c r="J30" s="1891"/>
      <c r="K30" s="1003"/>
      <c r="L30" s="1901"/>
      <c r="M30" s="1902"/>
      <c r="N30" s="1649"/>
      <c r="O30" s="1003"/>
      <c r="P30" s="1891"/>
      <c r="Q30" s="1003"/>
    </row>
    <row r="31" spans="2:17" s="109" customFormat="1" ht="15" customHeight="1" x14ac:dyDescent="0.2">
      <c r="B31" s="917"/>
      <c r="C31" s="1900"/>
      <c r="D31" s="918"/>
      <c r="E31" s="1895"/>
      <c r="F31" s="918"/>
      <c r="G31" s="1895"/>
      <c r="H31" s="1896"/>
      <c r="I31" s="1003"/>
      <c r="J31" s="1891"/>
      <c r="K31" s="1003"/>
      <c r="L31" s="1901"/>
      <c r="M31" s="1902"/>
      <c r="N31" s="1649"/>
      <c r="O31" s="1003"/>
      <c r="P31" s="1891"/>
      <c r="Q31" s="1003"/>
    </row>
    <row r="32" spans="2:17" s="109" customFormat="1" ht="15" customHeight="1" thickBot="1" x14ac:dyDescent="0.25">
      <c r="B32" s="1003"/>
      <c r="C32" s="1003"/>
      <c r="D32" s="1003"/>
      <c r="E32" s="110"/>
      <c r="F32" s="110" t="s">
        <v>1853</v>
      </c>
      <c r="G32" s="110"/>
      <c r="H32" s="1011">
        <f>SUM(H14:H31)</f>
        <v>0</v>
      </c>
      <c r="I32" s="1003"/>
      <c r="J32" s="146" t="s">
        <v>1847</v>
      </c>
      <c r="K32" s="1003"/>
      <c r="L32" s="1003"/>
      <c r="M32" s="1003"/>
      <c r="N32" s="1003"/>
      <c r="O32" s="1003"/>
      <c r="P32" s="1003"/>
      <c r="Q32" s="1003"/>
    </row>
    <row r="33" spans="1:16" s="109" customFormat="1" ht="7.35" customHeight="1" x14ac:dyDescent="0.2">
      <c r="A33" s="1003"/>
      <c r="B33" s="1003"/>
      <c r="C33" s="1003"/>
      <c r="D33" s="1003"/>
      <c r="E33" s="110"/>
      <c r="F33" s="1003"/>
      <c r="G33" s="110"/>
      <c r="H33" s="1003"/>
      <c r="I33" s="1003"/>
      <c r="J33" s="1003"/>
      <c r="K33" s="1003"/>
      <c r="L33" s="1003"/>
      <c r="M33" s="1003"/>
      <c r="N33" s="1003"/>
      <c r="O33" s="110"/>
      <c r="P33" s="1003"/>
    </row>
    <row r="34" spans="1:16" s="109" customFormat="1" ht="15" customHeight="1" x14ac:dyDescent="0.2">
      <c r="A34" s="1003"/>
      <c r="B34" s="146" t="s">
        <v>1832</v>
      </c>
      <c r="C34" s="1003"/>
      <c r="D34" s="1003"/>
      <c r="E34" s="110"/>
      <c r="F34" s="1003"/>
      <c r="G34" s="110"/>
      <c r="H34" s="1003"/>
      <c r="I34" s="1003"/>
      <c r="J34" s="1003"/>
      <c r="K34" s="1003"/>
      <c r="L34" s="1003"/>
      <c r="M34" s="1003"/>
      <c r="N34" s="1003"/>
      <c r="O34" s="110"/>
      <c r="P34" s="1003"/>
    </row>
    <row r="35" spans="1:16" s="109" customFormat="1" ht="15" customHeight="1" x14ac:dyDescent="0.2">
      <c r="A35" s="1003"/>
      <c r="B35" s="1003"/>
      <c r="C35" s="1003"/>
      <c r="D35" s="1003"/>
      <c r="E35" s="110"/>
      <c r="F35" s="1003"/>
      <c r="G35" s="110"/>
      <c r="H35" s="1003"/>
      <c r="I35" s="1003"/>
      <c r="J35" s="1003"/>
      <c r="K35" s="1003"/>
      <c r="L35" s="1003"/>
      <c r="M35" s="1003"/>
      <c r="N35" s="1003"/>
      <c r="O35" s="110"/>
      <c r="P35" s="1003"/>
    </row>
    <row r="36" spans="1:16" s="109" customFormat="1" ht="15" customHeight="1" x14ac:dyDescent="0.2">
      <c r="A36" s="1003"/>
      <c r="B36" s="1003"/>
      <c r="C36" s="1003"/>
      <c r="D36" s="1003"/>
      <c r="E36" s="110"/>
      <c r="F36" s="1003"/>
      <c r="G36" s="110"/>
      <c r="H36" s="1003"/>
      <c r="I36" s="1003"/>
      <c r="J36" s="1003"/>
      <c r="K36" s="1003"/>
      <c r="L36" s="1003"/>
      <c r="M36" s="1003"/>
      <c r="N36" s="1003"/>
      <c r="O36" s="110"/>
      <c r="P36" s="1003"/>
    </row>
    <row r="37" spans="1:16" s="109" customFormat="1" ht="15" customHeight="1" x14ac:dyDescent="0.2">
      <c r="A37" s="1003"/>
      <c r="B37" s="1003"/>
      <c r="C37" s="1003"/>
      <c r="D37" s="1003"/>
      <c r="E37" s="110"/>
      <c r="F37" s="1003"/>
      <c r="G37" s="110"/>
      <c r="H37" s="1003"/>
      <c r="I37" s="1003"/>
      <c r="J37" s="1003"/>
      <c r="K37" s="1003"/>
      <c r="L37" s="1003"/>
      <c r="M37" s="1003"/>
      <c r="N37" s="1003"/>
      <c r="O37" s="110"/>
      <c r="P37" s="1003"/>
    </row>
    <row r="38" spans="1:16" s="109" customFormat="1" ht="15" customHeight="1" x14ac:dyDescent="0.2">
      <c r="A38" s="445" t="str">
        <f ca="1">MID(CELL("filename",A1),FIND("]",CELL("filename",A1))+1,256)</f>
        <v>510</v>
      </c>
      <c r="B38" s="445" t="s">
        <v>636</v>
      </c>
      <c r="C38" s="1003"/>
      <c r="D38" s="1003"/>
      <c r="E38" s="110"/>
      <c r="F38" s="1003"/>
      <c r="G38" s="110"/>
      <c r="H38" s="1003"/>
      <c r="I38" s="1003"/>
      <c r="J38" s="1003"/>
      <c r="K38" s="1003"/>
      <c r="L38" s="1003"/>
      <c r="M38" s="1003"/>
      <c r="N38" s="1003"/>
      <c r="O38" s="110"/>
      <c r="P38" s="1003"/>
    </row>
    <row r="39" spans="1:16" s="109" customFormat="1" ht="15" customHeight="1" x14ac:dyDescent="0.2">
      <c r="A39" s="445" t="s">
        <v>380</v>
      </c>
      <c r="B39" s="445" t="str">
        <f ca="1">IF(ISNA(INDEX(ErrorTable,MATCH($A$38&amp;$A39&amp;FALSE,ErrorKey,0),6)),"",INDEX(ErrorTable,MATCH($A$38&amp;$A39&amp;FALSE,ErrorKey,0),6))</f>
        <v>GASB number is blank.</v>
      </c>
      <c r="C39" s="1003"/>
      <c r="D39" s="1003"/>
      <c r="E39" s="110"/>
      <c r="F39" s="1003"/>
      <c r="G39" s="110"/>
      <c r="H39" s="1003"/>
      <c r="I39" s="1003"/>
      <c r="J39" s="1003"/>
      <c r="K39" s="1003"/>
      <c r="L39" s="1003"/>
      <c r="M39" s="1003"/>
      <c r="N39" s="1003"/>
      <c r="O39" s="110"/>
      <c r="P39" s="1003"/>
    </row>
    <row r="40" spans="1:16" ht="20.85" customHeight="1" x14ac:dyDescent="0.25">
      <c r="A40" s="445" t="s">
        <v>381</v>
      </c>
      <c r="B40" s="445" t="str">
        <f t="shared" ref="B40:B48" ca="1" si="0">IF(ISNA(INDEX(ErrorTable,MATCH($A$38&amp;$A40&amp;FALSE,ErrorKey,0),6)),"",INDEX(ErrorTable,MATCH($A$38&amp;$A40&amp;FALSE,ErrorKey,0),6))</f>
        <v/>
      </c>
    </row>
    <row r="41" spans="1:16" ht="20.85" customHeight="1" x14ac:dyDescent="0.25">
      <c r="A41" s="445" t="s">
        <v>382</v>
      </c>
      <c r="B41" s="445" t="str">
        <f t="shared" ca="1" si="0"/>
        <v/>
      </c>
    </row>
    <row r="42" spans="1:16" ht="20.85" customHeight="1" x14ac:dyDescent="0.25">
      <c r="A42" s="445" t="s">
        <v>383</v>
      </c>
      <c r="B42" s="445" t="str">
        <f t="shared" ca="1" si="0"/>
        <v/>
      </c>
    </row>
    <row r="43" spans="1:16" ht="20.85" customHeight="1" x14ac:dyDescent="0.25">
      <c r="A43" s="445" t="s">
        <v>384</v>
      </c>
      <c r="B43" s="445" t="str">
        <f t="shared" ca="1" si="0"/>
        <v/>
      </c>
    </row>
    <row r="44" spans="1:16" ht="20.85" customHeight="1" x14ac:dyDescent="0.25">
      <c r="A44" s="445" t="s">
        <v>385</v>
      </c>
      <c r="B44" s="445" t="str">
        <f t="shared" ca="1" si="0"/>
        <v/>
      </c>
      <c r="D44" s="42" t="s">
        <v>50</v>
      </c>
      <c r="E44" s="42"/>
      <c r="F44" s="42"/>
      <c r="G44" s="42"/>
      <c r="H44" s="42"/>
      <c r="I44" s="42"/>
      <c r="J44" s="42"/>
      <c r="K44" s="42"/>
    </row>
    <row r="45" spans="1:16" ht="20.85" customHeight="1" x14ac:dyDescent="0.25">
      <c r="A45" s="445" t="s">
        <v>386</v>
      </c>
      <c r="B45" s="445" t="str">
        <f t="shared" ca="1" si="0"/>
        <v/>
      </c>
      <c r="D45" s="42" t="s">
        <v>50</v>
      </c>
      <c r="E45" s="42"/>
      <c r="F45" s="42"/>
      <c r="G45" s="42"/>
      <c r="L45" s="41" t="s">
        <v>50</v>
      </c>
      <c r="M45" s="41"/>
      <c r="N45" s="41"/>
      <c r="O45" s="41"/>
    </row>
    <row r="46" spans="1:16" ht="20.85" customHeight="1" x14ac:dyDescent="0.25">
      <c r="A46" s="445" t="s">
        <v>387</v>
      </c>
      <c r="B46" s="445" t="str">
        <f t="shared" ca="1" si="0"/>
        <v/>
      </c>
    </row>
    <row r="47" spans="1:16" ht="20.85" customHeight="1" x14ac:dyDescent="0.25">
      <c r="A47" s="445" t="s">
        <v>388</v>
      </c>
      <c r="B47" s="445" t="str">
        <f t="shared" ca="1" si="0"/>
        <v/>
      </c>
    </row>
    <row r="48" spans="1:16" ht="20.85" customHeight="1" x14ac:dyDescent="0.25">
      <c r="A48" s="445" t="s">
        <v>389</v>
      </c>
      <c r="B48" s="445" t="str">
        <f t="shared" ca="1" si="0"/>
        <v/>
      </c>
    </row>
    <row r="49" spans="4:15" ht="20.85" customHeight="1" x14ac:dyDescent="0.25"/>
    <row r="50" spans="4:15" ht="20.85" customHeight="1" x14ac:dyDescent="0.25"/>
    <row r="51" spans="4:15" ht="20.85" customHeight="1" x14ac:dyDescent="0.25"/>
    <row r="52" spans="4:15" ht="20.85" customHeight="1" x14ac:dyDescent="0.25">
      <c r="D52" s="40" t="s">
        <v>50</v>
      </c>
    </row>
    <row r="53" spans="4:15" ht="20.85" customHeight="1" x14ac:dyDescent="0.25"/>
    <row r="54" spans="4:15" ht="20.85" customHeight="1" x14ac:dyDescent="0.25"/>
    <row r="55" spans="4:15" ht="20.85" customHeight="1" x14ac:dyDescent="0.25">
      <c r="D55" s="42" t="s">
        <v>50</v>
      </c>
      <c r="E55" s="42"/>
      <c r="F55" s="42"/>
      <c r="G55" s="42"/>
      <c r="L55" s="41" t="s">
        <v>50</v>
      </c>
      <c r="M55" s="41"/>
      <c r="N55" s="41"/>
      <c r="O55" s="41"/>
    </row>
  </sheetData>
  <sheetProtection algorithmName="SHA-512" hashValue="Mi8kNlZq5jXROx3UaMNf8j089ZW0kGtZOCQ+lwJ+KJBN13Znbp1kQLyIXZgLj5h42gOtzSPKuZUFK0ki9S3QtA==" saltValue="vgB98KNjW2IxvqOYNMUKvw=="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7:G7"/>
    <mergeCell ref="D8:H8"/>
    <mergeCell ref="J11:N11"/>
    <mergeCell ref="Q1:Q3"/>
    <mergeCell ref="B1:P1"/>
    <mergeCell ref="B2:P2"/>
    <mergeCell ref="B3:P3"/>
    <mergeCell ref="B4:P4"/>
    <mergeCell ref="B5:Q5"/>
  </mergeCells>
  <phoneticPr fontId="16" type="noConversion"/>
  <conditionalFormatting sqref="Q1:Q3">
    <cfRule type="cellIs" dxfId="70" priority="1" stopIfTrue="1" operator="equal">
      <formula>"na"</formula>
    </cfRule>
  </conditionalFormatting>
  <dataValidations count="2">
    <dataValidation type="textLength" operator="equal" allowBlank="1" showInputMessage="1" showErrorMessage="1" errorTitle="Invalid data!" error="GASB number must be 4 digits." sqref="D9 F14:F31" xr:uid="{00000000-0002-0000-2800-000000000000}">
      <formula1>4</formula1>
    </dataValidation>
    <dataValidation type="list" allowBlank="1" showInputMessage="1" showErrorMessage="1" sqref="D14:D31" xr:uid="{00000000-0002-0000-2800-000001000000}">
      <formula1>List505thru520</formula1>
    </dataValidation>
  </dataValidations>
  <hyperlinks>
    <hyperlink ref="B1:P1" location="Index!A1" display="Index!A1" xr:uid="{00000000-0004-0000-2800-000000000000}"/>
  </hyperlinks>
  <pageMargins left="0.6" right="0.6" top="0.5" bottom="0.5" header="0.3" footer="0.3"/>
  <pageSetup scale="91" orientation="landscape"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1"/>
  <dimension ref="A1:V55"/>
  <sheetViews>
    <sheetView showGridLines="0" topLeftCell="B1" zoomScaleNormal="100" workbookViewId="0">
      <selection activeCell="P32" sqref="P32"/>
    </sheetView>
  </sheetViews>
  <sheetFormatPr defaultColWidth="9.42578125" defaultRowHeight="15.75" x14ac:dyDescent="0.25"/>
  <cols>
    <col min="1" max="1" width="9.42578125" style="40" hidden="1" customWidth="1"/>
    <col min="2" max="2" width="13.85546875" style="40" customWidth="1"/>
    <col min="3" max="3" width="1.5703125" style="40" customWidth="1"/>
    <col min="4" max="4" width="7.42578125" style="40" customWidth="1"/>
    <col min="5" max="5" width="1.5703125" style="40" customWidth="1"/>
    <col min="6" max="6" width="8" style="40" customWidth="1"/>
    <col min="7" max="7" width="1.5703125" style="40" customWidth="1"/>
    <col min="8" max="8" width="19.140625" style="40" customWidth="1"/>
    <col min="9" max="9" width="1.28515625" style="40" customWidth="1"/>
    <col min="10" max="10" width="15.42578125" style="40" customWidth="1"/>
    <col min="11" max="11" width="1.140625" style="40" customWidth="1"/>
    <col min="12" max="12" width="13.42578125" style="40" customWidth="1"/>
    <col min="13" max="13" width="0.85546875" style="40" customWidth="1"/>
    <col min="14" max="14" width="13.42578125" style="40" customWidth="1"/>
    <col min="15" max="15" width="0.85546875" style="40" customWidth="1"/>
    <col min="16" max="16" width="36.42578125" style="40" customWidth="1"/>
    <col min="17" max="17" width="4.5703125" style="40" bestFit="1" customWidth="1"/>
    <col min="18" max="16384" width="9.42578125" style="40"/>
  </cols>
  <sheetData>
    <row r="1" spans="2:17" s="108" customFormat="1" ht="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520" t="str">
        <f>IF(Index!$B$68="na","NA","")</f>
        <v/>
      </c>
    </row>
    <row r="2" spans="2:17" s="108" customFormat="1" ht="15" customHeight="1" x14ac:dyDescent="0.25">
      <c r="B2" s="2749" t="str">
        <f>+Index!$A$2</f>
        <v>2023 ACFR Worksheets</v>
      </c>
      <c r="C2" s="2749"/>
      <c r="D2" s="2749"/>
      <c r="E2" s="2749"/>
      <c r="F2" s="2749"/>
      <c r="G2" s="2749"/>
      <c r="H2" s="2749"/>
      <c r="I2" s="2749"/>
      <c r="J2" s="2749"/>
      <c r="K2" s="2749"/>
      <c r="L2" s="2749"/>
      <c r="M2" s="2749"/>
      <c r="N2" s="2749"/>
      <c r="O2" s="2749"/>
      <c r="P2" s="2749"/>
      <c r="Q2" s="2520"/>
    </row>
    <row r="3" spans="2:17" s="108" customFormat="1" ht="15" customHeight="1" x14ac:dyDescent="0.25">
      <c r="B3" s="2749" t="s">
        <v>1854</v>
      </c>
      <c r="C3" s="2749"/>
      <c r="D3" s="2749"/>
      <c r="E3" s="2749"/>
      <c r="F3" s="2749"/>
      <c r="G3" s="2749"/>
      <c r="H3" s="2749"/>
      <c r="I3" s="2749"/>
      <c r="J3" s="2749"/>
      <c r="K3" s="2749"/>
      <c r="L3" s="2749"/>
      <c r="M3" s="2749"/>
      <c r="N3" s="2749"/>
      <c r="O3" s="2749"/>
      <c r="P3" s="2749"/>
      <c r="Q3" s="2520"/>
    </row>
    <row r="4" spans="2:17" s="108" customFormat="1" ht="15" customHeight="1" x14ac:dyDescent="0.25">
      <c r="B4" s="2742" t="s">
        <v>1835</v>
      </c>
      <c r="C4" s="2742"/>
      <c r="D4" s="2742"/>
      <c r="E4" s="2742"/>
      <c r="F4" s="2742"/>
      <c r="G4" s="2742"/>
      <c r="H4" s="2742"/>
      <c r="I4" s="2742"/>
      <c r="J4" s="2742"/>
      <c r="K4" s="2742"/>
      <c r="L4" s="2742"/>
      <c r="M4" s="2742"/>
      <c r="N4" s="2742"/>
      <c r="O4" s="2742"/>
      <c r="P4" s="2742"/>
      <c r="Q4" s="2742"/>
    </row>
    <row r="5" spans="2:17" s="108" customFormat="1" ht="15" customHeight="1" x14ac:dyDescent="0.25">
      <c r="B5" s="2747" t="s">
        <v>1855</v>
      </c>
      <c r="C5" s="2747"/>
      <c r="D5" s="2747"/>
      <c r="E5" s="2747"/>
      <c r="F5" s="2747"/>
      <c r="G5" s="2747"/>
      <c r="H5" s="2747"/>
      <c r="I5" s="2747"/>
      <c r="J5" s="2747"/>
      <c r="K5" s="2747"/>
      <c r="L5" s="2747"/>
      <c r="M5" s="2747"/>
      <c r="N5" s="2747"/>
      <c r="O5" s="2747"/>
      <c r="P5" s="2747"/>
      <c r="Q5" s="2747"/>
    </row>
    <row r="6" spans="2:17" s="109" customFormat="1" ht="15" customHeight="1" x14ac:dyDescent="0.3">
      <c r="B6" s="111"/>
      <c r="C6" s="1887"/>
      <c r="D6" s="1887"/>
      <c r="E6" s="1887"/>
      <c r="F6" s="1887"/>
      <c r="G6" s="1887"/>
      <c r="H6" s="1887"/>
      <c r="I6" s="1887"/>
      <c r="J6" s="1887"/>
      <c r="K6" s="111"/>
      <c r="L6" s="913"/>
      <c r="M6" s="913"/>
      <c r="N6" s="913"/>
      <c r="O6" s="1887"/>
      <c r="P6" s="1996" t="s">
        <v>1856</v>
      </c>
      <c r="Q6" s="1003"/>
    </row>
    <row r="7" spans="2:17" s="109" customFormat="1" ht="15" customHeight="1" x14ac:dyDescent="0.2">
      <c r="B7" s="1888" t="s">
        <v>317</v>
      </c>
      <c r="C7" s="1003"/>
      <c r="D7" s="2745" t="str">
        <f>+Index!$E$10</f>
        <v>01</v>
      </c>
      <c r="E7" s="2745"/>
      <c r="F7" s="2745"/>
      <c r="G7" s="2745"/>
      <c r="H7" s="1873"/>
      <c r="I7" s="1003"/>
      <c r="J7" s="1003"/>
      <c r="K7" s="1003"/>
      <c r="L7" s="1003"/>
      <c r="M7" s="1003"/>
      <c r="N7" s="1003"/>
      <c r="O7" s="1889" t="s">
        <v>319</v>
      </c>
      <c r="P7" s="2312" t="str">
        <f>CONCATENATE(Index!$E$12," ",Index!$E$14)</f>
        <v xml:space="preserve"> </v>
      </c>
      <c r="Q7" s="1003"/>
    </row>
    <row r="8" spans="2:17" s="109" customFormat="1" ht="15" customHeight="1" x14ac:dyDescent="0.2">
      <c r="B8" s="1888" t="s">
        <v>318</v>
      </c>
      <c r="C8" s="1003"/>
      <c r="D8" s="2745" t="str">
        <f>+Index!$E$11</f>
        <v>North Carolina General Assembly</v>
      </c>
      <c r="E8" s="2745"/>
      <c r="F8" s="2745"/>
      <c r="G8" s="2745"/>
      <c r="H8" s="2745"/>
      <c r="I8" s="1003"/>
      <c r="J8" s="1003"/>
      <c r="K8" s="1003"/>
      <c r="L8" s="1003"/>
      <c r="M8" s="1003"/>
      <c r="N8" s="1003"/>
      <c r="O8" s="1889" t="s">
        <v>71</v>
      </c>
      <c r="P8" s="1890">
        <f>+Index!$E$13</f>
        <v>0</v>
      </c>
      <c r="Q8" s="1003"/>
    </row>
    <row r="9" spans="2:17" s="109" customFormat="1" ht="15" customHeight="1" x14ac:dyDescent="0.2">
      <c r="B9" s="1888" t="s">
        <v>1838</v>
      </c>
      <c r="C9" s="1003"/>
      <c r="D9" s="1891"/>
      <c r="E9" s="1003"/>
      <c r="F9" s="1003"/>
      <c r="G9" s="1003"/>
      <c r="H9" s="1003"/>
      <c r="I9" s="1003"/>
      <c r="J9" s="1003"/>
      <c r="K9" s="1003"/>
      <c r="L9" s="1003"/>
      <c r="M9" s="1003"/>
      <c r="N9" s="1003"/>
      <c r="O9" s="1003"/>
      <c r="P9" s="1003"/>
      <c r="Q9" s="1003"/>
    </row>
    <row r="10" spans="2:17" s="109" customFormat="1" ht="15" customHeight="1" thickBot="1" x14ac:dyDescent="0.25">
      <c r="B10" s="1892"/>
      <c r="C10" s="1892"/>
      <c r="D10" s="1892"/>
      <c r="E10" s="1892"/>
      <c r="F10" s="1892"/>
      <c r="G10" s="1892"/>
      <c r="H10" s="1892"/>
      <c r="I10" s="1892"/>
      <c r="J10" s="1892"/>
      <c r="K10" s="1893"/>
      <c r="L10" s="1892"/>
      <c r="M10" s="1892"/>
      <c r="N10" s="1892"/>
      <c r="O10" s="1892"/>
      <c r="P10" s="1892"/>
      <c r="Q10" s="1003"/>
    </row>
    <row r="11" spans="2:17" s="109" customFormat="1" ht="17.25" customHeight="1" thickBot="1" x14ac:dyDescent="0.25">
      <c r="B11" s="630" t="s">
        <v>1857</v>
      </c>
      <c r="C11" s="1004"/>
      <c r="D11" s="102" t="s">
        <v>1824</v>
      </c>
      <c r="E11" s="1248"/>
      <c r="F11" s="102" t="s">
        <v>1824</v>
      </c>
      <c r="G11" s="1003"/>
      <c r="H11" s="1003"/>
      <c r="I11" s="111"/>
      <c r="J11" s="2748" t="s">
        <v>1839</v>
      </c>
      <c r="K11" s="2748"/>
      <c r="L11" s="2748"/>
      <c r="M11" s="2748"/>
      <c r="N11" s="2748"/>
      <c r="O11" s="1871"/>
      <c r="P11" s="1003"/>
      <c r="Q11" s="1003"/>
    </row>
    <row r="12" spans="2:17" s="109" customFormat="1" ht="15" customHeight="1" x14ac:dyDescent="0.2">
      <c r="B12" s="110" t="s">
        <v>1825</v>
      </c>
      <c r="C12" s="1003"/>
      <c r="D12" s="102" t="s">
        <v>1840</v>
      </c>
      <c r="E12" s="1248"/>
      <c r="F12" s="102" t="s">
        <v>1596</v>
      </c>
      <c r="G12" s="1003"/>
      <c r="H12" s="1003"/>
      <c r="I12" s="111"/>
      <c r="J12" s="1248"/>
      <c r="K12" s="1248"/>
      <c r="L12" s="1546" t="s">
        <v>1841</v>
      </c>
      <c r="M12" s="102"/>
      <c r="N12" s="1546" t="s">
        <v>1842</v>
      </c>
      <c r="O12" s="1248"/>
      <c r="P12" s="1003"/>
      <c r="Q12" s="1003"/>
    </row>
    <row r="13" spans="2:17" s="109" customFormat="1" ht="15" customHeight="1" thickBot="1" x14ac:dyDescent="0.25">
      <c r="B13" s="112" t="s">
        <v>748</v>
      </c>
      <c r="C13" s="110"/>
      <c r="D13" s="2315" t="s">
        <v>1700</v>
      </c>
      <c r="E13" s="1248"/>
      <c r="F13" s="2315" t="s">
        <v>1700</v>
      </c>
      <c r="G13" s="1003"/>
      <c r="H13" s="112" t="s">
        <v>1347</v>
      </c>
      <c r="I13" s="1003"/>
      <c r="J13" s="2315" t="s">
        <v>1396</v>
      </c>
      <c r="K13" s="1894"/>
      <c r="L13" s="1547" t="s">
        <v>1844</v>
      </c>
      <c r="M13" s="102"/>
      <c r="N13" s="1547" t="s">
        <v>670</v>
      </c>
      <c r="O13" s="1894"/>
      <c r="P13" s="112" t="s">
        <v>1845</v>
      </c>
      <c r="Q13" s="1003"/>
    </row>
    <row r="14" spans="2:17" s="109" customFormat="1" ht="15" customHeight="1" x14ac:dyDescent="0.2">
      <c r="B14" s="1008">
        <v>114600</v>
      </c>
      <c r="C14" s="1003"/>
      <c r="D14" s="917"/>
      <c r="E14" s="1009"/>
      <c r="F14" s="917"/>
      <c r="G14" s="1009"/>
      <c r="H14" s="1010"/>
      <c r="I14" s="1003"/>
      <c r="J14" s="1223"/>
      <c r="K14" s="1248"/>
      <c r="L14" s="1650"/>
      <c r="M14" s="1899"/>
      <c r="N14" s="1649"/>
      <c r="O14" s="1003"/>
      <c r="P14" s="1891"/>
      <c r="Q14" s="1003"/>
    </row>
    <row r="15" spans="2:17" s="109" customFormat="1" ht="15" customHeight="1" x14ac:dyDescent="0.2">
      <c r="B15" s="1008">
        <v>114600</v>
      </c>
      <c r="C15" s="1003"/>
      <c r="D15" s="917"/>
      <c r="E15" s="1009"/>
      <c r="F15" s="917"/>
      <c r="G15" s="1009"/>
      <c r="H15" s="1010"/>
      <c r="I15" s="1003"/>
      <c r="J15" s="1223"/>
      <c r="K15" s="1248"/>
      <c r="L15" s="1650"/>
      <c r="M15" s="1899"/>
      <c r="N15" s="1649"/>
      <c r="O15" s="1003"/>
      <c r="P15" s="1891"/>
      <c r="Q15" s="1003"/>
    </row>
    <row r="16" spans="2:17" s="109" customFormat="1" ht="15" customHeight="1" x14ac:dyDescent="0.2">
      <c r="B16" s="1008">
        <v>114600</v>
      </c>
      <c r="C16" s="1003"/>
      <c r="D16" s="917"/>
      <c r="E16" s="1009"/>
      <c r="F16" s="917"/>
      <c r="G16" s="1009"/>
      <c r="H16" s="1010"/>
      <c r="I16" s="1003"/>
      <c r="J16" s="1223"/>
      <c r="K16" s="1248"/>
      <c r="L16" s="1650"/>
      <c r="M16" s="1899"/>
      <c r="N16" s="1649"/>
      <c r="O16" s="1003"/>
      <c r="P16" s="1891"/>
      <c r="Q16" s="1003"/>
    </row>
    <row r="17" spans="2:22" s="109" customFormat="1" ht="15" customHeight="1" x14ac:dyDescent="0.2">
      <c r="B17" s="1008">
        <v>114600</v>
      </c>
      <c r="C17" s="1003"/>
      <c r="D17" s="917"/>
      <c r="E17" s="1009"/>
      <c r="F17" s="917"/>
      <c r="G17" s="1009"/>
      <c r="H17" s="1010"/>
      <c r="I17" s="1003"/>
      <c r="J17" s="1223"/>
      <c r="K17" s="1248"/>
      <c r="L17" s="1650"/>
      <c r="M17" s="1899"/>
      <c r="N17" s="1649"/>
      <c r="O17" s="1003"/>
      <c r="P17" s="1891"/>
      <c r="Q17" s="1003"/>
      <c r="R17" s="1003"/>
      <c r="S17" s="1003"/>
      <c r="T17" s="1003"/>
      <c r="U17" s="1003"/>
      <c r="V17" s="1003"/>
    </row>
    <row r="18" spans="2:22" s="109" customFormat="1" ht="15" customHeight="1" x14ac:dyDescent="0.2">
      <c r="B18" s="1008">
        <v>114600</v>
      </c>
      <c r="C18" s="1003"/>
      <c r="D18" s="917"/>
      <c r="E18" s="1009"/>
      <c r="F18" s="917"/>
      <c r="G18" s="1009"/>
      <c r="H18" s="1010"/>
      <c r="I18" s="1003"/>
      <c r="J18" s="1891"/>
      <c r="K18" s="1003"/>
      <c r="L18" s="1901"/>
      <c r="M18" s="1902"/>
      <c r="N18" s="1649"/>
      <c r="O18" s="1003"/>
      <c r="P18" s="1891"/>
      <c r="Q18" s="1003"/>
      <c r="R18" s="1003"/>
      <c r="S18" s="1003"/>
      <c r="T18" s="1003"/>
      <c r="U18" s="1003"/>
      <c r="V18" s="1003"/>
    </row>
    <row r="19" spans="2:22" s="109" customFormat="1" ht="15" customHeight="1" x14ac:dyDescent="0.2">
      <c r="B19" s="1008">
        <v>114600</v>
      </c>
      <c r="C19" s="1003"/>
      <c r="D19" s="917"/>
      <c r="E19" s="1009"/>
      <c r="F19" s="917"/>
      <c r="G19" s="1009"/>
      <c r="H19" s="1010"/>
      <c r="I19" s="1003"/>
      <c r="J19" s="1891"/>
      <c r="K19" s="1003"/>
      <c r="L19" s="1901"/>
      <c r="M19" s="1902"/>
      <c r="N19" s="1649"/>
      <c r="O19" s="1003"/>
      <c r="P19" s="1891"/>
      <c r="Q19" s="1003"/>
      <c r="R19" s="1003"/>
      <c r="S19" s="1003"/>
      <c r="T19" s="1003"/>
      <c r="U19" s="1003"/>
      <c r="V19" s="1003"/>
    </row>
    <row r="20" spans="2:22" s="109" customFormat="1" ht="15" customHeight="1" x14ac:dyDescent="0.2">
      <c r="B20" s="1008">
        <v>114600</v>
      </c>
      <c r="C20" s="1003"/>
      <c r="D20" s="917"/>
      <c r="E20" s="1009"/>
      <c r="F20" s="917"/>
      <c r="G20" s="1009"/>
      <c r="H20" s="1010"/>
      <c r="I20" s="1003"/>
      <c r="J20" s="1891"/>
      <c r="K20" s="1003"/>
      <c r="L20" s="1901"/>
      <c r="M20" s="1902"/>
      <c r="N20" s="1649"/>
      <c r="O20" s="1003"/>
      <c r="P20" s="1891"/>
      <c r="Q20" s="1003"/>
      <c r="R20" s="1003"/>
      <c r="S20" s="1003"/>
      <c r="T20" s="1003"/>
      <c r="U20" s="1003"/>
      <c r="V20" s="1003"/>
    </row>
    <row r="21" spans="2:22" s="109" customFormat="1" ht="15" customHeight="1" x14ac:dyDescent="0.2">
      <c r="B21" s="1008">
        <v>114600</v>
      </c>
      <c r="C21" s="1003"/>
      <c r="D21" s="917"/>
      <c r="E21" s="1009"/>
      <c r="F21" s="917"/>
      <c r="G21" s="1009"/>
      <c r="H21" s="1010"/>
      <c r="I21" s="1003"/>
      <c r="J21" s="1891"/>
      <c r="K21" s="1003"/>
      <c r="L21" s="1901"/>
      <c r="M21" s="1902"/>
      <c r="N21" s="1649"/>
      <c r="O21" s="1003"/>
      <c r="P21" s="1891"/>
      <c r="Q21" s="1003"/>
      <c r="R21" s="1003"/>
      <c r="S21" s="1003"/>
      <c r="T21" s="1003"/>
      <c r="U21" s="1003"/>
      <c r="V21" s="1003"/>
    </row>
    <row r="22" spans="2:22" s="109" customFormat="1" ht="15" customHeight="1" x14ac:dyDescent="0.2">
      <c r="B22" s="1008">
        <v>114600</v>
      </c>
      <c r="C22" s="1003"/>
      <c r="D22" s="917"/>
      <c r="E22" s="1009"/>
      <c r="F22" s="917"/>
      <c r="G22" s="1009"/>
      <c r="H22" s="1010"/>
      <c r="I22" s="1003"/>
      <c r="J22" s="1891"/>
      <c r="K22" s="1003"/>
      <c r="L22" s="1901"/>
      <c r="M22" s="1902"/>
      <c r="N22" s="1649"/>
      <c r="O22" s="1003"/>
      <c r="P22" s="1891"/>
      <c r="Q22" s="1003"/>
      <c r="R22" s="1003"/>
      <c r="S22" s="1003"/>
      <c r="T22" s="1003"/>
      <c r="U22" s="1003"/>
      <c r="V22" s="1003"/>
    </row>
    <row r="23" spans="2:22" s="109" customFormat="1" ht="15" customHeight="1" x14ac:dyDescent="0.2">
      <c r="B23" s="1008">
        <v>114600</v>
      </c>
      <c r="C23" s="1003"/>
      <c r="D23" s="917"/>
      <c r="E23" s="1009"/>
      <c r="F23" s="917"/>
      <c r="G23" s="1009"/>
      <c r="H23" s="1010"/>
      <c r="I23" s="1003"/>
      <c r="J23" s="1891"/>
      <c r="K23" s="1003"/>
      <c r="L23" s="1901"/>
      <c r="M23" s="1902"/>
      <c r="N23" s="1649"/>
      <c r="O23" s="1003"/>
      <c r="P23" s="1891"/>
      <c r="Q23" s="1003"/>
      <c r="R23" s="1003"/>
      <c r="S23" s="1003"/>
      <c r="T23" s="1003"/>
      <c r="U23" s="1003"/>
      <c r="V23" s="1003"/>
    </row>
    <row r="24" spans="2:22" s="109" customFormat="1" ht="15" customHeight="1" x14ac:dyDescent="0.2">
      <c r="B24" s="1008">
        <v>114600</v>
      </c>
      <c r="C24" s="1003"/>
      <c r="D24" s="917"/>
      <c r="E24" s="1009"/>
      <c r="F24" s="917"/>
      <c r="G24" s="1009"/>
      <c r="H24" s="1010"/>
      <c r="I24" s="1003"/>
      <c r="J24" s="1891"/>
      <c r="K24" s="1003"/>
      <c r="L24" s="1901"/>
      <c r="M24" s="1902"/>
      <c r="N24" s="1649"/>
      <c r="O24" s="1003"/>
      <c r="P24" s="1891"/>
      <c r="Q24" s="1003"/>
      <c r="R24" s="1003"/>
      <c r="S24" s="1003"/>
      <c r="T24" s="1003"/>
      <c r="U24" s="1003"/>
      <c r="V24" s="1003"/>
    </row>
    <row r="25" spans="2:22" s="109" customFormat="1" ht="15" customHeight="1" x14ac:dyDescent="0.2">
      <c r="B25" s="1008">
        <v>114600</v>
      </c>
      <c r="C25" s="1003"/>
      <c r="D25" s="917"/>
      <c r="E25" s="1009"/>
      <c r="F25" s="917"/>
      <c r="G25" s="1009"/>
      <c r="H25" s="1010"/>
      <c r="I25" s="1003"/>
      <c r="J25" s="1891"/>
      <c r="K25" s="1003"/>
      <c r="L25" s="1901"/>
      <c r="M25" s="1902"/>
      <c r="N25" s="1649"/>
      <c r="O25" s="1003"/>
      <c r="P25" s="1891"/>
      <c r="Q25" s="1003"/>
      <c r="R25" s="1003"/>
      <c r="S25" s="1003"/>
      <c r="T25" s="1003"/>
      <c r="U25" s="1003"/>
      <c r="V25" s="1003"/>
    </row>
    <row r="26" spans="2:22" s="109" customFormat="1" ht="15" customHeight="1" thickBot="1" x14ac:dyDescent="0.25">
      <c r="B26" s="1009"/>
      <c r="C26" s="1003"/>
      <c r="D26" s="110"/>
      <c r="E26" s="110"/>
      <c r="F26" s="110" t="s">
        <v>1853</v>
      </c>
      <c r="G26" s="110"/>
      <c r="H26" s="1011">
        <f>SUM(H14:H25)</f>
        <v>0</v>
      </c>
      <c r="I26" s="1003"/>
      <c r="J26" s="146" t="s">
        <v>1858</v>
      </c>
      <c r="K26" s="1003"/>
      <c r="L26" s="1006"/>
      <c r="M26" s="1006"/>
      <c r="N26" s="1006"/>
      <c r="O26" s="1003"/>
      <c r="P26" s="1003"/>
      <c r="Q26" s="1003"/>
      <c r="R26" s="1003"/>
      <c r="S26" s="1003"/>
      <c r="T26" s="1003"/>
      <c r="U26" s="1003"/>
      <c r="V26" s="1003"/>
    </row>
    <row r="27" spans="2:22" s="109" customFormat="1" ht="7.35" customHeight="1" x14ac:dyDescent="0.2">
      <c r="B27" s="1003"/>
      <c r="C27" s="1003"/>
      <c r="D27" s="1003"/>
      <c r="E27" s="110"/>
      <c r="F27" s="110"/>
      <c r="G27" s="110"/>
      <c r="H27" s="1003"/>
      <c r="I27" s="1003"/>
      <c r="J27" s="1003"/>
      <c r="K27" s="1003"/>
      <c r="L27" s="1003"/>
      <c r="M27" s="1003"/>
      <c r="N27" s="1003"/>
      <c r="O27" s="110"/>
      <c r="P27" s="1003"/>
      <c r="Q27" s="1003"/>
      <c r="R27" s="1003"/>
      <c r="S27" s="1003"/>
      <c r="T27" s="1003"/>
      <c r="U27" s="1003"/>
      <c r="V27" s="1003"/>
    </row>
    <row r="28" spans="2:22" s="1003" customFormat="1" ht="15" customHeight="1" x14ac:dyDescent="0.2">
      <c r="B28" s="630" t="s">
        <v>1859</v>
      </c>
      <c r="C28" s="1004"/>
      <c r="D28" s="634"/>
      <c r="E28" s="110"/>
      <c r="F28" s="110"/>
      <c r="G28" s="110"/>
      <c r="H28" s="1005"/>
      <c r="L28" s="1006"/>
      <c r="M28" s="1006"/>
      <c r="N28" s="1006"/>
      <c r="R28" s="1007"/>
      <c r="S28" s="1007"/>
      <c r="T28" s="1007"/>
      <c r="U28" s="1007"/>
      <c r="V28" s="1007"/>
    </row>
    <row r="29" spans="2:22" s="1003" customFormat="1" ht="15" customHeight="1" x14ac:dyDescent="0.2">
      <c r="B29" s="1008">
        <v>124100</v>
      </c>
      <c r="D29" s="917"/>
      <c r="E29" s="1009"/>
      <c r="F29" s="917"/>
      <c r="G29" s="1009"/>
      <c r="H29" s="1010"/>
      <c r="J29" s="1891"/>
      <c r="L29" s="1901"/>
      <c r="M29" s="1902"/>
      <c r="N29" s="1649"/>
      <c r="P29" s="1891"/>
      <c r="R29" s="1007"/>
      <c r="S29" s="1007"/>
      <c r="T29" s="1007"/>
      <c r="U29" s="1007"/>
      <c r="V29" s="1007"/>
    </row>
    <row r="30" spans="2:22" s="1003" customFormat="1" ht="15" customHeight="1" x14ac:dyDescent="0.2">
      <c r="B30" s="1008">
        <v>124100</v>
      </c>
      <c r="D30" s="917"/>
      <c r="E30" s="1009"/>
      <c r="F30" s="917"/>
      <c r="G30" s="1009"/>
      <c r="H30" s="1010"/>
      <c r="J30" s="1891"/>
      <c r="L30" s="1901"/>
      <c r="M30" s="1902"/>
      <c r="N30" s="1649"/>
      <c r="P30" s="1891"/>
      <c r="R30" s="1007"/>
      <c r="S30" s="1007"/>
      <c r="T30" s="1007"/>
      <c r="U30" s="1007"/>
      <c r="V30" s="1007"/>
    </row>
    <row r="31" spans="2:22" s="1003" customFormat="1" ht="15" customHeight="1" x14ac:dyDescent="0.2">
      <c r="B31" s="1008">
        <v>124100</v>
      </c>
      <c r="D31" s="917"/>
      <c r="E31" s="1009"/>
      <c r="F31" s="917"/>
      <c r="G31" s="1009"/>
      <c r="H31" s="1010"/>
      <c r="J31" s="1891"/>
      <c r="L31" s="1901"/>
      <c r="M31" s="1902"/>
      <c r="N31" s="1649"/>
      <c r="P31" s="1891"/>
      <c r="R31" s="1007"/>
      <c r="S31" s="1007"/>
      <c r="T31" s="1007"/>
      <c r="U31" s="1007"/>
      <c r="V31" s="1007"/>
    </row>
    <row r="32" spans="2:22" s="1003" customFormat="1" ht="15" customHeight="1" thickBot="1" x14ac:dyDescent="0.25">
      <c r="E32" s="110"/>
      <c r="F32" s="110" t="s">
        <v>1853</v>
      </c>
      <c r="G32" s="110"/>
      <c r="H32" s="1011">
        <f>SUM(H29:H31)</f>
        <v>0</v>
      </c>
      <c r="J32" s="146" t="s">
        <v>1860</v>
      </c>
      <c r="R32" s="1007"/>
      <c r="S32" s="1007"/>
      <c r="T32" s="1007"/>
      <c r="U32" s="1007"/>
      <c r="V32" s="1007"/>
    </row>
    <row r="33" spans="1:22" s="1003" customFormat="1" ht="7.35" customHeight="1" x14ac:dyDescent="0.2">
      <c r="E33" s="110"/>
      <c r="F33" s="110"/>
      <c r="G33" s="110"/>
      <c r="O33" s="110"/>
      <c r="R33" s="1007"/>
      <c r="S33" s="1007"/>
      <c r="T33" s="1007"/>
      <c r="U33" s="1007"/>
      <c r="V33" s="1007"/>
    </row>
    <row r="34" spans="1:22" s="109" customFormat="1" ht="15" customHeight="1" x14ac:dyDescent="0.2">
      <c r="A34" s="1003"/>
      <c r="B34" s="146" t="s">
        <v>1832</v>
      </c>
      <c r="C34" s="1003"/>
      <c r="D34" s="1003"/>
      <c r="E34" s="110"/>
      <c r="F34" s="110"/>
      <c r="G34" s="110"/>
      <c r="H34" s="1003"/>
      <c r="I34" s="1003"/>
      <c r="J34" s="1003"/>
      <c r="K34" s="1003"/>
      <c r="L34" s="1003"/>
      <c r="M34" s="1003"/>
      <c r="N34" s="1003"/>
      <c r="O34" s="110"/>
      <c r="P34" s="1003"/>
      <c r="Q34" s="1003"/>
      <c r="R34" s="1003"/>
      <c r="S34" s="1003"/>
      <c r="T34" s="1003"/>
      <c r="U34" s="1003"/>
      <c r="V34" s="1003"/>
    </row>
    <row r="35" spans="1:22" s="109" customFormat="1" ht="15" customHeight="1" x14ac:dyDescent="0.2">
      <c r="A35" s="1003"/>
      <c r="B35" s="1003"/>
      <c r="C35" s="1003"/>
      <c r="D35" s="1003"/>
      <c r="E35" s="110"/>
      <c r="F35" s="110"/>
      <c r="G35" s="110"/>
      <c r="H35" s="1003"/>
      <c r="I35" s="1003"/>
      <c r="J35" s="1003"/>
      <c r="K35" s="1003"/>
      <c r="L35" s="1003"/>
      <c r="M35" s="1003"/>
      <c r="N35" s="1003"/>
      <c r="O35" s="110"/>
      <c r="P35" s="1003"/>
      <c r="Q35" s="1003"/>
      <c r="R35" s="1003"/>
      <c r="S35" s="1003"/>
      <c r="T35" s="1003"/>
      <c r="U35" s="1003"/>
      <c r="V35" s="1003"/>
    </row>
    <row r="36" spans="1:22" s="109" customFormat="1" ht="15" customHeight="1" x14ac:dyDescent="0.2">
      <c r="A36" s="1003"/>
      <c r="B36" s="1003"/>
      <c r="C36" s="1003"/>
      <c r="D36" s="1003"/>
      <c r="E36" s="110"/>
      <c r="F36" s="110"/>
      <c r="G36" s="110"/>
      <c r="H36" s="1003"/>
      <c r="I36" s="1003"/>
      <c r="J36" s="1003"/>
      <c r="K36" s="1003"/>
      <c r="L36" s="1003"/>
      <c r="M36" s="1003"/>
      <c r="N36" s="1003"/>
      <c r="O36" s="110"/>
      <c r="P36" s="1003"/>
      <c r="Q36" s="1003"/>
      <c r="R36" s="1003"/>
      <c r="S36" s="1003"/>
      <c r="T36" s="1003"/>
      <c r="U36" s="1003"/>
      <c r="V36" s="1003"/>
    </row>
    <row r="37" spans="1:22" s="109" customFormat="1" ht="15" customHeight="1" x14ac:dyDescent="0.2">
      <c r="A37" s="1003"/>
      <c r="B37" s="1003"/>
      <c r="C37" s="1003"/>
      <c r="D37" s="1003"/>
      <c r="E37" s="110"/>
      <c r="F37" s="110"/>
      <c r="G37" s="110"/>
      <c r="H37" s="1003"/>
      <c r="I37" s="1003"/>
      <c r="J37" s="1003"/>
      <c r="K37" s="1003"/>
      <c r="L37" s="1003"/>
      <c r="M37" s="1003"/>
      <c r="N37" s="1003"/>
      <c r="O37" s="110"/>
      <c r="P37" s="1003"/>
      <c r="Q37" s="1003"/>
      <c r="R37" s="1003"/>
      <c r="S37" s="1003"/>
      <c r="T37" s="1003"/>
      <c r="U37" s="1003"/>
      <c r="V37" s="1003"/>
    </row>
    <row r="38" spans="1:22" s="109" customFormat="1" ht="15" customHeight="1" x14ac:dyDescent="0.2">
      <c r="A38" s="445" t="str">
        <f ca="1">MID(CELL("filename",A1),FIND("]",CELL("filename",A1))+1,256)</f>
        <v>515</v>
      </c>
      <c r="B38" s="445" t="s">
        <v>636</v>
      </c>
      <c r="C38" s="1003"/>
      <c r="D38" s="1003"/>
      <c r="E38" s="110"/>
      <c r="F38" s="110"/>
      <c r="G38" s="110"/>
      <c r="H38" s="1003"/>
      <c r="I38" s="1003"/>
      <c r="J38" s="1003"/>
      <c r="K38" s="1003"/>
      <c r="L38" s="1003"/>
      <c r="M38" s="1003"/>
      <c r="N38" s="1003"/>
      <c r="O38" s="110"/>
      <c r="P38" s="1003"/>
      <c r="Q38" s="1003"/>
      <c r="R38" s="1003"/>
      <c r="S38" s="1003"/>
      <c r="T38" s="1003"/>
      <c r="U38" s="1003"/>
      <c r="V38" s="1003"/>
    </row>
    <row r="39" spans="1:22" s="109" customFormat="1" ht="15" x14ac:dyDescent="0.2">
      <c r="A39" s="445" t="s">
        <v>380</v>
      </c>
      <c r="B39" s="445" t="str">
        <f t="shared" ref="B39:B48" ca="1" si="0">IF(ISNA(INDEX(ErrorTable,MATCH($A$38&amp;$A39&amp;FALSE,ErrorKey,0),6)),"",INDEX(ErrorTable,MATCH($A$38&amp;$A39&amp;FALSE,ErrorKey,0),6))</f>
        <v>GASB number is blank.</v>
      </c>
      <c r="C39" s="1003"/>
      <c r="D39" s="1003"/>
      <c r="E39" s="110"/>
      <c r="F39" s="110"/>
      <c r="G39" s="110"/>
      <c r="H39" s="1003"/>
      <c r="I39" s="1003"/>
      <c r="J39" s="1003"/>
      <c r="K39" s="1003"/>
      <c r="L39" s="1003"/>
      <c r="M39" s="1003"/>
      <c r="N39" s="1003"/>
      <c r="O39" s="110"/>
      <c r="P39" s="1003"/>
      <c r="Q39" s="1003"/>
      <c r="R39" s="1003"/>
      <c r="S39" s="1003"/>
      <c r="T39" s="1003"/>
      <c r="U39" s="1003"/>
      <c r="V39" s="1003"/>
    </row>
    <row r="40" spans="1:22" ht="20.85" customHeight="1" x14ac:dyDescent="0.25">
      <c r="A40" s="445" t="s">
        <v>381</v>
      </c>
      <c r="B40" s="445" t="str">
        <f t="shared" ca="1" si="0"/>
        <v/>
      </c>
    </row>
    <row r="41" spans="1:22" ht="20.85" customHeight="1" x14ac:dyDescent="0.25">
      <c r="A41" s="445" t="s">
        <v>382</v>
      </c>
      <c r="B41" s="445" t="str">
        <f t="shared" ca="1" si="0"/>
        <v/>
      </c>
    </row>
    <row r="42" spans="1:22" ht="20.85" customHeight="1" x14ac:dyDescent="0.25">
      <c r="A42" s="445" t="s">
        <v>383</v>
      </c>
      <c r="B42" s="445" t="str">
        <f t="shared" ca="1" si="0"/>
        <v/>
      </c>
    </row>
    <row r="43" spans="1:22" ht="20.85" customHeight="1" x14ac:dyDescent="0.25">
      <c r="A43" s="445" t="s">
        <v>384</v>
      </c>
      <c r="B43" s="445" t="str">
        <f t="shared" ca="1" si="0"/>
        <v/>
      </c>
    </row>
    <row r="44" spans="1:22" ht="20.85" customHeight="1" x14ac:dyDescent="0.25">
      <c r="A44" s="445" t="s">
        <v>385</v>
      </c>
      <c r="B44" s="445" t="str">
        <f t="shared" ca="1" si="0"/>
        <v/>
      </c>
      <c r="D44" s="42" t="s">
        <v>50</v>
      </c>
      <c r="E44" s="42"/>
      <c r="F44" s="42"/>
      <c r="G44" s="42"/>
      <c r="H44" s="42"/>
      <c r="I44" s="42"/>
      <c r="J44" s="42"/>
      <c r="K44" s="42"/>
    </row>
    <row r="45" spans="1:22" ht="20.85" customHeight="1" x14ac:dyDescent="0.25">
      <c r="A45" s="445" t="s">
        <v>386</v>
      </c>
      <c r="B45" s="445" t="str">
        <f t="shared" ca="1" si="0"/>
        <v/>
      </c>
      <c r="D45" s="42" t="s">
        <v>50</v>
      </c>
      <c r="E45" s="42"/>
      <c r="F45" s="42"/>
      <c r="G45" s="42"/>
      <c r="L45" s="41" t="s">
        <v>50</v>
      </c>
      <c r="M45" s="41"/>
      <c r="N45" s="41"/>
      <c r="O45" s="41"/>
    </row>
    <row r="46" spans="1:22" ht="20.85" customHeight="1" x14ac:dyDescent="0.25">
      <c r="A46" s="445" t="s">
        <v>387</v>
      </c>
      <c r="B46" s="445" t="str">
        <f t="shared" ca="1" si="0"/>
        <v/>
      </c>
    </row>
    <row r="47" spans="1:22" ht="20.85" customHeight="1" x14ac:dyDescent="0.25">
      <c r="A47" s="445" t="s">
        <v>388</v>
      </c>
      <c r="B47" s="445" t="str">
        <f t="shared" ca="1" si="0"/>
        <v/>
      </c>
    </row>
    <row r="48" spans="1:22" ht="20.85" customHeight="1" x14ac:dyDescent="0.25">
      <c r="A48" s="445" t="s">
        <v>389</v>
      </c>
      <c r="B48" s="445" t="str">
        <f t="shared" ca="1" si="0"/>
        <v/>
      </c>
    </row>
    <row r="49" spans="4:15" ht="20.85" customHeight="1" x14ac:dyDescent="0.25"/>
    <row r="50" spans="4:15" ht="20.85" customHeight="1" x14ac:dyDescent="0.25"/>
    <row r="51" spans="4:15" ht="20.85" customHeight="1" x14ac:dyDescent="0.25"/>
    <row r="52" spans="4:15" ht="20.85" customHeight="1" x14ac:dyDescent="0.25">
      <c r="D52" s="40" t="s">
        <v>50</v>
      </c>
    </row>
    <row r="53" spans="4:15" ht="20.85" customHeight="1" x14ac:dyDescent="0.25"/>
    <row r="54" spans="4:15" ht="20.85" customHeight="1" x14ac:dyDescent="0.25"/>
    <row r="55" spans="4:15" ht="20.85" customHeight="1" x14ac:dyDescent="0.25">
      <c r="D55" s="42" t="s">
        <v>50</v>
      </c>
      <c r="E55" s="42"/>
      <c r="F55" s="42"/>
      <c r="G55" s="42"/>
      <c r="L55" s="41" t="s">
        <v>50</v>
      </c>
      <c r="M55" s="41"/>
      <c r="N55" s="41"/>
      <c r="O55" s="41"/>
    </row>
  </sheetData>
  <sheetProtection algorithmName="SHA-512" hashValue="/HEun09J8Igzkak7o5WZ9/HZM7vk/aqNaJDOkfYs6+NWcYS2Ki7umVEXuM9xk9MIfJOFtiPwP1efD1ys29IM7g==" saltValue="W6uBdS4RsqNjUeJretlQyA=="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8:H8"/>
    <mergeCell ref="B4:Q4"/>
    <mergeCell ref="J11:N11"/>
    <mergeCell ref="Q1:Q3"/>
    <mergeCell ref="B2:P2"/>
    <mergeCell ref="B3:P3"/>
    <mergeCell ref="B1:P1"/>
    <mergeCell ref="D7:G7"/>
    <mergeCell ref="B5:Q5"/>
  </mergeCells>
  <phoneticPr fontId="16" type="noConversion"/>
  <conditionalFormatting sqref="Q1:Q3">
    <cfRule type="cellIs" dxfId="69" priority="1" stopIfTrue="1" operator="equal">
      <formula>"na"</formula>
    </cfRule>
  </conditionalFormatting>
  <dataValidations count="3">
    <dataValidation type="textLength" operator="equal" allowBlank="1" showInputMessage="1" showErrorMessage="1" errorTitle="Invalid data!" error="GASB number must be 4 digits." sqref="D9 F14:F25" xr:uid="{00000000-0002-0000-2900-000000000000}">
      <formula1>4</formula1>
    </dataValidation>
    <dataValidation type="list" allowBlank="1" showInputMessage="1" showErrorMessage="1" sqref="D14:D25 D29:D31" xr:uid="{00000000-0002-0000-2900-000001000000}">
      <formula1>List505thru520</formula1>
    </dataValidation>
    <dataValidation type="textLength" operator="equal" allowBlank="1" showInputMessage="1" showErrorMessage="1" sqref="F29 F30 F31" xr:uid="{807C4050-9A5C-46D5-9633-FDF4C44E8DD7}">
      <formula1>4</formula1>
    </dataValidation>
  </dataValidations>
  <hyperlinks>
    <hyperlink ref="B1:P1" location="Index!A1" display="Index!A1" xr:uid="{00000000-0004-0000-2900-000000000000}"/>
  </hyperlinks>
  <pageMargins left="0.6" right="0.6" top="0.5" bottom="0.5" header="0.3" footer="0.3"/>
  <pageSetup scale="85" orientation="landscape"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12">
    <pageSetUpPr fitToPage="1"/>
  </sheetPr>
  <dimension ref="A1:Q55"/>
  <sheetViews>
    <sheetView showGridLines="0" topLeftCell="B1" zoomScaleNormal="100" workbookViewId="0">
      <selection activeCell="B4" sqref="B4:P4"/>
    </sheetView>
  </sheetViews>
  <sheetFormatPr defaultColWidth="9.42578125" defaultRowHeight="15.75" x14ac:dyDescent="0.25"/>
  <cols>
    <col min="1" max="1" width="0" style="40" hidden="1" customWidth="1"/>
    <col min="2" max="2" width="13.5703125" style="40" customWidth="1"/>
    <col min="3" max="3" width="1.5703125" style="40" customWidth="1"/>
    <col min="4" max="4" width="7.42578125" style="40" customWidth="1"/>
    <col min="5" max="5" width="1.5703125" style="40" customWidth="1"/>
    <col min="6" max="6" width="8.42578125" style="40" customWidth="1"/>
    <col min="7" max="7" width="1.5703125" style="40" customWidth="1"/>
    <col min="8" max="8" width="16.5703125" style="40" customWidth="1"/>
    <col min="9" max="9" width="1.5703125" style="40" customWidth="1"/>
    <col min="10" max="10" width="15.42578125" style="40" customWidth="1"/>
    <col min="11" max="11" width="1" style="40" customWidth="1"/>
    <col min="12" max="12" width="13.42578125" style="40" customWidth="1"/>
    <col min="13" max="13" width="0.85546875" style="40" customWidth="1"/>
    <col min="14" max="14" width="13.42578125" style="40" customWidth="1"/>
    <col min="15" max="15" width="0.85546875" style="40" customWidth="1"/>
    <col min="16" max="16" width="36.42578125" style="40" customWidth="1"/>
    <col min="17" max="17" width="4.5703125" style="40" bestFit="1" customWidth="1"/>
    <col min="18" max="16384" width="9.42578125" style="40"/>
  </cols>
  <sheetData>
    <row r="1" spans="2:17" s="108" customFormat="1" ht="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520" t="str">
        <f>IF(Index!$B$69="na","NA","")</f>
        <v/>
      </c>
    </row>
    <row r="2" spans="2:17" s="108" customFormat="1" ht="15" customHeight="1" x14ac:dyDescent="0.25">
      <c r="B2" s="2749" t="str">
        <f>+Index!$A$2</f>
        <v>2023 ACFR Worksheets</v>
      </c>
      <c r="C2" s="2749"/>
      <c r="D2" s="2749"/>
      <c r="E2" s="2749"/>
      <c r="F2" s="2749"/>
      <c r="G2" s="2749"/>
      <c r="H2" s="2749"/>
      <c r="I2" s="2749"/>
      <c r="J2" s="2749"/>
      <c r="K2" s="2749"/>
      <c r="L2" s="2749"/>
      <c r="M2" s="2749"/>
      <c r="N2" s="2749"/>
      <c r="O2" s="2749"/>
      <c r="P2" s="2749"/>
      <c r="Q2" s="2520"/>
    </row>
    <row r="3" spans="2:17" s="108" customFormat="1" ht="15" customHeight="1" x14ac:dyDescent="0.25">
      <c r="B3" s="2749" t="s">
        <v>1861</v>
      </c>
      <c r="C3" s="2749"/>
      <c r="D3" s="2749"/>
      <c r="E3" s="2749"/>
      <c r="F3" s="2749"/>
      <c r="G3" s="2749"/>
      <c r="H3" s="2749"/>
      <c r="I3" s="2749"/>
      <c r="J3" s="2749"/>
      <c r="K3" s="2749"/>
      <c r="L3" s="2749"/>
      <c r="M3" s="2749"/>
      <c r="N3" s="2749"/>
      <c r="O3" s="2749"/>
      <c r="P3" s="2749"/>
      <c r="Q3" s="2520"/>
    </row>
    <row r="4" spans="2:17" s="108" customFormat="1" ht="15" customHeight="1" x14ac:dyDescent="0.25">
      <c r="B4" s="2749" t="s">
        <v>1849</v>
      </c>
      <c r="C4" s="2749"/>
      <c r="D4" s="2749"/>
      <c r="E4" s="2749"/>
      <c r="F4" s="2749"/>
      <c r="G4" s="2749"/>
      <c r="H4" s="2749"/>
      <c r="I4" s="2749"/>
      <c r="J4" s="2749"/>
      <c r="K4" s="2749"/>
      <c r="L4" s="2749"/>
      <c r="M4" s="2749"/>
      <c r="N4" s="2749"/>
      <c r="O4" s="2749"/>
      <c r="P4" s="2749"/>
    </row>
    <row r="5" spans="2:17" s="108" customFormat="1" ht="15" customHeight="1" x14ac:dyDescent="0.25">
      <c r="B5" s="2747" t="s">
        <v>1850</v>
      </c>
      <c r="C5" s="2747"/>
      <c r="D5" s="2747"/>
      <c r="E5" s="2747"/>
      <c r="F5" s="2747"/>
      <c r="G5" s="2747"/>
      <c r="H5" s="2747"/>
      <c r="I5" s="2747"/>
      <c r="J5" s="2747"/>
      <c r="K5" s="2747"/>
      <c r="L5" s="2747"/>
      <c r="M5" s="2747"/>
      <c r="N5" s="2747"/>
      <c r="O5" s="2747"/>
      <c r="P5" s="2747"/>
      <c r="Q5" s="2747"/>
    </row>
    <row r="6" spans="2:17" s="109" customFormat="1" ht="15" customHeight="1" x14ac:dyDescent="0.3">
      <c r="B6" s="111"/>
      <c r="C6" s="1887"/>
      <c r="D6" s="1887"/>
      <c r="E6" s="1887"/>
      <c r="F6" s="1887"/>
      <c r="G6" s="1887"/>
      <c r="H6" s="1887"/>
      <c r="I6" s="1887"/>
      <c r="J6" s="1887"/>
      <c r="K6" s="111"/>
      <c r="L6" s="913"/>
      <c r="M6" s="913"/>
      <c r="N6" s="913"/>
      <c r="O6" s="1887"/>
      <c r="P6" s="1002" t="s">
        <v>1856</v>
      </c>
      <c r="Q6" s="1003"/>
    </row>
    <row r="7" spans="2:17" s="109" customFormat="1" ht="15" customHeight="1" x14ac:dyDescent="0.2">
      <c r="B7" s="1888" t="s">
        <v>317</v>
      </c>
      <c r="C7" s="1003"/>
      <c r="D7" s="2745" t="str">
        <f>+Index!$E$10</f>
        <v>01</v>
      </c>
      <c r="E7" s="2745"/>
      <c r="F7" s="2745"/>
      <c r="G7" s="2745"/>
      <c r="H7" s="1873"/>
      <c r="I7" s="1003"/>
      <c r="J7" s="1003"/>
      <c r="K7" s="1003"/>
      <c r="L7" s="1003"/>
      <c r="M7" s="1003"/>
      <c r="N7" s="1003"/>
      <c r="O7" s="1889" t="s">
        <v>319</v>
      </c>
      <c r="P7" s="2312" t="str">
        <f>CONCATENATE(Index!$E$12," ",Index!$E$14)</f>
        <v xml:space="preserve"> </v>
      </c>
      <c r="Q7" s="1003"/>
    </row>
    <row r="8" spans="2:17" s="109" customFormat="1" ht="15" customHeight="1" x14ac:dyDescent="0.2">
      <c r="B8" s="1888" t="s">
        <v>318</v>
      </c>
      <c r="C8" s="1003"/>
      <c r="D8" s="2745" t="str">
        <f>+Index!$E$11</f>
        <v>North Carolina General Assembly</v>
      </c>
      <c r="E8" s="2745"/>
      <c r="F8" s="2745"/>
      <c r="G8" s="2745"/>
      <c r="H8" s="2745"/>
      <c r="I8" s="1003"/>
      <c r="J8" s="1003"/>
      <c r="K8" s="1003"/>
      <c r="L8" s="1003"/>
      <c r="M8" s="1003"/>
      <c r="N8" s="1003"/>
      <c r="O8" s="1889" t="s">
        <v>71</v>
      </c>
      <c r="P8" s="1890">
        <f>+Index!$E$13</f>
        <v>0</v>
      </c>
      <c r="Q8" s="1003"/>
    </row>
    <row r="9" spans="2:17" s="109" customFormat="1" ht="15" customHeight="1" x14ac:dyDescent="0.2">
      <c r="B9" s="1888" t="s">
        <v>1838</v>
      </c>
      <c r="C9" s="1003"/>
      <c r="D9" s="1891"/>
      <c r="E9" s="1003"/>
      <c r="F9" s="1003"/>
      <c r="G9" s="1003"/>
      <c r="H9" s="1003"/>
      <c r="I9" s="1003"/>
      <c r="J9" s="1003"/>
      <c r="K9" s="1003"/>
      <c r="L9" s="1003"/>
      <c r="M9" s="1003"/>
      <c r="N9" s="1003"/>
      <c r="O9" s="1003"/>
      <c r="P9" s="1003"/>
      <c r="Q9" s="1003"/>
    </row>
    <row r="10" spans="2:17" s="109" customFormat="1" ht="15" customHeight="1" thickBot="1" x14ac:dyDescent="0.25">
      <c r="B10" s="1892"/>
      <c r="C10" s="1892"/>
      <c r="D10" s="1892"/>
      <c r="E10" s="1892"/>
      <c r="F10" s="1892"/>
      <c r="G10" s="1892"/>
      <c r="H10" s="1892"/>
      <c r="I10" s="1892"/>
      <c r="J10" s="1892"/>
      <c r="K10" s="1893"/>
      <c r="L10" s="1892"/>
      <c r="M10" s="1892"/>
      <c r="N10" s="1892"/>
      <c r="O10" s="1892"/>
      <c r="P10" s="1892"/>
      <c r="Q10" s="1003"/>
    </row>
    <row r="11" spans="2:17" s="109" customFormat="1" ht="15" customHeight="1" thickBot="1" x14ac:dyDescent="0.25">
      <c r="B11" s="631" t="s">
        <v>1862</v>
      </c>
      <c r="C11" s="1003"/>
      <c r="D11" s="102" t="s">
        <v>1826</v>
      </c>
      <c r="E11" s="1248"/>
      <c r="F11" s="102" t="s">
        <v>1826</v>
      </c>
      <c r="G11" s="1003"/>
      <c r="H11" s="1003"/>
      <c r="I11" s="111"/>
      <c r="J11" s="2748" t="s">
        <v>1851</v>
      </c>
      <c r="K11" s="2748"/>
      <c r="L11" s="2748"/>
      <c r="M11" s="2748"/>
      <c r="N11" s="2748"/>
      <c r="O11" s="1871"/>
      <c r="P11" s="1003"/>
      <c r="Q11" s="1003"/>
    </row>
    <row r="12" spans="2:17" s="109" customFormat="1" ht="15" customHeight="1" x14ac:dyDescent="0.2">
      <c r="B12" s="110" t="s">
        <v>1825</v>
      </c>
      <c r="C12" s="1003"/>
      <c r="D12" s="102" t="s">
        <v>1840</v>
      </c>
      <c r="E12" s="1248"/>
      <c r="F12" s="102" t="s">
        <v>1596</v>
      </c>
      <c r="G12" s="1003"/>
      <c r="H12" s="1003"/>
      <c r="I12" s="111"/>
      <c r="J12" s="1248"/>
      <c r="K12" s="1248"/>
      <c r="L12" s="1546" t="s">
        <v>1841</v>
      </c>
      <c r="M12" s="102"/>
      <c r="N12" s="1546" t="s">
        <v>1842</v>
      </c>
      <c r="O12" s="1248"/>
      <c r="P12" s="1003"/>
      <c r="Q12" s="1003"/>
    </row>
    <row r="13" spans="2:17" s="109" customFormat="1" ht="15" customHeight="1" thickBot="1" x14ac:dyDescent="0.25">
      <c r="B13" s="112" t="s">
        <v>748</v>
      </c>
      <c r="C13" s="110"/>
      <c r="D13" s="2315" t="s">
        <v>1700</v>
      </c>
      <c r="E13" s="1248"/>
      <c r="F13" s="2315" t="s">
        <v>1700</v>
      </c>
      <c r="G13" s="1003"/>
      <c r="H13" s="112" t="s">
        <v>1347</v>
      </c>
      <c r="I13" s="1003"/>
      <c r="J13" s="2315" t="s">
        <v>1396</v>
      </c>
      <c r="K13" s="1894"/>
      <c r="L13" s="1547" t="s">
        <v>1844</v>
      </c>
      <c r="M13" s="102"/>
      <c r="N13" s="1547" t="s">
        <v>670</v>
      </c>
      <c r="O13" s="1894"/>
      <c r="P13" s="112" t="s">
        <v>1845</v>
      </c>
      <c r="Q13" s="1003"/>
    </row>
    <row r="14" spans="2:17" s="109" customFormat="1" ht="15" customHeight="1" x14ac:dyDescent="0.2">
      <c r="B14" s="1008">
        <v>212500</v>
      </c>
      <c r="C14" s="1009"/>
      <c r="D14" s="917"/>
      <c r="E14" s="1009"/>
      <c r="F14" s="917"/>
      <c r="G14" s="1009"/>
      <c r="H14" s="1010"/>
      <c r="I14" s="1003"/>
      <c r="J14" s="1223"/>
      <c r="K14" s="1898"/>
      <c r="L14" s="1650"/>
      <c r="M14" s="1899"/>
      <c r="N14" s="1649"/>
      <c r="O14" s="1897"/>
      <c r="P14" s="1223"/>
      <c r="Q14" s="1003"/>
    </row>
    <row r="15" spans="2:17" s="109" customFormat="1" ht="15" customHeight="1" x14ac:dyDescent="0.2">
      <c r="B15" s="1008">
        <v>212500</v>
      </c>
      <c r="C15" s="1009"/>
      <c r="D15" s="917"/>
      <c r="E15" s="1009"/>
      <c r="F15" s="917"/>
      <c r="G15" s="1009"/>
      <c r="H15" s="1010"/>
      <c r="I15" s="1003"/>
      <c r="J15" s="1223"/>
      <c r="K15" s="1898"/>
      <c r="L15" s="1650"/>
      <c r="M15" s="1899"/>
      <c r="N15" s="1649"/>
      <c r="O15" s="1897"/>
      <c r="P15" s="1223"/>
      <c r="Q15" s="1003"/>
    </row>
    <row r="16" spans="2:17" s="109" customFormat="1" ht="15" customHeight="1" x14ac:dyDescent="0.2">
      <c r="B16" s="1008">
        <v>212500</v>
      </c>
      <c r="C16" s="1009"/>
      <c r="D16" s="917"/>
      <c r="E16" s="1009"/>
      <c r="F16" s="917"/>
      <c r="G16" s="1009"/>
      <c r="H16" s="1010"/>
      <c r="I16" s="1003"/>
      <c r="J16" s="1223"/>
      <c r="K16" s="1898"/>
      <c r="L16" s="1650"/>
      <c r="M16" s="1899"/>
      <c r="N16" s="1649"/>
      <c r="O16" s="1897"/>
      <c r="P16" s="1223"/>
      <c r="Q16" s="1003"/>
    </row>
    <row r="17" spans="2:17" s="109" customFormat="1" ht="15" customHeight="1" x14ac:dyDescent="0.2">
      <c r="B17" s="1008">
        <v>212500</v>
      </c>
      <c r="C17" s="1009"/>
      <c r="D17" s="917"/>
      <c r="E17" s="1009"/>
      <c r="F17" s="917"/>
      <c r="G17" s="1009"/>
      <c r="H17" s="1010"/>
      <c r="I17" s="1003"/>
      <c r="J17" s="1223"/>
      <c r="K17" s="1248"/>
      <c r="L17" s="1650"/>
      <c r="M17" s="1899"/>
      <c r="N17" s="1649"/>
      <c r="O17" s="1003"/>
      <c r="P17" s="1223"/>
      <c r="Q17" s="1003"/>
    </row>
    <row r="18" spans="2:17" s="109" customFormat="1" ht="15" customHeight="1" x14ac:dyDescent="0.2">
      <c r="B18" s="1008">
        <v>212500</v>
      </c>
      <c r="C18" s="1009"/>
      <c r="D18" s="917"/>
      <c r="E18" s="1009"/>
      <c r="F18" s="917"/>
      <c r="G18" s="1009"/>
      <c r="H18" s="1010"/>
      <c r="I18" s="1003"/>
      <c r="J18" s="1891"/>
      <c r="K18" s="1003"/>
      <c r="L18" s="1901"/>
      <c r="M18" s="1902"/>
      <c r="N18" s="1649"/>
      <c r="O18" s="1003"/>
      <c r="P18" s="1891"/>
      <c r="Q18" s="1003"/>
    </row>
    <row r="19" spans="2:17" s="109" customFormat="1" ht="15" customHeight="1" x14ac:dyDescent="0.2">
      <c r="B19" s="1008">
        <v>212500</v>
      </c>
      <c r="C19" s="1009"/>
      <c r="D19" s="917"/>
      <c r="E19" s="1009"/>
      <c r="F19" s="917"/>
      <c r="G19" s="1009"/>
      <c r="H19" s="1010"/>
      <c r="I19" s="1003"/>
      <c r="J19" s="1891"/>
      <c r="K19" s="1003"/>
      <c r="L19" s="1901"/>
      <c r="M19" s="1902"/>
      <c r="N19" s="1649"/>
      <c r="O19" s="1003"/>
      <c r="P19" s="1891"/>
      <c r="Q19" s="1003"/>
    </row>
    <row r="20" spans="2:17" s="109" customFormat="1" ht="15" customHeight="1" x14ac:dyDescent="0.2">
      <c r="B20" s="1008">
        <v>212500</v>
      </c>
      <c r="C20" s="1009"/>
      <c r="D20" s="917"/>
      <c r="E20" s="1009"/>
      <c r="F20" s="917"/>
      <c r="G20" s="1009"/>
      <c r="H20" s="1010"/>
      <c r="I20" s="1003"/>
      <c r="J20" s="1891"/>
      <c r="K20" s="1003"/>
      <c r="L20" s="1901"/>
      <c r="M20" s="1902"/>
      <c r="N20" s="1649"/>
      <c r="O20" s="1003"/>
      <c r="P20" s="1891"/>
      <c r="Q20" s="1003"/>
    </row>
    <row r="21" spans="2:17" s="109" customFormat="1" ht="15" customHeight="1" x14ac:dyDescent="0.2">
      <c r="B21" s="1008">
        <v>212500</v>
      </c>
      <c r="C21" s="1009"/>
      <c r="D21" s="917"/>
      <c r="E21" s="1009"/>
      <c r="F21" s="917"/>
      <c r="G21" s="1009"/>
      <c r="H21" s="1010"/>
      <c r="I21" s="1003"/>
      <c r="J21" s="1891"/>
      <c r="K21" s="1003"/>
      <c r="L21" s="1901"/>
      <c r="M21" s="1902"/>
      <c r="N21" s="1649"/>
      <c r="O21" s="1003"/>
      <c r="P21" s="1891"/>
      <c r="Q21" s="1003"/>
    </row>
    <row r="22" spans="2:17" s="109" customFormat="1" ht="15" customHeight="1" x14ac:dyDescent="0.2">
      <c r="B22" s="1008">
        <v>212500</v>
      </c>
      <c r="C22" s="1009"/>
      <c r="D22" s="917"/>
      <c r="E22" s="1009"/>
      <c r="F22" s="917"/>
      <c r="G22" s="1009"/>
      <c r="H22" s="1010"/>
      <c r="I22" s="1003"/>
      <c r="J22" s="1891"/>
      <c r="K22" s="1003"/>
      <c r="L22" s="1901"/>
      <c r="M22" s="1902"/>
      <c r="N22" s="1649"/>
      <c r="O22" s="1003"/>
      <c r="P22" s="1891"/>
      <c r="Q22" s="1003"/>
    </row>
    <row r="23" spans="2:17" s="109" customFormat="1" ht="15" customHeight="1" x14ac:dyDescent="0.2">
      <c r="B23" s="1008">
        <v>212500</v>
      </c>
      <c r="C23" s="1009"/>
      <c r="D23" s="917"/>
      <c r="E23" s="1009"/>
      <c r="F23" s="917"/>
      <c r="G23" s="1009"/>
      <c r="H23" s="1010"/>
      <c r="I23" s="1003"/>
      <c r="J23" s="1891"/>
      <c r="K23" s="1003"/>
      <c r="L23" s="1901"/>
      <c r="M23" s="1902"/>
      <c r="N23" s="1649"/>
      <c r="O23" s="1003"/>
      <c r="P23" s="1891"/>
      <c r="Q23" s="1003"/>
    </row>
    <row r="24" spans="2:17" s="109" customFormat="1" ht="15" customHeight="1" x14ac:dyDescent="0.2">
      <c r="B24" s="1008">
        <v>212500</v>
      </c>
      <c r="C24" s="1009"/>
      <c r="D24" s="917"/>
      <c r="E24" s="1009"/>
      <c r="F24" s="917"/>
      <c r="G24" s="1009"/>
      <c r="H24" s="1010"/>
      <c r="I24" s="1003"/>
      <c r="J24" s="1891"/>
      <c r="K24" s="1003"/>
      <c r="L24" s="1901"/>
      <c r="M24" s="1902"/>
      <c r="N24" s="1649"/>
      <c r="O24" s="1003"/>
      <c r="P24" s="1891"/>
      <c r="Q24" s="1003"/>
    </row>
    <row r="25" spans="2:17" s="109" customFormat="1" ht="15" customHeight="1" x14ac:dyDescent="0.2">
      <c r="B25" s="1008">
        <v>212500</v>
      </c>
      <c r="C25" s="1009"/>
      <c r="D25" s="917"/>
      <c r="E25" s="1009"/>
      <c r="F25" s="917"/>
      <c r="G25" s="1009"/>
      <c r="H25" s="1010"/>
      <c r="I25" s="1003"/>
      <c r="J25" s="1891"/>
      <c r="K25" s="1003"/>
      <c r="L25" s="1901"/>
      <c r="M25" s="1902"/>
      <c r="N25" s="1649"/>
      <c r="O25" s="1003"/>
      <c r="P25" s="1891"/>
      <c r="Q25" s="1003"/>
    </row>
    <row r="26" spans="2:17" s="109" customFormat="1" ht="15" customHeight="1" x14ac:dyDescent="0.2">
      <c r="B26" s="1008">
        <v>212500</v>
      </c>
      <c r="C26" s="1009"/>
      <c r="D26" s="917"/>
      <c r="E26" s="1009"/>
      <c r="F26" s="917"/>
      <c r="G26" s="1009"/>
      <c r="H26" s="1010"/>
      <c r="I26" s="1003"/>
      <c r="J26" s="1891"/>
      <c r="K26" s="1003"/>
      <c r="L26" s="1901"/>
      <c r="M26" s="1902"/>
      <c r="N26" s="1649"/>
      <c r="O26" s="1003"/>
      <c r="P26" s="1891"/>
      <c r="Q26" s="1003"/>
    </row>
    <row r="27" spans="2:17" s="109" customFormat="1" ht="15" customHeight="1" x14ac:dyDescent="0.2">
      <c r="B27" s="1008">
        <v>212500</v>
      </c>
      <c r="C27" s="1009"/>
      <c r="D27" s="917"/>
      <c r="E27" s="1009"/>
      <c r="F27" s="917"/>
      <c r="G27" s="1009"/>
      <c r="H27" s="1010"/>
      <c r="I27" s="1003"/>
      <c r="J27" s="1891"/>
      <c r="K27" s="1003"/>
      <c r="L27" s="1901"/>
      <c r="M27" s="1902"/>
      <c r="N27" s="1649"/>
      <c r="O27" s="1003"/>
      <c r="P27" s="1891"/>
      <c r="Q27" s="1003"/>
    </row>
    <row r="28" spans="2:17" s="109" customFormat="1" ht="15" customHeight="1" x14ac:dyDescent="0.2">
      <c r="B28" s="1008">
        <v>212500</v>
      </c>
      <c r="C28" s="1009"/>
      <c r="D28" s="917"/>
      <c r="E28" s="1009"/>
      <c r="F28" s="917"/>
      <c r="G28" s="1009"/>
      <c r="H28" s="1010"/>
      <c r="I28" s="1003"/>
      <c r="J28" s="1891"/>
      <c r="K28" s="1003"/>
      <c r="L28" s="1901"/>
      <c r="M28" s="1902"/>
      <c r="N28" s="1649"/>
      <c r="O28" s="1003"/>
      <c r="P28" s="1891"/>
      <c r="Q28" s="1003"/>
    </row>
    <row r="29" spans="2:17" s="109" customFormat="1" ht="15" customHeight="1" x14ac:dyDescent="0.2">
      <c r="B29" s="1008">
        <v>212500</v>
      </c>
      <c r="C29" s="1009"/>
      <c r="D29" s="917"/>
      <c r="E29" s="1009"/>
      <c r="F29" s="917"/>
      <c r="G29" s="1009"/>
      <c r="H29" s="1010"/>
      <c r="I29" s="1003"/>
      <c r="J29" s="1891"/>
      <c r="K29" s="1003"/>
      <c r="L29" s="1901"/>
      <c r="M29" s="1902"/>
      <c r="N29" s="1649"/>
      <c r="O29" s="1003"/>
      <c r="P29" s="1891"/>
      <c r="Q29" s="1003"/>
    </row>
    <row r="30" spans="2:17" s="109" customFormat="1" ht="15" customHeight="1" x14ac:dyDescent="0.2">
      <c r="B30" s="1008">
        <v>212500</v>
      </c>
      <c r="C30" s="1009"/>
      <c r="D30" s="917"/>
      <c r="E30" s="1009"/>
      <c r="F30" s="917"/>
      <c r="G30" s="1009"/>
      <c r="H30" s="1010"/>
      <c r="I30" s="1003"/>
      <c r="J30" s="1891"/>
      <c r="K30" s="1003"/>
      <c r="L30" s="1901"/>
      <c r="M30" s="1902"/>
      <c r="N30" s="1649"/>
      <c r="O30" s="1003"/>
      <c r="P30" s="1891"/>
      <c r="Q30" s="1003"/>
    </row>
    <row r="31" spans="2:17" s="109" customFormat="1" ht="15" customHeight="1" x14ac:dyDescent="0.2">
      <c r="B31" s="1008">
        <v>212500</v>
      </c>
      <c r="C31" s="1009"/>
      <c r="D31" s="917"/>
      <c r="E31" s="1009"/>
      <c r="F31" s="917"/>
      <c r="G31" s="1009"/>
      <c r="H31" s="1010"/>
      <c r="I31" s="1003"/>
      <c r="J31" s="1891"/>
      <c r="K31" s="1003"/>
      <c r="L31" s="1901"/>
      <c r="M31" s="1902"/>
      <c r="N31" s="1649"/>
      <c r="O31" s="1003"/>
      <c r="P31" s="1891"/>
      <c r="Q31" s="1003"/>
    </row>
    <row r="32" spans="2:17" s="109" customFormat="1" ht="15" customHeight="1" thickBot="1" x14ac:dyDescent="0.25">
      <c r="B32" s="1003"/>
      <c r="C32" s="1003"/>
      <c r="D32" s="1003"/>
      <c r="E32" s="110"/>
      <c r="F32" s="110" t="s">
        <v>1853</v>
      </c>
      <c r="G32" s="110"/>
      <c r="H32" s="1011">
        <f>SUM(H14:H31)</f>
        <v>0</v>
      </c>
      <c r="I32" s="1003"/>
      <c r="J32" s="146" t="s">
        <v>1860</v>
      </c>
      <c r="K32" s="1003"/>
      <c r="L32" s="1003"/>
      <c r="M32" s="1003"/>
      <c r="N32" s="1003"/>
      <c r="O32" s="1003"/>
      <c r="P32" s="1003"/>
      <c r="Q32" s="1003"/>
    </row>
    <row r="33" spans="1:16" s="109" customFormat="1" ht="7.35" customHeight="1" x14ac:dyDescent="0.2">
      <c r="A33" s="1003"/>
      <c r="B33" s="1003"/>
      <c r="C33" s="1003"/>
      <c r="D33" s="1003"/>
      <c r="E33" s="110"/>
      <c r="F33" s="110"/>
      <c r="G33" s="110"/>
      <c r="H33" s="1003"/>
      <c r="I33" s="1003"/>
      <c r="J33" s="1003"/>
      <c r="K33" s="1003"/>
      <c r="L33" s="1003"/>
      <c r="M33" s="1003"/>
      <c r="N33" s="1003"/>
      <c r="O33" s="110"/>
      <c r="P33" s="1003"/>
    </row>
    <row r="34" spans="1:16" s="109" customFormat="1" ht="15" customHeight="1" x14ac:dyDescent="0.2">
      <c r="A34" s="1003"/>
      <c r="B34" s="146" t="s">
        <v>1832</v>
      </c>
      <c r="C34" s="1003"/>
      <c r="D34" s="1003"/>
      <c r="E34" s="110"/>
      <c r="F34" s="110"/>
      <c r="G34" s="110"/>
      <c r="H34" s="1003"/>
      <c r="I34" s="1003"/>
      <c r="J34" s="1003"/>
      <c r="K34" s="1003"/>
      <c r="L34" s="1003"/>
      <c r="M34" s="1003"/>
      <c r="N34" s="1003"/>
      <c r="O34" s="110"/>
      <c r="P34" s="1003"/>
    </row>
    <row r="35" spans="1:16" s="109" customFormat="1" ht="15" customHeight="1" x14ac:dyDescent="0.2">
      <c r="A35" s="1003"/>
      <c r="B35" s="1003"/>
      <c r="C35" s="1003"/>
      <c r="D35" s="1003"/>
      <c r="E35" s="110"/>
      <c r="F35" s="110"/>
      <c r="G35" s="110"/>
      <c r="H35" s="1003"/>
      <c r="I35" s="1003"/>
      <c r="J35" s="1003"/>
      <c r="K35" s="1003"/>
      <c r="L35" s="1003"/>
      <c r="M35" s="1003"/>
      <c r="N35" s="1003"/>
      <c r="O35" s="110"/>
      <c r="P35" s="1003"/>
    </row>
    <row r="36" spans="1:16" s="109" customFormat="1" ht="15" customHeight="1" x14ac:dyDescent="0.2">
      <c r="A36" s="1003"/>
      <c r="B36" s="1003"/>
      <c r="C36" s="1003"/>
      <c r="D36" s="1003"/>
      <c r="E36" s="110"/>
      <c r="F36" s="110"/>
      <c r="G36" s="110"/>
      <c r="H36" s="1003"/>
      <c r="I36" s="1003"/>
      <c r="J36" s="1003"/>
      <c r="K36" s="1003"/>
      <c r="L36" s="1003"/>
      <c r="M36" s="1003"/>
      <c r="N36" s="1003"/>
      <c r="O36" s="110"/>
      <c r="P36" s="1003"/>
    </row>
    <row r="37" spans="1:16" s="109" customFormat="1" ht="15" customHeight="1" x14ac:dyDescent="0.2">
      <c r="A37" s="1003"/>
      <c r="B37" s="1003"/>
      <c r="C37" s="1003"/>
      <c r="D37" s="1003"/>
      <c r="E37" s="110"/>
      <c r="F37" s="110"/>
      <c r="G37" s="110"/>
      <c r="H37" s="1003"/>
      <c r="I37" s="1003"/>
      <c r="J37" s="1003"/>
      <c r="K37" s="1003"/>
      <c r="L37" s="1003"/>
      <c r="M37" s="1003"/>
      <c r="N37" s="1003"/>
      <c r="O37" s="110"/>
      <c r="P37" s="1003"/>
    </row>
    <row r="38" spans="1:16" s="109" customFormat="1" ht="15" customHeight="1" x14ac:dyDescent="0.2">
      <c r="A38" s="445" t="str">
        <f ca="1">MID(CELL("filename",A3),FIND("]",CELL("filename",A3))+1,256)</f>
        <v>520</v>
      </c>
      <c r="B38" s="445" t="s">
        <v>636</v>
      </c>
      <c r="C38" s="1003"/>
      <c r="D38" s="1003"/>
      <c r="E38" s="110"/>
      <c r="F38" s="110"/>
      <c r="G38" s="110"/>
      <c r="H38" s="1003"/>
      <c r="I38" s="1003"/>
      <c r="J38" s="1003"/>
      <c r="K38" s="1003"/>
      <c r="L38" s="1003"/>
      <c r="M38" s="1003"/>
      <c r="N38" s="1003"/>
      <c r="O38" s="110"/>
      <c r="P38" s="1003"/>
    </row>
    <row r="39" spans="1:16" s="109" customFormat="1" ht="15" customHeight="1" x14ac:dyDescent="0.2">
      <c r="A39" s="445" t="s">
        <v>380</v>
      </c>
      <c r="B39" s="445" t="str">
        <f t="shared" ref="B39:B48" ca="1" si="0">IF(ISNA(INDEX(ErrorTable,MATCH($A$38&amp;$A39&amp;FALSE,ErrorKey,0),6)),"",INDEX(ErrorTable,MATCH($A$38&amp;$A39&amp;FALSE,ErrorKey,0),6))</f>
        <v>GASB number is blank.</v>
      </c>
      <c r="C39" s="1003"/>
      <c r="D39" s="1003"/>
      <c r="E39" s="110"/>
      <c r="F39" s="110"/>
      <c r="G39" s="110"/>
      <c r="H39" s="1003"/>
      <c r="I39" s="1003"/>
      <c r="J39" s="1003"/>
      <c r="K39" s="1003"/>
      <c r="L39" s="1003"/>
      <c r="M39" s="1003"/>
      <c r="N39" s="1003"/>
      <c r="O39" s="110"/>
      <c r="P39" s="1003"/>
    </row>
    <row r="40" spans="1:16" s="109" customFormat="1" ht="15" customHeight="1" x14ac:dyDescent="0.2">
      <c r="A40" s="445" t="s">
        <v>381</v>
      </c>
      <c r="B40" s="445" t="str">
        <f t="shared" ca="1" si="0"/>
        <v/>
      </c>
      <c r="C40" s="1003"/>
      <c r="D40" s="1003"/>
      <c r="E40" s="110"/>
      <c r="F40" s="110"/>
      <c r="G40" s="110"/>
      <c r="H40" s="1003"/>
      <c r="I40" s="1003"/>
      <c r="J40" s="1003"/>
      <c r="K40" s="1003"/>
      <c r="L40" s="1003"/>
      <c r="M40" s="1003"/>
      <c r="N40" s="1003"/>
      <c r="O40" s="110"/>
      <c r="P40" s="1003"/>
    </row>
    <row r="41" spans="1:16" ht="20.85" customHeight="1" x14ac:dyDescent="0.25">
      <c r="A41" s="445" t="s">
        <v>382</v>
      </c>
      <c r="B41" s="445" t="str">
        <f t="shared" ca="1" si="0"/>
        <v/>
      </c>
    </row>
    <row r="42" spans="1:16" ht="20.85" customHeight="1" x14ac:dyDescent="0.25">
      <c r="A42" s="445" t="s">
        <v>383</v>
      </c>
      <c r="B42" s="445" t="str">
        <f t="shared" ca="1" si="0"/>
        <v/>
      </c>
    </row>
    <row r="43" spans="1:16" ht="20.85" customHeight="1" x14ac:dyDescent="0.25">
      <c r="A43" s="445" t="s">
        <v>384</v>
      </c>
      <c r="B43" s="445" t="str">
        <f t="shared" ca="1" si="0"/>
        <v/>
      </c>
    </row>
    <row r="44" spans="1:16" ht="20.85" customHeight="1" x14ac:dyDescent="0.25">
      <c r="A44" s="445" t="s">
        <v>385</v>
      </c>
      <c r="B44" s="445" t="str">
        <f t="shared" ca="1" si="0"/>
        <v/>
      </c>
      <c r="D44" s="42" t="s">
        <v>50</v>
      </c>
      <c r="E44" s="42"/>
      <c r="F44" s="42"/>
      <c r="G44" s="42"/>
      <c r="H44" s="42"/>
      <c r="I44" s="42"/>
      <c r="J44" s="42"/>
      <c r="K44" s="42"/>
    </row>
    <row r="45" spans="1:16" ht="20.85" customHeight="1" x14ac:dyDescent="0.25">
      <c r="A45" s="445" t="s">
        <v>386</v>
      </c>
      <c r="B45" s="445" t="str">
        <f t="shared" ca="1" si="0"/>
        <v/>
      </c>
      <c r="D45" s="42" t="s">
        <v>50</v>
      </c>
      <c r="E45" s="42"/>
      <c r="F45" s="42"/>
      <c r="G45" s="42"/>
      <c r="L45" s="41" t="s">
        <v>50</v>
      </c>
      <c r="M45" s="41"/>
      <c r="N45" s="41"/>
      <c r="O45" s="41"/>
    </row>
    <row r="46" spans="1:16" ht="20.85" customHeight="1" x14ac:dyDescent="0.25">
      <c r="A46" s="445" t="s">
        <v>387</v>
      </c>
      <c r="B46" s="445" t="str">
        <f t="shared" ca="1" si="0"/>
        <v/>
      </c>
    </row>
    <row r="47" spans="1:16" ht="20.85" customHeight="1" x14ac:dyDescent="0.25">
      <c r="A47" s="445" t="s">
        <v>388</v>
      </c>
      <c r="B47" s="445" t="str">
        <f t="shared" ca="1" si="0"/>
        <v/>
      </c>
    </row>
    <row r="48" spans="1:16" ht="20.85" customHeight="1" x14ac:dyDescent="0.25">
      <c r="A48" s="445" t="s">
        <v>389</v>
      </c>
      <c r="B48" s="445" t="str">
        <f t="shared" ca="1" si="0"/>
        <v/>
      </c>
    </row>
    <row r="49" spans="4:15" ht="20.85" customHeight="1" x14ac:dyDescent="0.25"/>
    <row r="50" spans="4:15" ht="20.85" customHeight="1" x14ac:dyDescent="0.25"/>
    <row r="51" spans="4:15" ht="20.85" customHeight="1" x14ac:dyDescent="0.25"/>
    <row r="52" spans="4:15" ht="20.85" customHeight="1" x14ac:dyDescent="0.25">
      <c r="D52" s="40" t="s">
        <v>50</v>
      </c>
    </row>
    <row r="53" spans="4:15" ht="20.85" customHeight="1" x14ac:dyDescent="0.25"/>
    <row r="54" spans="4:15" ht="20.85" customHeight="1" x14ac:dyDescent="0.25"/>
    <row r="55" spans="4:15" ht="20.85" customHeight="1" x14ac:dyDescent="0.25">
      <c r="D55" s="42" t="s">
        <v>50</v>
      </c>
      <c r="E55" s="42"/>
      <c r="F55" s="42"/>
      <c r="G55" s="42"/>
      <c r="L55" s="41" t="s">
        <v>50</v>
      </c>
      <c r="M55" s="41"/>
      <c r="N55" s="41"/>
      <c r="O55" s="41"/>
    </row>
  </sheetData>
  <sheetProtection algorithmName="SHA-512" hashValue="64ZejrHWo4/ucrtowBX9sEirjBKwQK0Yvp1H2BwBDcKrQ7nthrbNDhlaZPyxT+Pyy9aKtQs8GcNarXaKVZF4GQ==" saltValue="lnXo6NyQdgHd/BD8nUayQw=="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7:G7"/>
    <mergeCell ref="D8:H8"/>
    <mergeCell ref="J11:N11"/>
    <mergeCell ref="Q1:Q3"/>
    <mergeCell ref="B1:P1"/>
    <mergeCell ref="B2:P2"/>
    <mergeCell ref="B3:P3"/>
    <mergeCell ref="B4:P4"/>
    <mergeCell ref="B5:Q5"/>
  </mergeCells>
  <phoneticPr fontId="16" type="noConversion"/>
  <conditionalFormatting sqref="Q1:Q3">
    <cfRule type="cellIs" dxfId="68" priority="1" stopIfTrue="1" operator="equal">
      <formula>"na"</formula>
    </cfRule>
  </conditionalFormatting>
  <dataValidations count="2">
    <dataValidation type="textLength" operator="equal" allowBlank="1" showInputMessage="1" showErrorMessage="1" errorTitle="Invalid data!" error="GASB number must be 4 digits." sqref="D9 F14:F31" xr:uid="{00000000-0002-0000-2A00-000000000000}">
      <formula1>4</formula1>
    </dataValidation>
    <dataValidation type="list" allowBlank="1" showInputMessage="1" showErrorMessage="1" sqref="D14:D31" xr:uid="{00000000-0002-0000-2A00-000001000000}">
      <formula1>List505thru520</formula1>
    </dataValidation>
  </dataValidations>
  <hyperlinks>
    <hyperlink ref="B1:P1" location="Index!A1" display="Index!A1" xr:uid="{00000000-0004-0000-2A00-000000000000}"/>
  </hyperlinks>
  <pageMargins left="0.6" right="0.6" top="0.5" bottom="0.5" header="0.3" footer="0.3"/>
  <pageSetup scale="92" orientation="landscape" r:id="rId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111">
    <pageSetUpPr fitToPage="1"/>
  </sheetPr>
  <dimension ref="A1:Q57"/>
  <sheetViews>
    <sheetView showGridLines="0" topLeftCell="B1" zoomScaleNormal="100" workbookViewId="0">
      <selection activeCell="B3" sqref="B3:P3"/>
    </sheetView>
  </sheetViews>
  <sheetFormatPr defaultColWidth="9.42578125" defaultRowHeight="15.75" x14ac:dyDescent="0.25"/>
  <cols>
    <col min="1" max="1" width="9.42578125" style="40" hidden="1" customWidth="1"/>
    <col min="2" max="2" width="13.5703125" style="40" customWidth="1"/>
    <col min="3" max="3" width="1.5703125" style="40" customWidth="1"/>
    <col min="4" max="4" width="7.5703125" style="40" bestFit="1" customWidth="1"/>
    <col min="5" max="5" width="1.5703125" style="40" customWidth="1"/>
    <col min="6" max="6" width="8.5703125" style="40" customWidth="1"/>
    <col min="7" max="7" width="1.5703125" style="40" customWidth="1"/>
    <col min="8" max="8" width="17" style="40" customWidth="1"/>
    <col min="9" max="9" width="1.5703125" style="40" customWidth="1"/>
    <col min="10" max="10" width="15.42578125" style="40" customWidth="1"/>
    <col min="11" max="11" width="1.140625" style="40" customWidth="1"/>
    <col min="12" max="12" width="13.42578125" style="40" customWidth="1"/>
    <col min="13" max="13" width="1.28515625" style="40" customWidth="1"/>
    <col min="14" max="14" width="13.42578125" style="40" customWidth="1"/>
    <col min="15" max="15" width="1.5703125" style="40" customWidth="1"/>
    <col min="16" max="16" width="36.42578125" style="40" customWidth="1"/>
    <col min="17" max="17" width="4.5703125" style="40" bestFit="1" customWidth="1"/>
    <col min="18" max="16384" width="9.42578125" style="40"/>
  </cols>
  <sheetData>
    <row r="1" spans="2:17" s="108" customFormat="1" ht="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520" t="str">
        <f>IF(Index!$B$70="na","NA","")</f>
        <v/>
      </c>
    </row>
    <row r="2" spans="2:17" s="108" customFormat="1" ht="15" customHeight="1" x14ac:dyDescent="0.25">
      <c r="B2" s="2749" t="str">
        <f>+Index!$A$2</f>
        <v>2023 ACFR Worksheets</v>
      </c>
      <c r="C2" s="2749"/>
      <c r="D2" s="2749"/>
      <c r="E2" s="2749"/>
      <c r="F2" s="2749"/>
      <c r="G2" s="2749"/>
      <c r="H2" s="2749"/>
      <c r="I2" s="2749"/>
      <c r="J2" s="2749"/>
      <c r="K2" s="2749"/>
      <c r="L2" s="2749"/>
      <c r="M2" s="2749"/>
      <c r="N2" s="2749"/>
      <c r="O2" s="2749"/>
      <c r="P2" s="2749"/>
      <c r="Q2" s="2520"/>
    </row>
    <row r="3" spans="2:17" s="108" customFormat="1" ht="15" customHeight="1" x14ac:dyDescent="0.25">
      <c r="B3" s="2749" t="s">
        <v>1863</v>
      </c>
      <c r="C3" s="2749"/>
      <c r="D3" s="2749"/>
      <c r="E3" s="2749"/>
      <c r="F3" s="2749"/>
      <c r="G3" s="2749"/>
      <c r="H3" s="2749"/>
      <c r="I3" s="2749"/>
      <c r="J3" s="2749"/>
      <c r="K3" s="2749"/>
      <c r="L3" s="2749"/>
      <c r="M3" s="2749"/>
      <c r="N3" s="2749"/>
      <c r="O3" s="2749"/>
      <c r="P3" s="2749"/>
      <c r="Q3" s="2520"/>
    </row>
    <row r="4" spans="2:17" s="108" customFormat="1" ht="15" customHeight="1" x14ac:dyDescent="0.25">
      <c r="B4" s="2749" t="s">
        <v>1849</v>
      </c>
      <c r="C4" s="2749"/>
      <c r="D4" s="2749"/>
      <c r="E4" s="2749"/>
      <c r="F4" s="2749"/>
      <c r="G4" s="2749"/>
      <c r="H4" s="2749"/>
      <c r="I4" s="2749"/>
      <c r="J4" s="2749"/>
      <c r="K4" s="2749"/>
      <c r="L4" s="2749"/>
      <c r="M4" s="2749"/>
      <c r="N4" s="2749"/>
      <c r="O4" s="2749"/>
      <c r="P4" s="2749"/>
    </row>
    <row r="5" spans="2:17" s="108" customFormat="1" ht="15" customHeight="1" x14ac:dyDescent="0.25">
      <c r="B5" s="2747" t="s">
        <v>1836</v>
      </c>
      <c r="C5" s="2747"/>
      <c r="D5" s="2747"/>
      <c r="E5" s="2747"/>
      <c r="F5" s="2747"/>
      <c r="G5" s="2747"/>
      <c r="H5" s="2747"/>
      <c r="I5" s="2747"/>
      <c r="J5" s="2747"/>
      <c r="K5" s="2747"/>
      <c r="L5" s="2747"/>
      <c r="M5" s="2747"/>
      <c r="N5" s="2747"/>
      <c r="O5" s="2747"/>
      <c r="P5" s="2747"/>
      <c r="Q5" s="2747"/>
    </row>
    <row r="6" spans="2:17" s="109" customFormat="1" ht="15" customHeight="1" x14ac:dyDescent="0.2">
      <c r="B6" s="111"/>
      <c r="C6" s="1887"/>
      <c r="D6" s="1887"/>
      <c r="E6" s="1887"/>
      <c r="F6" s="1887"/>
      <c r="G6" s="1887"/>
      <c r="H6" s="1887"/>
      <c r="I6" s="1887"/>
      <c r="J6" s="1887"/>
      <c r="K6" s="111"/>
      <c r="L6" s="1887"/>
      <c r="M6" s="1887"/>
      <c r="N6" s="1887"/>
      <c r="O6" s="1887"/>
      <c r="P6" s="1887"/>
      <c r="Q6" s="1003"/>
    </row>
    <row r="7" spans="2:17" s="109" customFormat="1" ht="15" customHeight="1" x14ac:dyDescent="0.2">
      <c r="B7" s="1888" t="s">
        <v>317</v>
      </c>
      <c r="C7" s="1003"/>
      <c r="D7" s="2745" t="str">
        <f>+Index!$E$10</f>
        <v>01</v>
      </c>
      <c r="E7" s="2745"/>
      <c r="F7" s="2745"/>
      <c r="G7" s="2745"/>
      <c r="H7" s="1873"/>
      <c r="I7" s="1003"/>
      <c r="J7" s="1003"/>
      <c r="K7" s="1003"/>
      <c r="L7" s="1003"/>
      <c r="M7" s="1003"/>
      <c r="N7" s="1003"/>
      <c r="O7" s="1889" t="s">
        <v>319</v>
      </c>
      <c r="P7" s="2312" t="str">
        <f>CONCATENATE(Index!$E$12," ",Index!$E$14)</f>
        <v xml:space="preserve"> </v>
      </c>
      <c r="Q7" s="1003"/>
    </row>
    <row r="8" spans="2:17" s="109" customFormat="1" ht="15" customHeight="1" x14ac:dyDescent="0.2">
      <c r="B8" s="1888" t="s">
        <v>318</v>
      </c>
      <c r="C8" s="1003"/>
      <c r="D8" s="2745" t="str">
        <f>+Index!$E$11</f>
        <v>North Carolina General Assembly</v>
      </c>
      <c r="E8" s="2745"/>
      <c r="F8" s="2745"/>
      <c r="G8" s="2745"/>
      <c r="H8" s="2745"/>
      <c r="I8" s="1003"/>
      <c r="J8" s="1003"/>
      <c r="K8" s="1003"/>
      <c r="L8" s="1003"/>
      <c r="M8" s="1003"/>
      <c r="N8" s="1003"/>
      <c r="O8" s="1889" t="s">
        <v>71</v>
      </c>
      <c r="P8" s="1890">
        <f>+Index!$E$13</f>
        <v>0</v>
      </c>
      <c r="Q8" s="1003"/>
    </row>
    <row r="9" spans="2:17" s="109" customFormat="1" ht="15" customHeight="1" x14ac:dyDescent="0.2">
      <c r="B9" s="1888" t="s">
        <v>1838</v>
      </c>
      <c r="C9" s="1003"/>
      <c r="D9" s="1891"/>
      <c r="E9" s="1003"/>
      <c r="F9" s="1003"/>
      <c r="G9" s="1003"/>
      <c r="H9" s="1003"/>
      <c r="I9" s="1003"/>
      <c r="J9" s="1003"/>
      <c r="K9" s="1003"/>
      <c r="L9" s="1003"/>
      <c r="M9" s="1003"/>
      <c r="N9" s="1003"/>
      <c r="O9" s="1003"/>
      <c r="P9" s="1003"/>
      <c r="Q9" s="1003"/>
    </row>
    <row r="10" spans="2:17" s="109" customFormat="1" ht="15" customHeight="1" thickBot="1" x14ac:dyDescent="0.25">
      <c r="B10" s="1892"/>
      <c r="C10" s="1892"/>
      <c r="D10" s="1892"/>
      <c r="E10" s="1892"/>
      <c r="F10" s="1892"/>
      <c r="G10" s="1892"/>
      <c r="H10" s="1892"/>
      <c r="I10" s="1892"/>
      <c r="J10" s="1892"/>
      <c r="K10" s="1893"/>
      <c r="L10" s="1892"/>
      <c r="M10" s="1892"/>
      <c r="N10" s="1892"/>
      <c r="O10" s="1892"/>
      <c r="P10" s="1892"/>
      <c r="Q10" s="1003"/>
    </row>
    <row r="11" spans="2:17" s="109" customFormat="1" ht="15" customHeight="1" thickBot="1" x14ac:dyDescent="0.25">
      <c r="B11" s="635" t="s">
        <v>1864</v>
      </c>
      <c r="C11" s="1004"/>
      <c r="D11" s="102" t="s">
        <v>1824</v>
      </c>
      <c r="E11" s="1248"/>
      <c r="F11" s="102" t="s">
        <v>1824</v>
      </c>
      <c r="G11" s="1003"/>
      <c r="H11" s="1003"/>
      <c r="I11" s="111"/>
      <c r="J11" s="2748" t="s">
        <v>1839</v>
      </c>
      <c r="K11" s="2748"/>
      <c r="L11" s="2748"/>
      <c r="M11" s="2748"/>
      <c r="N11" s="2748"/>
      <c r="O11" s="1871"/>
      <c r="P11" s="1003"/>
      <c r="Q11" s="1003"/>
    </row>
    <row r="12" spans="2:17" s="109" customFormat="1" ht="15" customHeight="1" x14ac:dyDescent="0.2">
      <c r="B12" s="635"/>
      <c r="C12" s="1004"/>
      <c r="D12" s="102"/>
      <c r="E12" s="1248"/>
      <c r="F12" s="102"/>
      <c r="G12" s="1003"/>
      <c r="H12" s="1003"/>
      <c r="I12" s="111"/>
      <c r="J12" s="102"/>
      <c r="K12" s="102"/>
      <c r="L12" s="102"/>
      <c r="M12" s="102"/>
      <c r="N12" s="102"/>
      <c r="O12" s="1871"/>
      <c r="P12" s="1003"/>
      <c r="Q12" s="1003"/>
    </row>
    <row r="13" spans="2:17" s="109" customFormat="1" ht="15" customHeight="1" x14ac:dyDescent="0.2">
      <c r="B13" s="110" t="s">
        <v>1825</v>
      </c>
      <c r="C13" s="1003"/>
      <c r="D13" s="102" t="s">
        <v>1840</v>
      </c>
      <c r="E13" s="1248"/>
      <c r="F13" s="102" t="s">
        <v>1596</v>
      </c>
      <c r="G13" s="1003"/>
      <c r="H13" s="1003"/>
      <c r="I13" s="111"/>
      <c r="J13" s="1248"/>
      <c r="K13" s="1248"/>
      <c r="L13" s="1546" t="s">
        <v>1841</v>
      </c>
      <c r="M13" s="102"/>
      <c r="N13" s="1546" t="s">
        <v>1842</v>
      </c>
      <c r="O13" s="1248"/>
      <c r="P13" s="1003"/>
      <c r="Q13" s="1003"/>
    </row>
    <row r="14" spans="2:17" s="109" customFormat="1" ht="15" customHeight="1" thickBot="1" x14ac:dyDescent="0.25">
      <c r="B14" s="112" t="s">
        <v>748</v>
      </c>
      <c r="C14" s="110"/>
      <c r="D14" s="2315" t="s">
        <v>1700</v>
      </c>
      <c r="E14" s="1248"/>
      <c r="F14" s="2315" t="s">
        <v>1700</v>
      </c>
      <c r="G14" s="1003"/>
      <c r="H14" s="112" t="s">
        <v>1347</v>
      </c>
      <c r="I14" s="1003"/>
      <c r="J14" s="2315" t="s">
        <v>1396</v>
      </c>
      <c r="K14" s="1894"/>
      <c r="L14" s="1547" t="s">
        <v>1844</v>
      </c>
      <c r="M14" s="102"/>
      <c r="N14" s="1547" t="s">
        <v>670</v>
      </c>
      <c r="O14" s="1894"/>
      <c r="P14" s="112" t="s">
        <v>1845</v>
      </c>
      <c r="Q14" s="1003"/>
    </row>
    <row r="15" spans="2:17" s="109" customFormat="1" ht="15" customHeight="1" x14ac:dyDescent="0.2">
      <c r="B15" s="1008">
        <v>114700</v>
      </c>
      <c r="C15" s="1009"/>
      <c r="D15" s="917"/>
      <c r="E15" s="1009"/>
      <c r="F15" s="917"/>
      <c r="G15" s="1009"/>
      <c r="H15" s="1010"/>
      <c r="I15" s="1003"/>
      <c r="J15" s="1223"/>
      <c r="K15" s="1248"/>
      <c r="L15" s="1650"/>
      <c r="M15" s="1899"/>
      <c r="N15" s="1649"/>
      <c r="O15" s="1003"/>
      <c r="P15" s="1891"/>
      <c r="Q15" s="1003"/>
    </row>
    <row r="16" spans="2:17" s="109" customFormat="1" ht="15" customHeight="1" x14ac:dyDescent="0.2">
      <c r="B16" s="1008">
        <v>114700</v>
      </c>
      <c r="C16" s="1009"/>
      <c r="D16" s="917"/>
      <c r="E16" s="1009"/>
      <c r="F16" s="917"/>
      <c r="G16" s="1009"/>
      <c r="H16" s="1010"/>
      <c r="I16" s="1003"/>
      <c r="J16" s="1223"/>
      <c r="K16" s="1248"/>
      <c r="L16" s="1650"/>
      <c r="M16" s="1899"/>
      <c r="N16" s="1649"/>
      <c r="O16" s="1003"/>
      <c r="P16" s="1891"/>
      <c r="Q16" s="1003"/>
    </row>
    <row r="17" spans="2:17" s="109" customFormat="1" ht="15" customHeight="1" x14ac:dyDescent="0.2">
      <c r="B17" s="1008">
        <v>114700</v>
      </c>
      <c r="C17" s="1009"/>
      <c r="D17" s="917"/>
      <c r="E17" s="1009"/>
      <c r="F17" s="917"/>
      <c r="G17" s="1009"/>
      <c r="H17" s="1010"/>
      <c r="I17" s="1003"/>
      <c r="J17" s="1223"/>
      <c r="K17" s="1248"/>
      <c r="L17" s="1650"/>
      <c r="M17" s="1899"/>
      <c r="N17" s="1649"/>
      <c r="O17" s="1003"/>
      <c r="P17" s="1891"/>
      <c r="Q17" s="1003"/>
    </row>
    <row r="18" spans="2:17" s="109" customFormat="1" ht="15" customHeight="1" x14ac:dyDescent="0.2">
      <c r="B18" s="1008">
        <v>114700</v>
      </c>
      <c r="C18" s="1009"/>
      <c r="D18" s="917"/>
      <c r="E18" s="1009"/>
      <c r="F18" s="917"/>
      <c r="G18" s="1009"/>
      <c r="H18" s="1010"/>
      <c r="I18" s="1003"/>
      <c r="J18" s="1223"/>
      <c r="K18" s="1248"/>
      <c r="L18" s="1650"/>
      <c r="M18" s="1899"/>
      <c r="N18" s="1649"/>
      <c r="O18" s="1003"/>
      <c r="P18" s="1891"/>
      <c r="Q18" s="1003"/>
    </row>
    <row r="19" spans="2:17" s="109" customFormat="1" ht="15" customHeight="1" x14ac:dyDescent="0.2">
      <c r="B19" s="1008">
        <v>114700</v>
      </c>
      <c r="C19" s="1009"/>
      <c r="D19" s="917"/>
      <c r="E19" s="1009"/>
      <c r="F19" s="917"/>
      <c r="G19" s="1009"/>
      <c r="H19" s="1010"/>
      <c r="I19" s="1003"/>
      <c r="J19" s="1891"/>
      <c r="K19" s="1003"/>
      <c r="L19" s="1901"/>
      <c r="M19" s="1902"/>
      <c r="N19" s="1649"/>
      <c r="O19" s="1003"/>
      <c r="P19" s="1891"/>
      <c r="Q19" s="1003"/>
    </row>
    <row r="20" spans="2:17" s="109" customFormat="1" ht="15" customHeight="1" x14ac:dyDescent="0.2">
      <c r="B20" s="1008">
        <v>114700</v>
      </c>
      <c r="C20" s="1009"/>
      <c r="D20" s="917"/>
      <c r="E20" s="1009"/>
      <c r="F20" s="917"/>
      <c r="G20" s="1009"/>
      <c r="H20" s="1010"/>
      <c r="I20" s="1003"/>
      <c r="J20" s="1891"/>
      <c r="K20" s="1003"/>
      <c r="L20" s="1901"/>
      <c r="M20" s="1902"/>
      <c r="N20" s="1649"/>
      <c r="O20" s="1003"/>
      <c r="P20" s="1891"/>
      <c r="Q20" s="1003"/>
    </row>
    <row r="21" spans="2:17" s="109" customFormat="1" ht="15" customHeight="1" x14ac:dyDescent="0.2">
      <c r="B21" s="1008">
        <v>114700</v>
      </c>
      <c r="C21" s="1009"/>
      <c r="D21" s="917"/>
      <c r="E21" s="1009"/>
      <c r="F21" s="917"/>
      <c r="G21" s="1009"/>
      <c r="H21" s="1010"/>
      <c r="I21" s="1003"/>
      <c r="J21" s="1891"/>
      <c r="K21" s="1003"/>
      <c r="L21" s="1901"/>
      <c r="M21" s="1902"/>
      <c r="N21" s="1649"/>
      <c r="O21" s="1003"/>
      <c r="P21" s="1891"/>
      <c r="Q21" s="1003"/>
    </row>
    <row r="22" spans="2:17" s="109" customFormat="1" ht="15" customHeight="1" x14ac:dyDescent="0.2">
      <c r="B22" s="1008">
        <v>114700</v>
      </c>
      <c r="C22" s="1009"/>
      <c r="D22" s="917"/>
      <c r="E22" s="1009"/>
      <c r="F22" s="917"/>
      <c r="G22" s="1009"/>
      <c r="H22" s="1010"/>
      <c r="I22" s="1003"/>
      <c r="J22" s="1891"/>
      <c r="K22" s="1003"/>
      <c r="L22" s="1901"/>
      <c r="M22" s="1902"/>
      <c r="N22" s="1649"/>
      <c r="O22" s="1003"/>
      <c r="P22" s="1891"/>
      <c r="Q22" s="1003"/>
    </row>
    <row r="23" spans="2:17" s="109" customFormat="1" ht="15" customHeight="1" x14ac:dyDescent="0.2">
      <c r="B23" s="1008">
        <v>114700</v>
      </c>
      <c r="C23" s="1009"/>
      <c r="D23" s="917"/>
      <c r="E23" s="1009"/>
      <c r="F23" s="917"/>
      <c r="G23" s="1009"/>
      <c r="H23" s="1010"/>
      <c r="I23" s="1003"/>
      <c r="J23" s="1891"/>
      <c r="K23" s="1003"/>
      <c r="L23" s="1901"/>
      <c r="M23" s="1902"/>
      <c r="N23" s="1649"/>
      <c r="O23" s="1003"/>
      <c r="P23" s="1891"/>
      <c r="Q23" s="1003"/>
    </row>
    <row r="24" spans="2:17" s="109" customFormat="1" ht="15" customHeight="1" x14ac:dyDescent="0.2">
      <c r="B24" s="1008">
        <v>114700</v>
      </c>
      <c r="C24" s="1009"/>
      <c r="D24" s="917"/>
      <c r="E24" s="1009"/>
      <c r="F24" s="917"/>
      <c r="G24" s="1009"/>
      <c r="H24" s="1010"/>
      <c r="I24" s="1003"/>
      <c r="J24" s="1891"/>
      <c r="K24" s="1003"/>
      <c r="L24" s="1901"/>
      <c r="M24" s="1902"/>
      <c r="N24" s="1649"/>
      <c r="O24" s="1003"/>
      <c r="P24" s="1891"/>
      <c r="Q24" s="1003"/>
    </row>
    <row r="25" spans="2:17" s="109" customFormat="1" ht="15" customHeight="1" x14ac:dyDescent="0.2">
      <c r="B25" s="1008">
        <v>114700</v>
      </c>
      <c r="C25" s="1009"/>
      <c r="D25" s="917"/>
      <c r="E25" s="1009"/>
      <c r="F25" s="917"/>
      <c r="G25" s="1009"/>
      <c r="H25" s="1010"/>
      <c r="I25" s="1003"/>
      <c r="J25" s="1891"/>
      <c r="K25" s="1003"/>
      <c r="L25" s="1901"/>
      <c r="M25" s="1902"/>
      <c r="N25" s="1649"/>
      <c r="O25" s="1003"/>
      <c r="P25" s="1891"/>
      <c r="Q25" s="1003"/>
    </row>
    <row r="26" spans="2:17" s="109" customFormat="1" ht="15" customHeight="1" thickBot="1" x14ac:dyDescent="0.25">
      <c r="B26" s="1003"/>
      <c r="C26" s="1003"/>
      <c r="D26" s="1003"/>
      <c r="E26" s="110"/>
      <c r="F26" s="110" t="s">
        <v>1853</v>
      </c>
      <c r="G26" s="110"/>
      <c r="H26" s="1011">
        <f>SUM(H15:H25)</f>
        <v>0</v>
      </c>
      <c r="I26" s="1003"/>
      <c r="J26" s="146" t="s">
        <v>1865</v>
      </c>
      <c r="K26" s="1003"/>
      <c r="L26" s="1003"/>
      <c r="M26" s="1003"/>
      <c r="N26" s="1003"/>
      <c r="O26" s="1003"/>
      <c r="P26" s="1003"/>
      <c r="Q26" s="1003"/>
    </row>
    <row r="27" spans="2:17" s="109" customFormat="1" ht="15" customHeight="1" x14ac:dyDescent="0.2">
      <c r="B27" s="1003"/>
      <c r="C27" s="1003"/>
      <c r="D27" s="1003"/>
      <c r="E27" s="110"/>
      <c r="F27" s="110"/>
      <c r="G27" s="110"/>
      <c r="H27" s="1005"/>
      <c r="I27" s="1003"/>
      <c r="J27" s="146"/>
      <c r="K27" s="1003"/>
      <c r="L27" s="1003"/>
      <c r="M27" s="1003"/>
      <c r="N27" s="1003"/>
      <c r="O27" s="1003"/>
      <c r="P27" s="1003"/>
      <c r="Q27" s="1003"/>
    </row>
    <row r="28" spans="2:17" s="109" customFormat="1" ht="15" customHeight="1" x14ac:dyDescent="0.2">
      <c r="B28" s="1003"/>
      <c r="C28" s="1003"/>
      <c r="D28" s="1003"/>
      <c r="E28" s="110"/>
      <c r="F28" s="110"/>
      <c r="G28" s="110"/>
      <c r="H28" s="1005"/>
      <c r="I28" s="1003"/>
      <c r="J28" s="146"/>
      <c r="K28" s="1003"/>
      <c r="L28" s="1003"/>
      <c r="M28" s="1003"/>
      <c r="N28" s="1003"/>
      <c r="O28" s="1003"/>
      <c r="P28" s="1003"/>
      <c r="Q28" s="1003"/>
    </row>
    <row r="29" spans="2:17" s="109" customFormat="1" ht="7.35" customHeight="1" x14ac:dyDescent="0.2">
      <c r="B29" s="1003"/>
      <c r="C29" s="1003"/>
      <c r="D29" s="1003"/>
      <c r="E29" s="110"/>
      <c r="F29" s="110"/>
      <c r="G29" s="110"/>
      <c r="H29" s="1003"/>
      <c r="I29" s="1003"/>
      <c r="J29" s="1003"/>
      <c r="K29" s="1003"/>
      <c r="L29" s="1003"/>
      <c r="M29" s="1003"/>
      <c r="N29" s="1003"/>
      <c r="O29" s="110"/>
      <c r="P29" s="1003"/>
      <c r="Q29" s="1003"/>
    </row>
    <row r="30" spans="2:17" s="109" customFormat="1" ht="15" customHeight="1" x14ac:dyDescent="0.2">
      <c r="B30" s="632" t="s">
        <v>1866</v>
      </c>
      <c r="C30" s="633"/>
      <c r="D30" s="633"/>
      <c r="E30" s="634"/>
      <c r="F30" s="634"/>
      <c r="G30" s="110"/>
      <c r="H30" s="1003"/>
      <c r="I30" s="1003"/>
      <c r="J30" s="1003"/>
      <c r="K30" s="1003"/>
      <c r="L30" s="1003"/>
      <c r="M30" s="1003"/>
      <c r="N30" s="1003"/>
      <c r="O30" s="110"/>
      <c r="P30" s="1003"/>
      <c r="Q30" s="1003"/>
    </row>
    <row r="31" spans="2:17" s="109" customFormat="1" ht="15" customHeight="1" x14ac:dyDescent="0.2">
      <c r="B31" s="1008">
        <v>124200</v>
      </c>
      <c r="C31" s="1009"/>
      <c r="D31" s="917"/>
      <c r="E31" s="1009"/>
      <c r="F31" s="917"/>
      <c r="G31" s="1009"/>
      <c r="H31" s="1010"/>
      <c r="I31" s="1003"/>
      <c r="J31" s="1223"/>
      <c r="K31" s="1248"/>
      <c r="L31" s="1650"/>
      <c r="M31" s="1899"/>
      <c r="N31" s="1649"/>
      <c r="O31" s="1003"/>
      <c r="P31" s="1891"/>
      <c r="Q31" s="1003"/>
    </row>
    <row r="32" spans="2:17" s="109" customFormat="1" ht="15" customHeight="1" x14ac:dyDescent="0.2">
      <c r="B32" s="1008">
        <v>124200</v>
      </c>
      <c r="C32" s="1009"/>
      <c r="D32" s="917"/>
      <c r="E32" s="1009"/>
      <c r="F32" s="917"/>
      <c r="G32" s="1009"/>
      <c r="H32" s="1010"/>
      <c r="I32" s="1003"/>
      <c r="J32" s="1891"/>
      <c r="K32" s="1003"/>
      <c r="L32" s="1901"/>
      <c r="M32" s="1902"/>
      <c r="N32" s="1649"/>
      <c r="O32" s="1003"/>
      <c r="P32" s="1891"/>
      <c r="Q32" s="1003"/>
    </row>
    <row r="33" spans="1:16" s="109" customFormat="1" ht="15" customHeight="1" x14ac:dyDescent="0.2">
      <c r="A33" s="1003"/>
      <c r="B33" s="1008">
        <v>124200</v>
      </c>
      <c r="C33" s="1009"/>
      <c r="D33" s="917"/>
      <c r="E33" s="1009"/>
      <c r="F33" s="917"/>
      <c r="G33" s="1009"/>
      <c r="H33" s="1010"/>
      <c r="I33" s="1003"/>
      <c r="J33" s="1891"/>
      <c r="K33" s="1003"/>
      <c r="L33" s="1901"/>
      <c r="M33" s="1902"/>
      <c r="N33" s="1649"/>
      <c r="O33" s="1003"/>
      <c r="P33" s="1891"/>
    </row>
    <row r="34" spans="1:16" s="109" customFormat="1" ht="15" customHeight="1" x14ac:dyDescent="0.2">
      <c r="A34" s="1003"/>
      <c r="B34" s="1008">
        <v>124200</v>
      </c>
      <c r="C34" s="1009"/>
      <c r="D34" s="917"/>
      <c r="E34" s="1009"/>
      <c r="F34" s="917"/>
      <c r="G34" s="1009"/>
      <c r="H34" s="1010"/>
      <c r="I34" s="1003"/>
      <c r="J34" s="1891"/>
      <c r="K34" s="1003"/>
      <c r="L34" s="1901"/>
      <c r="M34" s="1902"/>
      <c r="N34" s="1649"/>
      <c r="O34" s="1003"/>
      <c r="P34" s="1891"/>
    </row>
    <row r="35" spans="1:16" s="109" customFormat="1" ht="15" customHeight="1" thickBot="1" x14ac:dyDescent="0.25">
      <c r="A35" s="1003"/>
      <c r="B35" s="1003"/>
      <c r="C35" s="1003"/>
      <c r="D35" s="1003"/>
      <c r="E35" s="110"/>
      <c r="F35" s="110" t="s">
        <v>1853</v>
      </c>
      <c r="G35" s="110"/>
      <c r="H35" s="1011">
        <f>SUM(H31:H34)</f>
        <v>0</v>
      </c>
      <c r="I35" s="1003"/>
      <c r="J35" s="146" t="s">
        <v>1865</v>
      </c>
      <c r="K35" s="1003"/>
      <c r="L35" s="1003"/>
      <c r="M35" s="1003"/>
      <c r="N35" s="1003"/>
      <c r="O35" s="1003"/>
      <c r="P35" s="1003"/>
    </row>
    <row r="36" spans="1:16" s="109" customFormat="1" ht="15" customHeight="1" x14ac:dyDescent="0.2">
      <c r="A36" s="1003"/>
      <c r="B36" s="1003"/>
      <c r="C36" s="1003"/>
      <c r="D36" s="1003"/>
      <c r="E36" s="110"/>
      <c r="F36" s="110"/>
      <c r="G36" s="110"/>
      <c r="H36" s="1005"/>
      <c r="I36" s="1003"/>
      <c r="J36" s="146"/>
      <c r="K36" s="1003"/>
      <c r="L36" s="1003"/>
      <c r="M36" s="1003"/>
      <c r="N36" s="1003"/>
      <c r="O36" s="1003"/>
      <c r="P36" s="1003"/>
    </row>
    <row r="37" spans="1:16" s="109" customFormat="1" ht="15" customHeight="1" x14ac:dyDescent="0.2">
      <c r="A37" s="1003"/>
      <c r="B37" s="146" t="s">
        <v>1832</v>
      </c>
      <c r="C37" s="1003"/>
      <c r="D37" s="1003"/>
      <c r="E37" s="110"/>
      <c r="F37" s="110"/>
      <c r="G37" s="110"/>
      <c r="H37" s="1003"/>
      <c r="I37" s="1003"/>
      <c r="J37" s="1003"/>
      <c r="K37" s="1003"/>
      <c r="L37" s="1003"/>
      <c r="M37" s="1003"/>
      <c r="N37" s="1003"/>
      <c r="O37" s="110"/>
      <c r="P37" s="1003"/>
    </row>
    <row r="38" spans="1:16" s="109" customFormat="1" ht="15" customHeight="1" x14ac:dyDescent="0.2">
      <c r="A38" s="1003"/>
      <c r="B38" s="146"/>
      <c r="C38" s="1003"/>
      <c r="D38" s="1003"/>
      <c r="E38" s="110"/>
      <c r="F38" s="110"/>
      <c r="G38" s="110"/>
      <c r="H38" s="1003"/>
      <c r="I38" s="1003"/>
      <c r="J38" s="1003"/>
      <c r="K38" s="1003"/>
      <c r="L38" s="1003"/>
      <c r="M38" s="1003"/>
      <c r="N38" s="1003"/>
      <c r="O38" s="110"/>
      <c r="P38" s="1003"/>
    </row>
    <row r="39" spans="1:16" s="109" customFormat="1" ht="15" customHeight="1" x14ac:dyDescent="0.2">
      <c r="A39" s="1003"/>
      <c r="B39" s="146"/>
      <c r="C39" s="1003"/>
      <c r="D39" s="1003"/>
      <c r="E39" s="110"/>
      <c r="F39" s="110"/>
      <c r="G39" s="110"/>
      <c r="H39" s="1003"/>
      <c r="I39" s="1003"/>
      <c r="J39" s="1003"/>
      <c r="K39" s="1003"/>
      <c r="L39" s="1003"/>
      <c r="M39" s="1003"/>
      <c r="N39" s="1003"/>
      <c r="O39" s="110"/>
      <c r="P39" s="1003"/>
    </row>
    <row r="40" spans="1:16" s="109" customFormat="1" ht="15" customHeight="1" x14ac:dyDescent="0.2">
      <c r="A40" s="445" t="str">
        <f ca="1">MID(CELL("filename",A3),FIND("]",CELL("filename",A3))+1,256)</f>
        <v>525</v>
      </c>
      <c r="B40" s="445" t="s">
        <v>636</v>
      </c>
      <c r="C40" s="1003"/>
      <c r="D40" s="1003"/>
      <c r="E40" s="110"/>
      <c r="F40" s="110"/>
      <c r="G40" s="110"/>
      <c r="H40" s="1003"/>
      <c r="I40" s="1003"/>
      <c r="J40" s="1003"/>
      <c r="K40" s="1003"/>
      <c r="L40" s="1003"/>
      <c r="M40" s="1003"/>
      <c r="N40" s="1003"/>
      <c r="O40" s="110"/>
      <c r="P40" s="1003"/>
    </row>
    <row r="41" spans="1:16" s="109" customFormat="1" ht="15" customHeight="1" x14ac:dyDescent="0.2">
      <c r="A41" s="445" t="s">
        <v>380</v>
      </c>
      <c r="B41" s="445" t="str">
        <f t="shared" ref="B41:B50" ca="1" si="0">IF(ISNA(INDEX(ErrorTable,MATCH($A$40&amp;$A41&amp;FALSE,ErrorKey,0),6)),"",INDEX(ErrorTable,MATCH($A$40&amp;$A41&amp;FALSE,ErrorKey,0),6))</f>
        <v>GASB number is blank.</v>
      </c>
      <c r="C41" s="1003"/>
      <c r="D41" s="1003"/>
      <c r="E41" s="110"/>
      <c r="F41" s="110"/>
      <c r="G41" s="110"/>
      <c r="H41" s="1003"/>
      <c r="I41" s="1003"/>
      <c r="J41" s="1003"/>
      <c r="K41" s="1003"/>
      <c r="L41" s="1003"/>
      <c r="M41" s="1003"/>
      <c r="N41" s="1003"/>
      <c r="O41" s="110"/>
      <c r="P41" s="1003"/>
    </row>
    <row r="42" spans="1:16" s="109" customFormat="1" ht="15" customHeight="1" x14ac:dyDescent="0.2">
      <c r="A42" s="445" t="s">
        <v>381</v>
      </c>
      <c r="B42" s="445" t="str">
        <f t="shared" ca="1" si="0"/>
        <v/>
      </c>
      <c r="C42" s="1003"/>
      <c r="D42" s="1003"/>
      <c r="E42" s="110"/>
      <c r="F42" s="110"/>
      <c r="G42" s="110"/>
      <c r="H42" s="1003"/>
      <c r="I42" s="1003"/>
      <c r="J42" s="1003"/>
      <c r="K42" s="1003"/>
      <c r="L42" s="1003"/>
      <c r="M42" s="1003"/>
      <c r="N42" s="1003"/>
      <c r="O42" s="110"/>
      <c r="P42" s="1003"/>
    </row>
    <row r="43" spans="1:16" s="109" customFormat="1" ht="15" customHeight="1" x14ac:dyDescent="0.2">
      <c r="A43" s="445" t="s">
        <v>382</v>
      </c>
      <c r="B43" s="445" t="str">
        <f t="shared" ca="1" si="0"/>
        <v/>
      </c>
      <c r="C43" s="1003"/>
      <c r="D43" s="1003"/>
      <c r="E43" s="110"/>
      <c r="F43" s="110"/>
      <c r="G43" s="110"/>
      <c r="H43" s="1003"/>
      <c r="I43" s="1003"/>
      <c r="J43" s="1003"/>
      <c r="K43" s="1003"/>
      <c r="L43" s="1003"/>
      <c r="M43" s="1003"/>
      <c r="N43" s="1003"/>
      <c r="O43" s="110"/>
      <c r="P43" s="1003"/>
    </row>
    <row r="44" spans="1:16" s="109" customFormat="1" ht="15" customHeight="1" x14ac:dyDescent="0.2">
      <c r="A44" s="445" t="s">
        <v>383</v>
      </c>
      <c r="B44" s="445" t="str">
        <f t="shared" ca="1" si="0"/>
        <v/>
      </c>
      <c r="C44" s="1003"/>
      <c r="D44" s="1003"/>
      <c r="E44" s="110"/>
      <c r="F44" s="110"/>
      <c r="G44" s="110"/>
      <c r="H44" s="1003"/>
      <c r="I44" s="1003"/>
      <c r="J44" s="1003"/>
      <c r="K44" s="1003"/>
      <c r="L44" s="1003"/>
      <c r="M44" s="1003"/>
      <c r="N44" s="1003"/>
      <c r="O44" s="110"/>
      <c r="P44" s="1003"/>
    </row>
    <row r="45" spans="1:16" ht="20.85" customHeight="1" x14ac:dyDescent="0.25">
      <c r="A45" s="445" t="s">
        <v>384</v>
      </c>
      <c r="B45" s="445" t="str">
        <f t="shared" ca="1" si="0"/>
        <v/>
      </c>
    </row>
    <row r="46" spans="1:16" ht="20.85" customHeight="1" x14ac:dyDescent="0.25">
      <c r="A46" s="445" t="s">
        <v>385</v>
      </c>
      <c r="B46" s="445" t="str">
        <f t="shared" ca="1" si="0"/>
        <v/>
      </c>
      <c r="D46" s="42" t="s">
        <v>50</v>
      </c>
      <c r="E46" s="42"/>
      <c r="F46" s="42"/>
      <c r="G46" s="42"/>
      <c r="H46" s="42"/>
      <c r="I46" s="42"/>
      <c r="J46" s="42"/>
      <c r="K46" s="42"/>
    </row>
    <row r="47" spans="1:16" ht="20.85" customHeight="1" x14ac:dyDescent="0.25">
      <c r="A47" s="445" t="s">
        <v>386</v>
      </c>
      <c r="B47" s="445" t="str">
        <f t="shared" ca="1" si="0"/>
        <v/>
      </c>
      <c r="D47" s="42" t="s">
        <v>50</v>
      </c>
      <c r="E47" s="42"/>
      <c r="F47" s="42"/>
      <c r="G47" s="42"/>
      <c r="L47" s="41" t="s">
        <v>50</v>
      </c>
      <c r="M47" s="41"/>
      <c r="N47" s="41"/>
      <c r="O47" s="41"/>
    </row>
    <row r="48" spans="1:16" ht="20.85" customHeight="1" x14ac:dyDescent="0.25">
      <c r="A48" s="445" t="s">
        <v>387</v>
      </c>
      <c r="B48" s="445" t="str">
        <f t="shared" ca="1" si="0"/>
        <v/>
      </c>
    </row>
    <row r="49" spans="1:15" ht="20.85" customHeight="1" x14ac:dyDescent="0.25">
      <c r="A49" s="445" t="s">
        <v>388</v>
      </c>
      <c r="B49" s="445" t="str">
        <f t="shared" ca="1" si="0"/>
        <v/>
      </c>
    </row>
    <row r="50" spans="1:15" ht="20.85" customHeight="1" x14ac:dyDescent="0.25">
      <c r="A50" s="445" t="s">
        <v>389</v>
      </c>
      <c r="B50" s="445" t="str">
        <f t="shared" ca="1" si="0"/>
        <v/>
      </c>
    </row>
    <row r="51" spans="1:15" ht="20.85" customHeight="1" x14ac:dyDescent="0.25"/>
    <row r="52" spans="1:15" ht="20.85" customHeight="1" x14ac:dyDescent="0.25"/>
    <row r="53" spans="1:15" ht="20.85" customHeight="1" x14ac:dyDescent="0.25"/>
    <row r="54" spans="1:15" ht="20.85" customHeight="1" x14ac:dyDescent="0.25">
      <c r="D54" s="40" t="s">
        <v>50</v>
      </c>
    </row>
    <row r="55" spans="1:15" ht="20.85" customHeight="1" x14ac:dyDescent="0.25"/>
    <row r="56" spans="1:15" ht="20.85" customHeight="1" x14ac:dyDescent="0.25"/>
    <row r="57" spans="1:15" ht="20.85" customHeight="1" x14ac:dyDescent="0.25">
      <c r="D57" s="42" t="s">
        <v>50</v>
      </c>
      <c r="E57" s="42"/>
      <c r="F57" s="42"/>
      <c r="G57" s="42"/>
      <c r="L57" s="41" t="s">
        <v>50</v>
      </c>
      <c r="M57" s="41"/>
      <c r="N57" s="41"/>
      <c r="O57" s="41"/>
    </row>
  </sheetData>
  <sheetProtection algorithmName="SHA-512" hashValue="tgfzfnLctoAo+TCP/FSq4GgwBGbPo9xOBQhAgGeRJltGGZhQpLfipEZ7NDc7ganFBUel1Wx9zCINrhnvOaxnlw==" saltValue="jxV2DJKmDNI5/JJQgNHwhQ=="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scale="96"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scale="96" orientation="landscape" blackAndWhite="1" r:id="rId4"/>
      <headerFooter alignWithMargins="0">
        <oddFooter>&amp;R&amp;A</oddFooter>
      </headerFooter>
    </customSheetView>
  </customSheetViews>
  <mergeCells count="9">
    <mergeCell ref="D7:G7"/>
    <mergeCell ref="D8:H8"/>
    <mergeCell ref="J11:N11"/>
    <mergeCell ref="Q1:Q3"/>
    <mergeCell ref="B1:P1"/>
    <mergeCell ref="B2:P2"/>
    <mergeCell ref="B3:P3"/>
    <mergeCell ref="B4:P4"/>
    <mergeCell ref="B5:Q5"/>
  </mergeCells>
  <phoneticPr fontId="16" type="noConversion"/>
  <conditionalFormatting sqref="Q1:Q3">
    <cfRule type="cellIs" dxfId="67" priority="1" stopIfTrue="1" operator="equal">
      <formula>"na"</formula>
    </cfRule>
  </conditionalFormatting>
  <dataValidations count="2">
    <dataValidation type="textLength" operator="equal" allowBlank="1" showInputMessage="1" showErrorMessage="1" errorTitle="Invalid data!" error="GASB number must be 4 digits." sqref="D9 F15:F25 F31:F34" xr:uid="{00000000-0002-0000-2B00-000000000000}">
      <formula1>4</formula1>
    </dataValidation>
    <dataValidation type="list" allowBlank="1" showInputMessage="1" showErrorMessage="1" sqref="D15:D25 D31:D34" xr:uid="{00000000-0002-0000-2B00-000001000000}">
      <formula1>Listfor525and530</formula1>
    </dataValidation>
  </dataValidations>
  <hyperlinks>
    <hyperlink ref="B1:P1" location="Index!A1" display="Index!A1" xr:uid="{00000000-0004-0000-2B00-000000000000}"/>
  </hyperlinks>
  <pageMargins left="0.6" right="0.6" top="0.5" bottom="0.5" header="0.3" footer="0.3"/>
  <pageSetup scale="90" orientation="landscape" r:id="rId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121">
    <pageSetUpPr fitToPage="1"/>
  </sheetPr>
  <dimension ref="A1:Q55"/>
  <sheetViews>
    <sheetView showGridLines="0" topLeftCell="B1" zoomScaleNormal="100" workbookViewId="0">
      <selection activeCell="B2" sqref="B2:P2"/>
    </sheetView>
  </sheetViews>
  <sheetFormatPr defaultColWidth="9.42578125" defaultRowHeight="15.75" x14ac:dyDescent="0.25"/>
  <cols>
    <col min="1" max="1" width="0" style="40" hidden="1" customWidth="1"/>
    <col min="2" max="2" width="13.5703125" style="40" customWidth="1"/>
    <col min="3" max="3" width="1.5703125" style="40" customWidth="1"/>
    <col min="4" max="4" width="7.5703125" style="40" bestFit="1" customWidth="1"/>
    <col min="5" max="5" width="1.5703125" style="40" customWidth="1"/>
    <col min="6" max="6" width="8.5703125" style="40" customWidth="1"/>
    <col min="7" max="7" width="1.5703125" style="40" customWidth="1"/>
    <col min="8" max="8" width="16.5703125" style="40" customWidth="1"/>
    <col min="9" max="9" width="1.28515625" style="40" customWidth="1"/>
    <col min="10" max="10" width="15.42578125" style="40" customWidth="1"/>
    <col min="11" max="11" width="1" style="40" customWidth="1"/>
    <col min="12" max="12" width="13.42578125" style="40" customWidth="1"/>
    <col min="13" max="13" width="1.28515625" style="40" customWidth="1"/>
    <col min="14" max="14" width="13.42578125" style="40" customWidth="1"/>
    <col min="15" max="15" width="1.140625" style="40" customWidth="1"/>
    <col min="16" max="16" width="36.42578125" style="40" customWidth="1"/>
    <col min="17" max="17" width="4.5703125" style="40" bestFit="1" customWidth="1"/>
    <col min="18" max="16384" width="9.42578125" style="40"/>
  </cols>
  <sheetData>
    <row r="1" spans="2:17" s="108" customFormat="1" ht="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520" t="str">
        <f>IF(Index!$B$71="na","NA","")</f>
        <v/>
      </c>
    </row>
    <row r="2" spans="2:17" s="108" customFormat="1" ht="15" customHeight="1" x14ac:dyDescent="0.25">
      <c r="B2" s="2749" t="str">
        <f>+Index!$A$2</f>
        <v>2023 ACFR Worksheets</v>
      </c>
      <c r="C2" s="2749"/>
      <c r="D2" s="2749"/>
      <c r="E2" s="2749"/>
      <c r="F2" s="2749"/>
      <c r="G2" s="2749"/>
      <c r="H2" s="2749"/>
      <c r="I2" s="2749"/>
      <c r="J2" s="2749"/>
      <c r="K2" s="2749"/>
      <c r="L2" s="2749"/>
      <c r="M2" s="2749"/>
      <c r="N2" s="2749"/>
      <c r="O2" s="2749"/>
      <c r="P2" s="2749"/>
      <c r="Q2" s="2520"/>
    </row>
    <row r="3" spans="2:17" s="108" customFormat="1" ht="15" customHeight="1" x14ac:dyDescent="0.25">
      <c r="B3" s="2749" t="s">
        <v>1867</v>
      </c>
      <c r="C3" s="2749"/>
      <c r="D3" s="2749"/>
      <c r="E3" s="2749"/>
      <c r="F3" s="2749"/>
      <c r="G3" s="2749"/>
      <c r="H3" s="2749"/>
      <c r="I3" s="2749"/>
      <c r="J3" s="2749"/>
      <c r="K3" s="2749"/>
      <c r="L3" s="2749"/>
      <c r="M3" s="2749"/>
      <c r="N3" s="2749"/>
      <c r="O3" s="2749"/>
      <c r="P3" s="2749"/>
      <c r="Q3" s="2520"/>
    </row>
    <row r="4" spans="2:17" s="108" customFormat="1" ht="15" customHeight="1" x14ac:dyDescent="0.25">
      <c r="B4" s="2742" t="s">
        <v>1835</v>
      </c>
      <c r="C4" s="2742"/>
      <c r="D4" s="2742"/>
      <c r="E4" s="2742"/>
      <c r="F4" s="2742"/>
      <c r="G4" s="2742"/>
      <c r="H4" s="2742"/>
      <c r="I4" s="2742"/>
      <c r="J4" s="2742"/>
      <c r="K4" s="2742"/>
      <c r="L4" s="2742"/>
      <c r="M4" s="2742"/>
      <c r="N4" s="2742"/>
      <c r="O4" s="2742"/>
      <c r="P4" s="2742"/>
      <c r="Q4" s="2742"/>
    </row>
    <row r="5" spans="2:17" s="108" customFormat="1" ht="15" customHeight="1" x14ac:dyDescent="0.25">
      <c r="B5" s="2747" t="s">
        <v>1850</v>
      </c>
      <c r="C5" s="2747"/>
      <c r="D5" s="2747"/>
      <c r="E5" s="2747"/>
      <c r="F5" s="2747"/>
      <c r="G5" s="2747"/>
      <c r="H5" s="2747"/>
      <c r="I5" s="2747"/>
      <c r="J5" s="2747"/>
      <c r="K5" s="2747"/>
      <c r="L5" s="2747"/>
      <c r="M5" s="2747"/>
      <c r="N5" s="2747"/>
      <c r="O5" s="2747"/>
      <c r="P5" s="2747"/>
      <c r="Q5" s="2747"/>
    </row>
    <row r="6" spans="2:17" s="109" customFormat="1" ht="11.25" customHeight="1" x14ac:dyDescent="0.2">
      <c r="B6" s="111"/>
      <c r="C6" s="1887"/>
      <c r="D6" s="1887"/>
      <c r="E6" s="1887"/>
      <c r="F6" s="1887"/>
      <c r="G6" s="1887"/>
      <c r="H6" s="1887"/>
      <c r="I6" s="1887"/>
      <c r="J6" s="1887"/>
      <c r="K6" s="111"/>
      <c r="L6" s="1887"/>
      <c r="M6" s="1887"/>
      <c r="N6" s="1887"/>
      <c r="O6" s="1887"/>
      <c r="P6" s="1887"/>
      <c r="Q6" s="1003"/>
    </row>
    <row r="7" spans="2:17" s="109" customFormat="1" ht="15" customHeight="1" x14ac:dyDescent="0.2">
      <c r="B7" s="1888" t="s">
        <v>317</v>
      </c>
      <c r="C7" s="1003"/>
      <c r="D7" s="2745" t="str">
        <f>+Index!$E$10</f>
        <v>01</v>
      </c>
      <c r="E7" s="2745"/>
      <c r="F7" s="2745"/>
      <c r="G7" s="2745"/>
      <c r="H7" s="1873"/>
      <c r="I7" s="1003"/>
      <c r="J7" s="1003"/>
      <c r="K7" s="1003"/>
      <c r="L7" s="1003"/>
      <c r="M7" s="1003"/>
      <c r="N7" s="1003"/>
      <c r="O7" s="1889" t="s">
        <v>319</v>
      </c>
      <c r="P7" s="2312" t="str">
        <f>CONCATENATE(Index!$E$12," ",Index!$E$14)</f>
        <v xml:space="preserve"> </v>
      </c>
      <c r="Q7" s="1003"/>
    </row>
    <row r="8" spans="2:17" s="109" customFormat="1" ht="15" customHeight="1" x14ac:dyDescent="0.2">
      <c r="B8" s="1888" t="s">
        <v>318</v>
      </c>
      <c r="C8" s="1003"/>
      <c r="D8" s="2745" t="str">
        <f>+Index!$E$11</f>
        <v>North Carolina General Assembly</v>
      </c>
      <c r="E8" s="2745"/>
      <c r="F8" s="2745"/>
      <c r="G8" s="2745"/>
      <c r="H8" s="2745"/>
      <c r="I8" s="1003"/>
      <c r="J8" s="1003"/>
      <c r="K8" s="1003"/>
      <c r="L8" s="1003"/>
      <c r="M8" s="1003"/>
      <c r="N8" s="1003"/>
      <c r="O8" s="1889" t="s">
        <v>71</v>
      </c>
      <c r="P8" s="1890">
        <f>+Index!$E$13</f>
        <v>0</v>
      </c>
      <c r="Q8" s="1003"/>
    </row>
    <row r="9" spans="2:17" s="109" customFormat="1" ht="15" customHeight="1" x14ac:dyDescent="0.2">
      <c r="B9" s="1888" t="s">
        <v>1838</v>
      </c>
      <c r="C9" s="1003"/>
      <c r="D9" s="1891"/>
      <c r="E9" s="1003"/>
      <c r="F9" s="1003"/>
      <c r="G9" s="1003"/>
      <c r="H9" s="1003"/>
      <c r="I9" s="1003"/>
      <c r="J9" s="1003"/>
      <c r="K9" s="1003"/>
      <c r="L9" s="1003"/>
      <c r="M9" s="1003"/>
      <c r="N9" s="1003"/>
      <c r="O9" s="1003"/>
      <c r="P9" s="1003"/>
      <c r="Q9" s="1003"/>
    </row>
    <row r="10" spans="2:17" s="109" customFormat="1" ht="15" customHeight="1" thickBot="1" x14ac:dyDescent="0.25">
      <c r="B10" s="1892"/>
      <c r="C10" s="1892"/>
      <c r="D10" s="1892"/>
      <c r="E10" s="1892"/>
      <c r="F10" s="1892"/>
      <c r="G10" s="1892"/>
      <c r="H10" s="1892"/>
      <c r="I10" s="1892"/>
      <c r="J10" s="1892"/>
      <c r="K10" s="1893"/>
      <c r="L10" s="1892"/>
      <c r="M10" s="1892"/>
      <c r="N10" s="1892"/>
      <c r="O10" s="1892"/>
      <c r="P10" s="1892"/>
      <c r="Q10" s="1003"/>
    </row>
    <row r="11" spans="2:17" s="109" customFormat="1" ht="15" customHeight="1" thickBot="1" x14ac:dyDescent="0.25">
      <c r="B11" s="635" t="s">
        <v>1868</v>
      </c>
      <c r="C11" s="1004"/>
      <c r="D11" s="102" t="s">
        <v>1826</v>
      </c>
      <c r="E11" s="1248"/>
      <c r="F11" s="102" t="s">
        <v>1826</v>
      </c>
      <c r="G11" s="1003"/>
      <c r="H11" s="1003"/>
      <c r="I11" s="111"/>
      <c r="J11" s="2748" t="s">
        <v>1851</v>
      </c>
      <c r="K11" s="2748"/>
      <c r="L11" s="2748"/>
      <c r="M11" s="2748"/>
      <c r="N11" s="2748"/>
      <c r="O11" s="1871"/>
      <c r="P11" s="1003"/>
      <c r="Q11" s="1003"/>
    </row>
    <row r="12" spans="2:17" s="109" customFormat="1" ht="15" customHeight="1" x14ac:dyDescent="0.2">
      <c r="B12" s="110" t="s">
        <v>1825</v>
      </c>
      <c r="C12" s="1003"/>
      <c r="D12" s="102" t="s">
        <v>1840</v>
      </c>
      <c r="E12" s="1248"/>
      <c r="F12" s="102" t="s">
        <v>1596</v>
      </c>
      <c r="G12" s="1003"/>
      <c r="H12" s="1003"/>
      <c r="I12" s="111"/>
      <c r="J12" s="1248"/>
      <c r="K12" s="1248"/>
      <c r="L12" s="1546" t="s">
        <v>1841</v>
      </c>
      <c r="M12" s="102"/>
      <c r="N12" s="1546" t="s">
        <v>1842</v>
      </c>
      <c r="O12" s="1248"/>
      <c r="P12" s="1003"/>
      <c r="Q12" s="1003"/>
    </row>
    <row r="13" spans="2:17" s="109" customFormat="1" ht="15" customHeight="1" thickBot="1" x14ac:dyDescent="0.25">
      <c r="B13" s="112" t="s">
        <v>748</v>
      </c>
      <c r="C13" s="110"/>
      <c r="D13" s="2315" t="s">
        <v>1700</v>
      </c>
      <c r="E13" s="1248"/>
      <c r="F13" s="2315" t="s">
        <v>1700</v>
      </c>
      <c r="G13" s="1003"/>
      <c r="H13" s="112" t="s">
        <v>1347</v>
      </c>
      <c r="I13" s="1003"/>
      <c r="J13" s="2315" t="s">
        <v>1396</v>
      </c>
      <c r="K13" s="1894"/>
      <c r="L13" s="1547" t="s">
        <v>1844</v>
      </c>
      <c r="M13" s="102"/>
      <c r="N13" s="1547" t="s">
        <v>670</v>
      </c>
      <c r="O13" s="1894"/>
      <c r="P13" s="112" t="s">
        <v>1845</v>
      </c>
      <c r="Q13" s="1003"/>
    </row>
    <row r="14" spans="2:17" s="109" customFormat="1" ht="15" customHeight="1" x14ac:dyDescent="0.2">
      <c r="B14" s="1008">
        <v>212600</v>
      </c>
      <c r="C14" s="1009"/>
      <c r="D14" s="917"/>
      <c r="E14" s="1009"/>
      <c r="F14" s="917"/>
      <c r="G14" s="1009"/>
      <c r="H14" s="1010"/>
      <c r="I14" s="1003"/>
      <c r="J14" s="1223"/>
      <c r="K14" s="1248"/>
      <c r="L14" s="1650"/>
      <c r="M14" s="1899"/>
      <c r="N14" s="1649"/>
      <c r="O14" s="1003"/>
      <c r="P14" s="1891"/>
      <c r="Q14" s="1003"/>
    </row>
    <row r="15" spans="2:17" s="109" customFormat="1" ht="15" customHeight="1" x14ac:dyDescent="0.2">
      <c r="B15" s="1008">
        <v>212600</v>
      </c>
      <c r="C15" s="1009"/>
      <c r="D15" s="917"/>
      <c r="E15" s="1009"/>
      <c r="F15" s="917"/>
      <c r="G15" s="1009"/>
      <c r="H15" s="1010"/>
      <c r="I15" s="1003"/>
      <c r="J15" s="1223"/>
      <c r="K15" s="1248"/>
      <c r="L15" s="1650"/>
      <c r="M15" s="1899"/>
      <c r="N15" s="1649"/>
      <c r="O15" s="1003"/>
      <c r="P15" s="1891"/>
      <c r="Q15" s="1003"/>
    </row>
    <row r="16" spans="2:17" s="109" customFormat="1" ht="15" customHeight="1" x14ac:dyDescent="0.2">
      <c r="B16" s="1008">
        <v>212600</v>
      </c>
      <c r="C16" s="1009"/>
      <c r="D16" s="917"/>
      <c r="E16" s="1009"/>
      <c r="F16" s="917"/>
      <c r="G16" s="1009"/>
      <c r="H16" s="1010"/>
      <c r="I16" s="1003"/>
      <c r="J16" s="1223"/>
      <c r="K16" s="1248"/>
      <c r="L16" s="1650"/>
      <c r="M16" s="1899"/>
      <c r="N16" s="1649"/>
      <c r="O16" s="1003"/>
      <c r="P16" s="1891"/>
      <c r="Q16" s="1003"/>
    </row>
    <row r="17" spans="2:17" s="109" customFormat="1" ht="15" customHeight="1" x14ac:dyDescent="0.2">
      <c r="B17" s="1008">
        <v>212600</v>
      </c>
      <c r="C17" s="1009"/>
      <c r="D17" s="917"/>
      <c r="E17" s="1009"/>
      <c r="F17" s="917"/>
      <c r="G17" s="1009"/>
      <c r="H17" s="1010"/>
      <c r="I17" s="1003"/>
      <c r="J17" s="1223"/>
      <c r="K17" s="1248"/>
      <c r="L17" s="1650"/>
      <c r="M17" s="1899"/>
      <c r="N17" s="1649"/>
      <c r="O17" s="1003"/>
      <c r="P17" s="1891"/>
      <c r="Q17" s="1003"/>
    </row>
    <row r="18" spans="2:17" s="109" customFormat="1" ht="15" customHeight="1" x14ac:dyDescent="0.2">
      <c r="B18" s="1008">
        <v>212600</v>
      </c>
      <c r="C18" s="1009"/>
      <c r="D18" s="917"/>
      <c r="E18" s="1009"/>
      <c r="F18" s="917"/>
      <c r="G18" s="1009"/>
      <c r="H18" s="1010"/>
      <c r="I18" s="1003"/>
      <c r="J18" s="1891"/>
      <c r="K18" s="1003"/>
      <c r="L18" s="1901"/>
      <c r="M18" s="1902"/>
      <c r="N18" s="1649"/>
      <c r="O18" s="1003"/>
      <c r="P18" s="1891"/>
      <c r="Q18" s="1003"/>
    </row>
    <row r="19" spans="2:17" s="109" customFormat="1" ht="15" customHeight="1" x14ac:dyDescent="0.2">
      <c r="B19" s="1008">
        <v>212600</v>
      </c>
      <c r="C19" s="1009"/>
      <c r="D19" s="917"/>
      <c r="E19" s="1009"/>
      <c r="F19" s="917"/>
      <c r="G19" s="1009"/>
      <c r="H19" s="1010"/>
      <c r="I19" s="1003"/>
      <c r="J19" s="1891"/>
      <c r="K19" s="1003"/>
      <c r="L19" s="1901"/>
      <c r="M19" s="1902"/>
      <c r="N19" s="1649"/>
      <c r="O19" s="1003"/>
      <c r="P19" s="1891"/>
      <c r="Q19" s="1003"/>
    </row>
    <row r="20" spans="2:17" s="109" customFormat="1" ht="15" customHeight="1" x14ac:dyDescent="0.2">
      <c r="B20" s="1008">
        <v>212600</v>
      </c>
      <c r="C20" s="1009"/>
      <c r="D20" s="917"/>
      <c r="E20" s="1009"/>
      <c r="F20" s="917"/>
      <c r="G20" s="1009"/>
      <c r="H20" s="1010"/>
      <c r="I20" s="1003"/>
      <c r="J20" s="1891"/>
      <c r="K20" s="1003"/>
      <c r="L20" s="1901"/>
      <c r="M20" s="1902"/>
      <c r="N20" s="1649"/>
      <c r="O20" s="1003"/>
      <c r="P20" s="1891"/>
      <c r="Q20" s="1003"/>
    </row>
    <row r="21" spans="2:17" s="109" customFormat="1" ht="15" customHeight="1" x14ac:dyDescent="0.2">
      <c r="B21" s="1008">
        <v>212600</v>
      </c>
      <c r="C21" s="1009"/>
      <c r="D21" s="917"/>
      <c r="E21" s="1009"/>
      <c r="F21" s="917"/>
      <c r="G21" s="1009"/>
      <c r="H21" s="1010"/>
      <c r="I21" s="1003"/>
      <c r="J21" s="1891"/>
      <c r="K21" s="1003"/>
      <c r="L21" s="1901"/>
      <c r="M21" s="1902"/>
      <c r="N21" s="1649"/>
      <c r="O21" s="1003"/>
      <c r="P21" s="1891"/>
      <c r="Q21" s="1003"/>
    </row>
    <row r="22" spans="2:17" s="109" customFormat="1" ht="15" customHeight="1" x14ac:dyDescent="0.2">
      <c r="B22" s="1008">
        <v>212600</v>
      </c>
      <c r="C22" s="1009"/>
      <c r="D22" s="917"/>
      <c r="E22" s="1009"/>
      <c r="F22" s="917"/>
      <c r="G22" s="1009"/>
      <c r="H22" s="1010"/>
      <c r="I22" s="1003"/>
      <c r="J22" s="1891"/>
      <c r="K22" s="1003"/>
      <c r="L22" s="1901"/>
      <c r="M22" s="1902"/>
      <c r="N22" s="1649"/>
      <c r="O22" s="1003"/>
      <c r="P22" s="1891"/>
      <c r="Q22" s="1003"/>
    </row>
    <row r="23" spans="2:17" s="109" customFormat="1" ht="15" customHeight="1" x14ac:dyDescent="0.2">
      <c r="B23" s="1008">
        <v>212600</v>
      </c>
      <c r="C23" s="1009"/>
      <c r="D23" s="917"/>
      <c r="E23" s="1009"/>
      <c r="F23" s="917"/>
      <c r="G23" s="1009"/>
      <c r="H23" s="1010"/>
      <c r="I23" s="1003"/>
      <c r="J23" s="1891"/>
      <c r="K23" s="1003"/>
      <c r="L23" s="1901"/>
      <c r="M23" s="1902"/>
      <c r="N23" s="1649"/>
      <c r="O23" s="1003"/>
      <c r="P23" s="1891"/>
      <c r="Q23" s="1003"/>
    </row>
    <row r="24" spans="2:17" s="109" customFormat="1" ht="15" customHeight="1" x14ac:dyDescent="0.2">
      <c r="B24" s="1008">
        <v>212600</v>
      </c>
      <c r="C24" s="1009"/>
      <c r="D24" s="917"/>
      <c r="E24" s="1009"/>
      <c r="F24" s="917"/>
      <c r="G24" s="1009"/>
      <c r="H24" s="1010"/>
      <c r="I24" s="1003"/>
      <c r="J24" s="1891"/>
      <c r="K24" s="1003"/>
      <c r="L24" s="1901"/>
      <c r="M24" s="1902"/>
      <c r="N24" s="1649"/>
      <c r="O24" s="1003"/>
      <c r="P24" s="1891"/>
      <c r="Q24" s="1003"/>
    </row>
    <row r="25" spans="2:17" s="109" customFormat="1" ht="15" customHeight="1" x14ac:dyDescent="0.2">
      <c r="B25" s="1008">
        <v>212600</v>
      </c>
      <c r="C25" s="1009"/>
      <c r="D25" s="917"/>
      <c r="E25" s="1009"/>
      <c r="F25" s="917"/>
      <c r="G25" s="1009"/>
      <c r="H25" s="1010"/>
      <c r="I25" s="1003"/>
      <c r="J25" s="1891"/>
      <c r="K25" s="1003"/>
      <c r="L25" s="1901"/>
      <c r="M25" s="1902"/>
      <c r="N25" s="1649"/>
      <c r="O25" s="1003"/>
      <c r="P25" s="1891"/>
      <c r="Q25" s="1003"/>
    </row>
    <row r="26" spans="2:17" s="109" customFormat="1" ht="15" customHeight="1" x14ac:dyDescent="0.2">
      <c r="B26" s="1008">
        <v>212600</v>
      </c>
      <c r="C26" s="1009"/>
      <c r="D26" s="917"/>
      <c r="E26" s="1009"/>
      <c r="F26" s="917"/>
      <c r="G26" s="1009"/>
      <c r="H26" s="1010"/>
      <c r="I26" s="1003"/>
      <c r="J26" s="1891"/>
      <c r="K26" s="1003"/>
      <c r="L26" s="1901"/>
      <c r="M26" s="1902"/>
      <c r="N26" s="1649"/>
      <c r="O26" s="1003"/>
      <c r="P26" s="1891"/>
      <c r="Q26" s="1003"/>
    </row>
    <row r="27" spans="2:17" s="109" customFormat="1" ht="15" customHeight="1" x14ac:dyDescent="0.2">
      <c r="B27" s="1008">
        <v>212600</v>
      </c>
      <c r="C27" s="1009"/>
      <c r="D27" s="917"/>
      <c r="E27" s="1009"/>
      <c r="F27" s="917"/>
      <c r="G27" s="1009"/>
      <c r="H27" s="1010"/>
      <c r="I27" s="1003"/>
      <c r="J27" s="1891"/>
      <c r="K27" s="1003"/>
      <c r="L27" s="1901"/>
      <c r="M27" s="1902"/>
      <c r="N27" s="1649"/>
      <c r="O27" s="1003"/>
      <c r="P27" s="1891"/>
      <c r="Q27" s="1003"/>
    </row>
    <row r="28" spans="2:17" s="109" customFormat="1" ht="15" customHeight="1" x14ac:dyDescent="0.2">
      <c r="B28" s="1008">
        <v>212600</v>
      </c>
      <c r="C28" s="1009"/>
      <c r="D28" s="917"/>
      <c r="E28" s="1009"/>
      <c r="F28" s="917"/>
      <c r="G28" s="1009"/>
      <c r="H28" s="1010"/>
      <c r="I28" s="1003"/>
      <c r="J28" s="1891"/>
      <c r="K28" s="1003"/>
      <c r="L28" s="1901"/>
      <c r="M28" s="1902"/>
      <c r="N28" s="1649"/>
      <c r="O28" s="1003"/>
      <c r="P28" s="1891"/>
      <c r="Q28" s="1003"/>
    </row>
    <row r="29" spans="2:17" s="109" customFormat="1" ht="15" customHeight="1" x14ac:dyDescent="0.2">
      <c r="B29" s="1008">
        <v>212600</v>
      </c>
      <c r="C29" s="1009"/>
      <c r="D29" s="917"/>
      <c r="E29" s="1009"/>
      <c r="F29" s="917"/>
      <c r="G29" s="1009"/>
      <c r="H29" s="1010"/>
      <c r="I29" s="1003"/>
      <c r="J29" s="1891"/>
      <c r="K29" s="1003"/>
      <c r="L29" s="1901"/>
      <c r="M29" s="1902"/>
      <c r="N29" s="1649"/>
      <c r="O29" s="1003"/>
      <c r="P29" s="1891"/>
      <c r="Q29" s="1003"/>
    </row>
    <row r="30" spans="2:17" s="109" customFormat="1" ht="15" customHeight="1" x14ac:dyDescent="0.2">
      <c r="B30" s="1008">
        <v>212600</v>
      </c>
      <c r="C30" s="1009"/>
      <c r="D30" s="917"/>
      <c r="E30" s="1009"/>
      <c r="F30" s="917"/>
      <c r="G30" s="1009"/>
      <c r="H30" s="1010"/>
      <c r="I30" s="1003"/>
      <c r="J30" s="1891"/>
      <c r="K30" s="1003"/>
      <c r="L30" s="1901"/>
      <c r="M30" s="1902"/>
      <c r="N30" s="1649"/>
      <c r="O30" s="1003"/>
      <c r="P30" s="1891"/>
      <c r="Q30" s="1003"/>
    </row>
    <row r="31" spans="2:17" s="109" customFormat="1" ht="15" customHeight="1" x14ac:dyDescent="0.2">
      <c r="B31" s="1008">
        <v>212600</v>
      </c>
      <c r="C31" s="1009"/>
      <c r="D31" s="917"/>
      <c r="E31" s="1009"/>
      <c r="F31" s="917"/>
      <c r="G31" s="1009"/>
      <c r="H31" s="1010"/>
      <c r="I31" s="1003"/>
      <c r="J31" s="1891"/>
      <c r="K31" s="1003"/>
      <c r="L31" s="1901"/>
      <c r="M31" s="1902"/>
      <c r="N31" s="1649"/>
      <c r="O31" s="1003"/>
      <c r="P31" s="1891"/>
      <c r="Q31" s="1003"/>
    </row>
    <row r="32" spans="2:17" s="109" customFormat="1" ht="15" customHeight="1" thickBot="1" x14ac:dyDescent="0.25">
      <c r="B32" s="1003"/>
      <c r="C32" s="1003"/>
      <c r="D32" s="1003"/>
      <c r="E32" s="110"/>
      <c r="F32" s="110" t="s">
        <v>1853</v>
      </c>
      <c r="G32" s="110"/>
      <c r="H32" s="1011">
        <f>SUM(H14:H31)</f>
        <v>0</v>
      </c>
      <c r="I32" s="1003"/>
      <c r="J32" s="146" t="s">
        <v>1865</v>
      </c>
      <c r="K32" s="1003"/>
      <c r="L32" s="1003"/>
      <c r="M32" s="1003"/>
      <c r="N32" s="1003"/>
      <c r="O32" s="1003"/>
      <c r="P32" s="1003"/>
      <c r="Q32" s="1003"/>
    </row>
    <row r="33" spans="1:16" s="109" customFormat="1" ht="7.35" customHeight="1" x14ac:dyDescent="0.2">
      <c r="A33" s="1003"/>
      <c r="B33" s="1003"/>
      <c r="C33" s="1003"/>
      <c r="D33" s="1003"/>
      <c r="E33" s="110"/>
      <c r="F33" s="110"/>
      <c r="G33" s="110"/>
      <c r="H33" s="1003"/>
      <c r="I33" s="1003"/>
      <c r="J33" s="1003"/>
      <c r="K33" s="1003"/>
      <c r="L33" s="1003"/>
      <c r="M33" s="1003"/>
      <c r="N33" s="1003"/>
      <c r="O33" s="110"/>
      <c r="P33" s="1003"/>
    </row>
    <row r="34" spans="1:16" s="109" customFormat="1" ht="15" customHeight="1" x14ac:dyDescent="0.2">
      <c r="A34" s="1003"/>
      <c r="B34" s="146" t="s">
        <v>1832</v>
      </c>
      <c r="C34" s="1003"/>
      <c r="D34" s="1003"/>
      <c r="E34" s="110"/>
      <c r="F34" s="110"/>
      <c r="G34" s="110"/>
      <c r="H34" s="1003"/>
      <c r="I34" s="1003"/>
      <c r="J34" s="1003"/>
      <c r="K34" s="1003"/>
      <c r="L34" s="1003"/>
      <c r="M34" s="1003"/>
      <c r="N34" s="1003"/>
      <c r="O34" s="110"/>
      <c r="P34" s="1003"/>
    </row>
    <row r="35" spans="1:16" s="109" customFormat="1" ht="15" customHeight="1" x14ac:dyDescent="0.2">
      <c r="A35" s="1003"/>
      <c r="B35" s="1003"/>
      <c r="C35" s="1003"/>
      <c r="D35" s="1003"/>
      <c r="E35" s="110"/>
      <c r="F35" s="110"/>
      <c r="G35" s="110"/>
      <c r="H35" s="1003"/>
      <c r="I35" s="1003"/>
      <c r="J35" s="1003"/>
      <c r="K35" s="1003"/>
      <c r="L35" s="1003"/>
      <c r="M35" s="1003"/>
      <c r="N35" s="1003"/>
      <c r="O35" s="110"/>
      <c r="P35" s="1003"/>
    </row>
    <row r="36" spans="1:16" s="109" customFormat="1" ht="15" customHeight="1" x14ac:dyDescent="0.2">
      <c r="A36" s="1003"/>
      <c r="B36" s="1003"/>
      <c r="C36" s="1003"/>
      <c r="D36" s="1003"/>
      <c r="E36" s="110"/>
      <c r="F36" s="110"/>
      <c r="G36" s="110"/>
      <c r="H36" s="1003"/>
      <c r="I36" s="1003"/>
      <c r="J36" s="1003"/>
      <c r="K36" s="1003"/>
      <c r="L36" s="1003"/>
      <c r="M36" s="1003"/>
      <c r="N36" s="1003"/>
      <c r="O36" s="110"/>
      <c r="P36" s="1003"/>
    </row>
    <row r="37" spans="1:16" s="109" customFormat="1" ht="15" customHeight="1" x14ac:dyDescent="0.2">
      <c r="A37" s="1003"/>
      <c r="B37" s="1003"/>
      <c r="C37" s="1003"/>
      <c r="D37" s="1003"/>
      <c r="E37" s="110"/>
      <c r="F37" s="110"/>
      <c r="G37" s="110"/>
      <c r="H37" s="1003"/>
      <c r="I37" s="1003"/>
      <c r="J37" s="1003"/>
      <c r="K37" s="1003"/>
      <c r="L37" s="1003"/>
      <c r="M37" s="1003"/>
      <c r="N37" s="1003"/>
      <c r="O37" s="110"/>
      <c r="P37" s="1003"/>
    </row>
    <row r="38" spans="1:16" s="109" customFormat="1" ht="15" customHeight="1" x14ac:dyDescent="0.2">
      <c r="A38" s="445" t="str">
        <f ca="1">MID(CELL("filename",A3),FIND("]",CELL("filename",A3))+1,256)</f>
        <v>530</v>
      </c>
      <c r="B38" s="445" t="s">
        <v>636</v>
      </c>
      <c r="C38" s="1003"/>
      <c r="D38" s="1003"/>
      <c r="E38" s="110"/>
      <c r="F38" s="110"/>
      <c r="G38" s="110"/>
      <c r="H38" s="1003"/>
      <c r="I38" s="1003"/>
      <c r="J38" s="1003"/>
      <c r="K38" s="1003"/>
      <c r="L38" s="1003"/>
      <c r="M38" s="1003"/>
      <c r="N38" s="1003"/>
      <c r="O38" s="110"/>
      <c r="P38" s="1003"/>
    </row>
    <row r="39" spans="1:16" s="109" customFormat="1" ht="15" customHeight="1" x14ac:dyDescent="0.2">
      <c r="A39" s="445" t="s">
        <v>380</v>
      </c>
      <c r="B39" s="445" t="str">
        <f t="shared" ref="B39:B48" ca="1" si="0">IF(ISNA(INDEX(ErrorTable,MATCH($A$38&amp;$A39&amp;FALSE,ErrorKey,0),6)),"",INDEX(ErrorTable,MATCH($A$38&amp;$A39&amp;FALSE,ErrorKey,0),6))</f>
        <v>GASB number is blank.</v>
      </c>
      <c r="C39" s="1003"/>
      <c r="D39" s="1003"/>
      <c r="E39" s="110"/>
      <c r="F39" s="110"/>
      <c r="G39" s="110"/>
      <c r="H39" s="1003"/>
      <c r="I39" s="1003"/>
      <c r="J39" s="1003"/>
      <c r="K39" s="1003"/>
      <c r="L39" s="1003"/>
      <c r="M39" s="1003"/>
      <c r="N39" s="1003"/>
      <c r="O39" s="110"/>
      <c r="P39" s="1003"/>
    </row>
    <row r="40" spans="1:16" s="109" customFormat="1" ht="15" customHeight="1" x14ac:dyDescent="0.2">
      <c r="A40" s="445" t="s">
        <v>381</v>
      </c>
      <c r="B40" s="445" t="str">
        <f t="shared" ca="1" si="0"/>
        <v/>
      </c>
      <c r="C40" s="1003"/>
      <c r="D40" s="1003"/>
      <c r="E40" s="110"/>
      <c r="F40" s="110"/>
      <c r="G40" s="110"/>
      <c r="H40" s="1003"/>
      <c r="I40" s="1003"/>
      <c r="J40" s="1003"/>
      <c r="K40" s="1003"/>
      <c r="L40" s="1003"/>
      <c r="M40" s="1003"/>
      <c r="N40" s="1003"/>
      <c r="O40" s="110"/>
      <c r="P40" s="1003"/>
    </row>
    <row r="41" spans="1:16" s="109" customFormat="1" ht="15" customHeight="1" x14ac:dyDescent="0.2">
      <c r="A41" s="445" t="s">
        <v>382</v>
      </c>
      <c r="B41" s="445" t="str">
        <f t="shared" ca="1" si="0"/>
        <v/>
      </c>
      <c r="C41" s="1003"/>
      <c r="D41" s="1003"/>
      <c r="E41" s="110"/>
      <c r="F41" s="110"/>
      <c r="G41" s="110"/>
      <c r="H41" s="1003"/>
      <c r="I41" s="1003"/>
      <c r="J41" s="1003"/>
      <c r="K41" s="1003"/>
      <c r="L41" s="1003"/>
      <c r="M41" s="1003"/>
      <c r="N41" s="1003"/>
      <c r="O41" s="110"/>
      <c r="P41" s="1003"/>
    </row>
    <row r="42" spans="1:16" s="109" customFormat="1" ht="15" customHeight="1" x14ac:dyDescent="0.2">
      <c r="A42" s="445" t="s">
        <v>383</v>
      </c>
      <c r="B42" s="445" t="str">
        <f t="shared" ca="1" si="0"/>
        <v/>
      </c>
      <c r="C42" s="1003"/>
      <c r="D42" s="1003"/>
      <c r="E42" s="110"/>
      <c r="F42" s="110"/>
      <c r="G42" s="110"/>
      <c r="H42" s="1003"/>
      <c r="I42" s="1003"/>
      <c r="J42" s="1003"/>
      <c r="K42" s="1003"/>
      <c r="L42" s="1003"/>
      <c r="M42" s="1003"/>
      <c r="N42" s="1003"/>
      <c r="O42" s="110"/>
      <c r="P42" s="1003"/>
    </row>
    <row r="43" spans="1:16" s="109" customFormat="1" ht="15" customHeight="1" x14ac:dyDescent="0.2">
      <c r="A43" s="445" t="s">
        <v>384</v>
      </c>
      <c r="B43" s="445" t="str">
        <f t="shared" ca="1" si="0"/>
        <v/>
      </c>
      <c r="C43" s="1003"/>
      <c r="D43" s="1003"/>
      <c r="E43" s="110"/>
      <c r="F43" s="110"/>
      <c r="G43" s="110"/>
      <c r="H43" s="1003"/>
      <c r="I43" s="1003"/>
      <c r="J43" s="1003"/>
      <c r="K43" s="1003"/>
      <c r="L43" s="1003"/>
      <c r="M43" s="1003"/>
      <c r="N43" s="1003"/>
      <c r="O43" s="110"/>
      <c r="P43" s="1003"/>
    </row>
    <row r="44" spans="1:16" ht="20.85" customHeight="1" x14ac:dyDescent="0.25">
      <c r="A44" s="445" t="s">
        <v>385</v>
      </c>
      <c r="B44" s="445" t="str">
        <f t="shared" ca="1" si="0"/>
        <v/>
      </c>
      <c r="D44" s="42" t="s">
        <v>50</v>
      </c>
      <c r="E44" s="42"/>
      <c r="F44" s="42"/>
      <c r="G44" s="42"/>
      <c r="H44" s="42"/>
      <c r="I44" s="42"/>
      <c r="J44" s="42"/>
      <c r="K44" s="42"/>
    </row>
    <row r="45" spans="1:16" ht="20.85" customHeight="1" x14ac:dyDescent="0.25">
      <c r="A45" s="445" t="s">
        <v>386</v>
      </c>
      <c r="B45" s="445" t="str">
        <f t="shared" ca="1" si="0"/>
        <v/>
      </c>
      <c r="D45" s="42" t="s">
        <v>50</v>
      </c>
      <c r="E45" s="42"/>
      <c r="F45" s="42"/>
      <c r="G45" s="42"/>
      <c r="L45" s="41" t="s">
        <v>50</v>
      </c>
      <c r="M45" s="41"/>
      <c r="N45" s="41"/>
      <c r="O45" s="41"/>
    </row>
    <row r="46" spans="1:16" ht="20.85" customHeight="1" x14ac:dyDescent="0.25">
      <c r="A46" s="445" t="s">
        <v>387</v>
      </c>
      <c r="B46" s="445" t="str">
        <f t="shared" ca="1" si="0"/>
        <v/>
      </c>
    </row>
    <row r="47" spans="1:16" ht="20.85" customHeight="1" x14ac:dyDescent="0.25">
      <c r="A47" s="445" t="s">
        <v>388</v>
      </c>
      <c r="B47" s="445" t="str">
        <f t="shared" ca="1" si="0"/>
        <v/>
      </c>
    </row>
    <row r="48" spans="1:16" ht="20.85" customHeight="1" x14ac:dyDescent="0.25">
      <c r="A48" s="445" t="s">
        <v>389</v>
      </c>
      <c r="B48" s="445" t="str">
        <f t="shared" ca="1" si="0"/>
        <v/>
      </c>
    </row>
    <row r="49" spans="4:15" ht="20.85" customHeight="1" x14ac:dyDescent="0.25"/>
    <row r="50" spans="4:15" ht="20.85" customHeight="1" x14ac:dyDescent="0.25"/>
    <row r="51" spans="4:15" ht="20.85" customHeight="1" x14ac:dyDescent="0.25"/>
    <row r="52" spans="4:15" ht="20.85" customHeight="1" x14ac:dyDescent="0.25">
      <c r="D52" s="40" t="s">
        <v>50</v>
      </c>
    </row>
    <row r="53" spans="4:15" ht="20.85" customHeight="1" x14ac:dyDescent="0.25"/>
    <row r="54" spans="4:15" ht="20.85" customHeight="1" x14ac:dyDescent="0.25"/>
    <row r="55" spans="4:15" ht="20.85" customHeight="1" x14ac:dyDescent="0.25">
      <c r="D55" s="42" t="s">
        <v>50</v>
      </c>
      <c r="E55" s="42"/>
      <c r="F55" s="42"/>
      <c r="G55" s="42"/>
      <c r="L55" s="41" t="s">
        <v>50</v>
      </c>
      <c r="M55" s="41"/>
      <c r="N55" s="41"/>
      <c r="O55" s="41"/>
    </row>
  </sheetData>
  <sheetProtection algorithmName="SHA-512" hashValue="PPKyHwIAWeRDlvsCk7GHBFIxGD2ZqKHLH6XE8gOWZPHB0hOmmzbYNY5pATIgS6dV8tKQHikHf4ZphpbuDaEVRQ==" saltValue="CACdt5BBmCpQ0Kpc5TzFUA=="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8:H8"/>
    <mergeCell ref="B4:Q4"/>
    <mergeCell ref="J11:N11"/>
    <mergeCell ref="Q1:Q3"/>
    <mergeCell ref="B1:P1"/>
    <mergeCell ref="B2:P2"/>
    <mergeCell ref="B3:P3"/>
    <mergeCell ref="D7:G7"/>
    <mergeCell ref="B5:Q5"/>
  </mergeCells>
  <phoneticPr fontId="16" type="noConversion"/>
  <conditionalFormatting sqref="Q1:Q3">
    <cfRule type="cellIs" dxfId="66" priority="1" stopIfTrue="1" operator="equal">
      <formula>"na"</formula>
    </cfRule>
  </conditionalFormatting>
  <dataValidations count="2">
    <dataValidation type="textLength" operator="equal" allowBlank="1" showInputMessage="1" showErrorMessage="1" errorTitle="Invalid data!" error="GASB number must be 4 digits." sqref="D9 F14:F31" xr:uid="{00000000-0002-0000-2C00-000000000000}">
      <formula1>4</formula1>
    </dataValidation>
    <dataValidation type="list" allowBlank="1" showInputMessage="1" showErrorMessage="1" sqref="D14:D31" xr:uid="{00000000-0002-0000-2C00-000001000000}">
      <formula1>Listfor525and530</formula1>
    </dataValidation>
  </dataValidations>
  <hyperlinks>
    <hyperlink ref="B1:P1" location="Index!A1" display="Index!A1" xr:uid="{00000000-0004-0000-2C00-000000000000}"/>
  </hyperlinks>
  <pageMargins left="0.6" right="0.6" top="0.5" bottom="0.5" header="0.3" footer="0.3"/>
  <pageSetup scale="91" orientation="landscape" r:id="rId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3">
    <pageSetUpPr fitToPage="1"/>
  </sheetPr>
  <dimension ref="A1:W57"/>
  <sheetViews>
    <sheetView showGridLines="0" topLeftCell="B1" zoomScaleNormal="100" workbookViewId="0">
      <selection activeCell="B3" sqref="B3:P3"/>
    </sheetView>
  </sheetViews>
  <sheetFormatPr defaultColWidth="9.42578125" defaultRowHeight="15.75" x14ac:dyDescent="0.25"/>
  <cols>
    <col min="1" max="1" width="0" style="40" hidden="1" customWidth="1"/>
    <col min="2" max="2" width="13.5703125" style="40" customWidth="1"/>
    <col min="3" max="3" width="1.5703125" style="40" customWidth="1"/>
    <col min="4" max="4" width="7.5703125" style="40" bestFit="1" customWidth="1"/>
    <col min="5" max="5" width="1.5703125" style="40" customWidth="1"/>
    <col min="6" max="6" width="8.5703125" style="40" customWidth="1"/>
    <col min="7" max="7" width="1.5703125" style="40" customWidth="1"/>
    <col min="8" max="8" width="16.85546875" style="40" customWidth="1"/>
    <col min="9" max="9" width="1.5703125" style="40" customWidth="1"/>
    <col min="10" max="10" width="15.42578125" style="40" customWidth="1"/>
    <col min="11" max="11" width="0.5703125" style="40" customWidth="1"/>
    <col min="12" max="12" width="13.42578125" style="40" customWidth="1"/>
    <col min="13" max="13" width="1.28515625" style="40" customWidth="1"/>
    <col min="14" max="14" width="13.42578125" style="40" customWidth="1"/>
    <col min="15" max="15" width="1.42578125" style="40" customWidth="1"/>
    <col min="16" max="16" width="36.42578125" style="40" customWidth="1"/>
    <col min="17" max="17" width="4.5703125" style="40" customWidth="1"/>
    <col min="18" max="18" width="5.5703125" style="40" hidden="1" customWidth="1"/>
    <col min="19" max="19" width="2" style="40" hidden="1" customWidth="1"/>
    <col min="20" max="23" width="5.5703125" style="40" hidden="1" customWidth="1"/>
    <col min="24" max="16384" width="9.42578125" style="40"/>
  </cols>
  <sheetData>
    <row r="1" spans="2:23" s="108" customFormat="1" ht="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520" t="str">
        <f>IF(Index!$B$72="na","NA","")</f>
        <v/>
      </c>
    </row>
    <row r="2" spans="2:23" s="108" customFormat="1" ht="15" customHeight="1" x14ac:dyDescent="0.25">
      <c r="B2" s="2749" t="str">
        <f>+Index!$A$2</f>
        <v>2023 ACFR Worksheets</v>
      </c>
      <c r="C2" s="2749"/>
      <c r="D2" s="2749"/>
      <c r="E2" s="2749"/>
      <c r="F2" s="2749"/>
      <c r="G2" s="2749"/>
      <c r="H2" s="2749"/>
      <c r="I2" s="2749"/>
      <c r="J2" s="2749"/>
      <c r="K2" s="2749"/>
      <c r="L2" s="2749"/>
      <c r="M2" s="2749"/>
      <c r="N2" s="2749"/>
      <c r="O2" s="2749"/>
      <c r="P2" s="2749"/>
      <c r="Q2" s="2520"/>
    </row>
    <row r="3" spans="2:23" s="108" customFormat="1" ht="15" customHeight="1" x14ac:dyDescent="0.25">
      <c r="B3" s="2749" t="s">
        <v>1869</v>
      </c>
      <c r="C3" s="2749"/>
      <c r="D3" s="2749"/>
      <c r="E3" s="2749"/>
      <c r="F3" s="2749"/>
      <c r="G3" s="2749"/>
      <c r="H3" s="2749"/>
      <c r="I3" s="2749"/>
      <c r="J3" s="2749"/>
      <c r="K3" s="2749"/>
      <c r="L3" s="2749"/>
      <c r="M3" s="2749"/>
      <c r="N3" s="2749"/>
      <c r="O3" s="2749"/>
      <c r="P3" s="2749"/>
      <c r="Q3" s="2520"/>
    </row>
    <row r="4" spans="2:23" s="109" customFormat="1" ht="15" customHeight="1" x14ac:dyDescent="0.2">
      <c r="B4" s="111"/>
      <c r="C4" s="1887"/>
      <c r="D4" s="1887"/>
      <c r="E4" s="1887"/>
      <c r="F4" s="1887"/>
      <c r="G4" s="1887"/>
      <c r="H4" s="1887"/>
      <c r="I4" s="1887"/>
      <c r="J4" s="1887"/>
      <c r="K4" s="111"/>
      <c r="L4" s="2753" t="s">
        <v>1870</v>
      </c>
      <c r="M4" s="2753"/>
      <c r="N4" s="2753"/>
      <c r="O4" s="2753"/>
      <c r="P4" s="2753"/>
      <c r="Q4" s="1003"/>
      <c r="R4" s="1003"/>
      <c r="S4" s="1003"/>
      <c r="T4" s="1003"/>
      <c r="U4" s="1003"/>
      <c r="V4" s="1003"/>
      <c r="W4" s="1003"/>
    </row>
    <row r="5" spans="2:23" s="109" customFormat="1" ht="15" customHeight="1" x14ac:dyDescent="0.2">
      <c r="B5" s="1888" t="s">
        <v>317</v>
      </c>
      <c r="C5" s="1003"/>
      <c r="D5" s="2745" t="str">
        <f>+Index!$E$10</f>
        <v>01</v>
      </c>
      <c r="E5" s="2745"/>
      <c r="F5" s="2745"/>
      <c r="G5" s="2745"/>
      <c r="H5" s="1873"/>
      <c r="I5" s="1003"/>
      <c r="J5" s="1003"/>
      <c r="K5" s="1003"/>
      <c r="L5" s="1003"/>
      <c r="M5" s="1003"/>
      <c r="N5" s="1003"/>
      <c r="O5" s="1889" t="s">
        <v>319</v>
      </c>
      <c r="P5" s="2312" t="str">
        <f>CONCATENATE(Index!$E$12," ",Index!$E$14)</f>
        <v xml:space="preserve"> </v>
      </c>
      <c r="Q5" s="1003"/>
      <c r="R5" s="1003"/>
      <c r="S5" s="1003"/>
      <c r="T5" s="1003"/>
      <c r="U5" s="1003"/>
      <c r="V5" s="1003"/>
      <c r="W5" s="1003"/>
    </row>
    <row r="6" spans="2:23" s="109" customFormat="1" ht="15" customHeight="1" x14ac:dyDescent="0.2">
      <c r="B6" s="1888" t="s">
        <v>318</v>
      </c>
      <c r="C6" s="1003"/>
      <c r="D6" s="2745" t="str">
        <f>+Index!$E$11</f>
        <v>North Carolina General Assembly</v>
      </c>
      <c r="E6" s="2745"/>
      <c r="F6" s="2745"/>
      <c r="G6" s="2745"/>
      <c r="H6" s="2745"/>
      <c r="I6" s="1003"/>
      <c r="J6" s="1003"/>
      <c r="K6" s="1003"/>
      <c r="L6" s="1003"/>
      <c r="M6" s="1003"/>
      <c r="N6" s="1003"/>
      <c r="O6" s="1889" t="s">
        <v>71</v>
      </c>
      <c r="P6" s="1890">
        <f>+Index!$E$13</f>
        <v>0</v>
      </c>
      <c r="Q6" s="1873"/>
      <c r="R6" s="1903"/>
      <c r="S6" s="1903"/>
      <c r="T6" s="1903"/>
      <c r="U6" s="1003"/>
      <c r="V6" s="1003"/>
      <c r="W6" s="1003"/>
    </row>
    <row r="7" spans="2:23" s="109" customFormat="1" ht="15" customHeight="1" x14ac:dyDescent="0.2">
      <c r="B7" s="1888" t="s">
        <v>1838</v>
      </c>
      <c r="C7" s="1003"/>
      <c r="D7" s="1891"/>
      <c r="E7" s="1003"/>
      <c r="F7" s="1003"/>
      <c r="G7" s="1003"/>
      <c r="H7" s="1003"/>
      <c r="I7" s="1003"/>
      <c r="J7" s="1003"/>
      <c r="K7" s="1003"/>
      <c r="L7" s="1003"/>
      <c r="M7" s="1003"/>
      <c r="N7" s="1003"/>
      <c r="O7" s="1003"/>
      <c r="P7" s="1003"/>
      <c r="Q7" s="1003"/>
      <c r="R7" s="1003"/>
      <c r="S7" s="1003"/>
      <c r="T7" s="1003"/>
      <c r="U7" s="1003"/>
      <c r="V7" s="1003"/>
      <c r="W7" s="1003"/>
    </row>
    <row r="8" spans="2:23" s="109" customFormat="1" ht="15" customHeight="1" thickBot="1" x14ac:dyDescent="0.25">
      <c r="B8" s="1892"/>
      <c r="C8" s="1892"/>
      <c r="D8" s="1892"/>
      <c r="E8" s="1892"/>
      <c r="F8" s="1892"/>
      <c r="G8" s="1892"/>
      <c r="H8" s="1892"/>
      <c r="I8" s="1892"/>
      <c r="J8" s="1892"/>
      <c r="K8" s="1893"/>
      <c r="L8" s="1892"/>
      <c r="M8" s="1892"/>
      <c r="N8" s="1892"/>
      <c r="O8" s="1892"/>
      <c r="P8" s="1892"/>
      <c r="Q8" s="1003"/>
      <c r="R8" s="1003"/>
      <c r="S8" s="1003"/>
      <c r="T8" s="1003"/>
      <c r="U8" s="1003"/>
      <c r="V8" s="1003"/>
      <c r="W8" s="1003"/>
    </row>
    <row r="9" spans="2:23" s="109" customFormat="1" ht="7.35" customHeight="1" x14ac:dyDescent="0.2">
      <c r="B9" s="1003"/>
      <c r="C9" s="1003"/>
      <c r="D9" s="1003"/>
      <c r="E9" s="1003"/>
      <c r="F9" s="1003"/>
      <c r="G9" s="1003"/>
      <c r="H9" s="1003"/>
      <c r="I9" s="1003"/>
      <c r="J9" s="1003"/>
      <c r="K9" s="1889"/>
      <c r="L9" s="1003"/>
      <c r="M9" s="1003"/>
      <c r="N9" s="1003"/>
      <c r="O9" s="1003"/>
      <c r="P9" s="1003"/>
      <c r="Q9" s="1003"/>
      <c r="R9" s="1003"/>
      <c r="S9" s="1003"/>
      <c r="T9" s="1003"/>
      <c r="U9" s="1003"/>
      <c r="V9" s="1003"/>
      <c r="W9" s="1003"/>
    </row>
    <row r="10" spans="2:23" s="109" customFormat="1" ht="15" customHeight="1" x14ac:dyDescent="0.2">
      <c r="B10" s="2751" t="s">
        <v>1871</v>
      </c>
      <c r="C10" s="2751"/>
      <c r="D10" s="2751"/>
      <c r="E10" s="2751"/>
      <c r="F10" s="2751"/>
      <c r="G10" s="2751"/>
      <c r="H10" s="2751"/>
      <c r="I10" s="1003"/>
      <c r="J10" s="1003"/>
      <c r="K10" s="1889"/>
      <c r="L10" s="1003"/>
      <c r="M10" s="1003"/>
      <c r="N10" s="1003"/>
      <c r="O10" s="1003"/>
      <c r="P10" s="1003"/>
      <c r="Q10" s="1003"/>
      <c r="R10" s="1003"/>
      <c r="S10" s="1003"/>
      <c r="T10" s="1003"/>
      <c r="U10" s="1003"/>
      <c r="V10" s="1003"/>
      <c r="W10" s="1003"/>
    </row>
    <row r="11" spans="2:23" s="109" customFormat="1" ht="15" customHeight="1" thickBot="1" x14ac:dyDescent="0.25">
      <c r="B11" s="110"/>
      <c r="C11" s="1003"/>
      <c r="D11" s="102" t="s">
        <v>1824</v>
      </c>
      <c r="E11" s="1248"/>
      <c r="F11" s="102" t="s">
        <v>1824</v>
      </c>
      <c r="G11" s="1003"/>
      <c r="H11" s="1003"/>
      <c r="I11" s="111"/>
      <c r="J11" s="2750" t="s">
        <v>1839</v>
      </c>
      <c r="K11" s="2750"/>
      <c r="L11" s="2750"/>
      <c r="M11" s="2750"/>
      <c r="N11" s="2750"/>
      <c r="O11" s="1871"/>
      <c r="P11" s="1003"/>
      <c r="Q11" s="1003"/>
      <c r="R11" s="1003"/>
      <c r="S11" s="1003"/>
      <c r="T11" s="1003"/>
      <c r="U11" s="1003"/>
      <c r="V11" s="1003"/>
      <c r="W11" s="1003"/>
    </row>
    <row r="12" spans="2:23" s="109" customFormat="1" ht="15" customHeight="1" x14ac:dyDescent="0.2">
      <c r="B12" s="110" t="s">
        <v>1825</v>
      </c>
      <c r="C12" s="1003"/>
      <c r="D12" s="102" t="s">
        <v>1840</v>
      </c>
      <c r="E12" s="1248"/>
      <c r="F12" s="102" t="s">
        <v>1596</v>
      </c>
      <c r="G12" s="1003"/>
      <c r="H12" s="1003"/>
      <c r="I12" s="111"/>
      <c r="J12" s="1248"/>
      <c r="K12" s="1248"/>
      <c r="L12" s="1546" t="s">
        <v>1841</v>
      </c>
      <c r="M12" s="102"/>
      <c r="N12" s="1546" t="s">
        <v>1842</v>
      </c>
      <c r="O12" s="1248"/>
      <c r="P12" s="1003"/>
      <c r="Q12" s="1003"/>
      <c r="R12" s="1003"/>
      <c r="S12" s="1003"/>
      <c r="T12" s="1003"/>
      <c r="U12" s="1003"/>
      <c r="V12" s="1003"/>
      <c r="W12" s="1003"/>
    </row>
    <row r="13" spans="2:23" s="109" customFormat="1" ht="15" customHeight="1" thickBot="1" x14ac:dyDescent="0.25">
      <c r="B13" s="112" t="s">
        <v>748</v>
      </c>
      <c r="C13" s="110"/>
      <c r="D13" s="2315" t="s">
        <v>1700</v>
      </c>
      <c r="E13" s="1248"/>
      <c r="F13" s="2315" t="s">
        <v>1700</v>
      </c>
      <c r="G13" s="1003"/>
      <c r="H13" s="112" t="s">
        <v>1347</v>
      </c>
      <c r="I13" s="1003"/>
      <c r="J13" s="2315" t="s">
        <v>1396</v>
      </c>
      <c r="K13" s="1894"/>
      <c r="L13" s="1547" t="s">
        <v>1844</v>
      </c>
      <c r="M13" s="102"/>
      <c r="N13" s="1547" t="s">
        <v>670</v>
      </c>
      <c r="O13" s="1894"/>
      <c r="P13" s="112" t="s">
        <v>1872</v>
      </c>
      <c r="Q13" s="110" t="s">
        <v>50</v>
      </c>
      <c r="R13" s="1003"/>
      <c r="S13" s="1003"/>
      <c r="T13" s="1003"/>
      <c r="U13" s="1003"/>
      <c r="V13" s="1003"/>
      <c r="W13" s="1003"/>
    </row>
    <row r="14" spans="2:23" s="109" customFormat="1" ht="15" customHeight="1" x14ac:dyDescent="0.2">
      <c r="B14" s="917"/>
      <c r="C14" s="1003"/>
      <c r="D14" s="917"/>
      <c r="E14" s="1009"/>
      <c r="F14" s="917"/>
      <c r="G14" s="110"/>
      <c r="H14" s="1010"/>
      <c r="I14" s="1003"/>
      <c r="J14" s="1223"/>
      <c r="K14" s="1248"/>
      <c r="L14" s="1650"/>
      <c r="M14" s="1899"/>
      <c r="N14" s="1649"/>
      <c r="O14" s="1003"/>
      <c r="P14" s="1891"/>
      <c r="Q14" s="313" t="str">
        <f t="shared" ref="Q14:Q20" si="0">IF(R14=FALSE,"*","")</f>
        <v/>
      </c>
      <c r="R14" s="1142" t="b">
        <f>IF(OR(S14=0,S14=4),TRUE, FALSE)</f>
        <v>1</v>
      </c>
      <c r="S14" s="1142">
        <f>COUNTIF(T14:W14,FALSE)</f>
        <v>0</v>
      </c>
      <c r="T14" s="1143" t="b">
        <f>ISBLANK(B14)</f>
        <v>1</v>
      </c>
      <c r="U14" s="1143" t="b">
        <f>ISBLANK(D14)</f>
        <v>1</v>
      </c>
      <c r="V14" s="1143" t="b">
        <f>ISBLANK(F14)</f>
        <v>1</v>
      </c>
      <c r="W14" s="1143" t="b">
        <f>ISBLANK(H14)</f>
        <v>1</v>
      </c>
    </row>
    <row r="15" spans="2:23" s="109" customFormat="1" ht="15" customHeight="1" x14ac:dyDescent="0.2">
      <c r="B15" s="917"/>
      <c r="C15" s="1003"/>
      <c r="D15" s="917"/>
      <c r="E15" s="1009"/>
      <c r="F15" s="917"/>
      <c r="G15" s="110"/>
      <c r="H15" s="1010"/>
      <c r="I15" s="1003"/>
      <c r="J15" s="1223"/>
      <c r="K15" s="1248"/>
      <c r="L15" s="1650"/>
      <c r="M15" s="1899"/>
      <c r="N15" s="1649"/>
      <c r="O15" s="1003"/>
      <c r="P15" s="1891"/>
      <c r="Q15" s="313" t="str">
        <f t="shared" si="0"/>
        <v/>
      </c>
      <c r="R15" s="1142" t="b">
        <f t="shared" ref="R15:R20" si="1">IF(OR(S15=0,S15=4),TRUE, FALSE)</f>
        <v>1</v>
      </c>
      <c r="S15" s="1142">
        <f t="shared" ref="S15:S20" si="2">COUNTIF(T15:W15,FALSE)</f>
        <v>0</v>
      </c>
      <c r="T15" s="1143" t="b">
        <f t="shared" ref="T15:T20" si="3">ISBLANK(B15)</f>
        <v>1</v>
      </c>
      <c r="U15" s="1143" t="b">
        <f t="shared" ref="U15:U20" si="4">ISBLANK(D15)</f>
        <v>1</v>
      </c>
      <c r="V15" s="1143" t="b">
        <f t="shared" ref="V15:V20" si="5">ISBLANK(F15)</f>
        <v>1</v>
      </c>
      <c r="W15" s="1143" t="b">
        <f t="shared" ref="W15:W20" si="6">ISBLANK(H15)</f>
        <v>1</v>
      </c>
    </row>
    <row r="16" spans="2:23" s="109" customFormat="1" ht="15" customHeight="1" x14ac:dyDescent="0.2">
      <c r="B16" s="917"/>
      <c r="C16" s="1003"/>
      <c r="D16" s="917"/>
      <c r="E16" s="1009"/>
      <c r="F16" s="917"/>
      <c r="G16" s="110"/>
      <c r="H16" s="1010"/>
      <c r="I16" s="1003"/>
      <c r="J16" s="1223"/>
      <c r="K16" s="1248"/>
      <c r="L16" s="1650"/>
      <c r="M16" s="1899"/>
      <c r="N16" s="1649"/>
      <c r="O16" s="1003"/>
      <c r="P16" s="1891"/>
      <c r="Q16" s="313" t="str">
        <f t="shared" si="0"/>
        <v/>
      </c>
      <c r="R16" s="1142" t="b">
        <f t="shared" si="1"/>
        <v>1</v>
      </c>
      <c r="S16" s="1142">
        <f t="shared" si="2"/>
        <v>0</v>
      </c>
      <c r="T16" s="1143" t="b">
        <f t="shared" si="3"/>
        <v>1</v>
      </c>
      <c r="U16" s="1143" t="b">
        <f t="shared" si="4"/>
        <v>1</v>
      </c>
      <c r="V16" s="1143" t="b">
        <f t="shared" si="5"/>
        <v>1</v>
      </c>
      <c r="W16" s="1143" t="b">
        <f t="shared" si="6"/>
        <v>1</v>
      </c>
    </row>
    <row r="17" spans="2:23" s="109" customFormat="1" ht="15" customHeight="1" x14ac:dyDescent="0.2">
      <c r="B17" s="917"/>
      <c r="C17" s="1003"/>
      <c r="D17" s="917"/>
      <c r="E17" s="1009"/>
      <c r="F17" s="917"/>
      <c r="G17" s="110"/>
      <c r="H17" s="1010"/>
      <c r="I17" s="1003"/>
      <c r="J17" s="1223"/>
      <c r="K17" s="1248"/>
      <c r="L17" s="1650"/>
      <c r="M17" s="1899"/>
      <c r="N17" s="1649"/>
      <c r="O17" s="1003"/>
      <c r="P17" s="1891"/>
      <c r="Q17" s="313" t="str">
        <f t="shared" si="0"/>
        <v/>
      </c>
      <c r="R17" s="1142" t="b">
        <f t="shared" si="1"/>
        <v>1</v>
      </c>
      <c r="S17" s="1142">
        <f t="shared" si="2"/>
        <v>0</v>
      </c>
      <c r="T17" s="1143" t="b">
        <f t="shared" si="3"/>
        <v>1</v>
      </c>
      <c r="U17" s="1143" t="b">
        <f t="shared" si="4"/>
        <v>1</v>
      </c>
      <c r="V17" s="1143" t="b">
        <f t="shared" si="5"/>
        <v>1</v>
      </c>
      <c r="W17" s="1143" t="b">
        <f t="shared" si="6"/>
        <v>1</v>
      </c>
    </row>
    <row r="18" spans="2:23" s="109" customFormat="1" ht="15" customHeight="1" x14ac:dyDescent="0.2">
      <c r="B18" s="917"/>
      <c r="C18" s="1003"/>
      <c r="D18" s="917"/>
      <c r="E18" s="1009"/>
      <c r="F18" s="917"/>
      <c r="G18" s="110"/>
      <c r="H18" s="1010"/>
      <c r="I18" s="1003"/>
      <c r="J18" s="1223"/>
      <c r="K18" s="1248"/>
      <c r="L18" s="1650"/>
      <c r="M18" s="1899"/>
      <c r="N18" s="1649"/>
      <c r="O18" s="1003"/>
      <c r="P18" s="1891"/>
      <c r="Q18" s="313" t="str">
        <f t="shared" si="0"/>
        <v/>
      </c>
      <c r="R18" s="1142" t="b">
        <f t="shared" si="1"/>
        <v>1</v>
      </c>
      <c r="S18" s="1142">
        <f t="shared" si="2"/>
        <v>0</v>
      </c>
      <c r="T18" s="1143" t="b">
        <f t="shared" si="3"/>
        <v>1</v>
      </c>
      <c r="U18" s="1143" t="b">
        <f t="shared" si="4"/>
        <v>1</v>
      </c>
      <c r="V18" s="1143" t="b">
        <f t="shared" si="5"/>
        <v>1</v>
      </c>
      <c r="W18" s="1143" t="b">
        <f t="shared" si="6"/>
        <v>1</v>
      </c>
    </row>
    <row r="19" spans="2:23" s="109" customFormat="1" ht="15" customHeight="1" x14ac:dyDescent="0.2">
      <c r="B19" s="917"/>
      <c r="C19" s="1003"/>
      <c r="D19" s="917"/>
      <c r="E19" s="1009"/>
      <c r="F19" s="917"/>
      <c r="G19" s="110"/>
      <c r="H19" s="1010"/>
      <c r="I19" s="1003"/>
      <c r="J19" s="1223"/>
      <c r="K19" s="1248"/>
      <c r="L19" s="1650"/>
      <c r="M19" s="1899"/>
      <c r="N19" s="1649"/>
      <c r="O19" s="1003"/>
      <c r="P19" s="1891"/>
      <c r="Q19" s="313" t="str">
        <f t="shared" si="0"/>
        <v/>
      </c>
      <c r="R19" s="1142" t="b">
        <f t="shared" si="1"/>
        <v>1</v>
      </c>
      <c r="S19" s="1142">
        <f t="shared" si="2"/>
        <v>0</v>
      </c>
      <c r="T19" s="1143" t="b">
        <f t="shared" si="3"/>
        <v>1</v>
      </c>
      <c r="U19" s="1143" t="b">
        <f t="shared" si="4"/>
        <v>1</v>
      </c>
      <c r="V19" s="1143" t="b">
        <f t="shared" si="5"/>
        <v>1</v>
      </c>
      <c r="W19" s="1143" t="b">
        <f t="shared" si="6"/>
        <v>1</v>
      </c>
    </row>
    <row r="20" spans="2:23" s="109" customFormat="1" ht="15" customHeight="1" x14ac:dyDescent="0.2">
      <c r="B20" s="917"/>
      <c r="C20" s="1003"/>
      <c r="D20" s="917"/>
      <c r="E20" s="1009"/>
      <c r="F20" s="917"/>
      <c r="G20" s="110"/>
      <c r="H20" s="1010"/>
      <c r="I20" s="1003"/>
      <c r="J20" s="1223"/>
      <c r="K20" s="1248"/>
      <c r="L20" s="1650"/>
      <c r="M20" s="1899"/>
      <c r="N20" s="1649"/>
      <c r="O20" s="1003"/>
      <c r="P20" s="1891"/>
      <c r="Q20" s="313" t="str">
        <f t="shared" si="0"/>
        <v/>
      </c>
      <c r="R20" s="1142" t="b">
        <f t="shared" si="1"/>
        <v>1</v>
      </c>
      <c r="S20" s="1142">
        <f t="shared" si="2"/>
        <v>0</v>
      </c>
      <c r="T20" s="1143" t="b">
        <f t="shared" si="3"/>
        <v>1</v>
      </c>
      <c r="U20" s="1143" t="b">
        <f t="shared" si="4"/>
        <v>1</v>
      </c>
      <c r="V20" s="1143" t="b">
        <f t="shared" si="5"/>
        <v>1</v>
      </c>
      <c r="W20" s="1143" t="b">
        <f t="shared" si="6"/>
        <v>1</v>
      </c>
    </row>
    <row r="21" spans="2:23" s="109" customFormat="1" ht="15" customHeight="1" thickBot="1" x14ac:dyDescent="0.25">
      <c r="B21" s="1003"/>
      <c r="C21" s="1003"/>
      <c r="D21" s="1003"/>
      <c r="E21" s="110"/>
      <c r="F21" s="110" t="s">
        <v>1853</v>
      </c>
      <c r="G21" s="110"/>
      <c r="H21" s="1011">
        <f>SUM(H14:H20)</f>
        <v>0</v>
      </c>
      <c r="I21" s="1003"/>
      <c r="J21" s="146" t="s">
        <v>1873</v>
      </c>
      <c r="K21" s="1003"/>
      <c r="L21" s="1003"/>
      <c r="M21" s="1003"/>
      <c r="N21" s="1003"/>
      <c r="O21" s="1003"/>
      <c r="P21" s="1003"/>
      <c r="Q21" s="1007"/>
      <c r="R21" s="1142">
        <f>COUNTIF(R14:R20,FALSE)</f>
        <v>0</v>
      </c>
      <c r="S21" s="1007"/>
      <c r="T21" s="1007"/>
      <c r="U21" s="1007"/>
      <c r="V21" s="1007"/>
      <c r="W21" s="1007"/>
    </row>
    <row r="22" spans="2:23" s="109" customFormat="1" ht="15" customHeight="1" x14ac:dyDescent="0.2">
      <c r="B22" s="1003"/>
      <c r="C22" s="1003"/>
      <c r="D22" s="1003"/>
      <c r="E22" s="110"/>
      <c r="F22" s="110"/>
      <c r="G22" s="110"/>
      <c r="H22" s="1005"/>
      <c r="I22" s="1003"/>
      <c r="J22" s="146"/>
      <c r="K22" s="1003"/>
      <c r="L22" s="1003"/>
      <c r="M22" s="1003"/>
      <c r="N22" s="1003"/>
      <c r="O22" s="1003"/>
      <c r="P22" s="1003"/>
      <c r="Q22" s="1007"/>
      <c r="R22" s="1007"/>
      <c r="S22" s="1007"/>
      <c r="T22" s="1007"/>
      <c r="U22" s="1007"/>
      <c r="V22" s="1007"/>
      <c r="W22" s="1007"/>
    </row>
    <row r="23" spans="2:23" s="109" customFormat="1" ht="15" customHeight="1" x14ac:dyDescent="0.2">
      <c r="B23" s="2752" t="s">
        <v>1874</v>
      </c>
      <c r="C23" s="2752"/>
      <c r="D23" s="2752"/>
      <c r="E23" s="2752"/>
      <c r="F23" s="2752"/>
      <c r="G23" s="2752"/>
      <c r="H23" s="2752"/>
      <c r="I23" s="2752"/>
      <c r="J23" s="2752"/>
      <c r="K23" s="2752"/>
      <c r="L23" s="2752"/>
      <c r="M23" s="2316"/>
      <c r="N23" s="2316"/>
      <c r="O23" s="1003"/>
      <c r="P23" s="1003"/>
      <c r="Q23" s="1007"/>
      <c r="R23" s="1007"/>
      <c r="S23" s="1007"/>
      <c r="T23" s="1007"/>
      <c r="U23" s="1007"/>
      <c r="V23" s="1007"/>
      <c r="W23" s="1007"/>
    </row>
    <row r="24" spans="2:23" s="109" customFormat="1" ht="15" customHeight="1" thickBot="1" x14ac:dyDescent="0.25">
      <c r="B24" s="110"/>
      <c r="C24" s="1003"/>
      <c r="D24" s="102" t="s">
        <v>1826</v>
      </c>
      <c r="E24" s="1248"/>
      <c r="F24" s="102" t="s">
        <v>1826</v>
      </c>
      <c r="G24" s="1003"/>
      <c r="H24" s="1003"/>
      <c r="I24" s="111"/>
      <c r="J24" s="2750" t="s">
        <v>1851</v>
      </c>
      <c r="K24" s="2750"/>
      <c r="L24" s="2750"/>
      <c r="M24" s="2750"/>
      <c r="N24" s="2750"/>
      <c r="O24" s="1871"/>
      <c r="P24" s="1003"/>
      <c r="Q24" s="1007"/>
      <c r="R24" s="1007"/>
      <c r="S24" s="1007"/>
      <c r="T24" s="1007"/>
      <c r="U24" s="1007"/>
      <c r="V24" s="1007"/>
      <c r="W24" s="1007"/>
    </row>
    <row r="25" spans="2:23" s="109" customFormat="1" ht="15" customHeight="1" x14ac:dyDescent="0.2">
      <c r="B25" s="110" t="s">
        <v>1825</v>
      </c>
      <c r="C25" s="1003"/>
      <c r="D25" s="102" t="s">
        <v>1840</v>
      </c>
      <c r="E25" s="1248"/>
      <c r="F25" s="102" t="s">
        <v>1596</v>
      </c>
      <c r="G25" s="1003"/>
      <c r="H25" s="1003"/>
      <c r="I25" s="111"/>
      <c r="J25" s="1248"/>
      <c r="K25" s="1248"/>
      <c r="L25" s="1546" t="s">
        <v>1841</v>
      </c>
      <c r="M25" s="102"/>
      <c r="N25" s="1546" t="s">
        <v>1842</v>
      </c>
      <c r="O25" s="1248"/>
      <c r="P25" s="1003"/>
      <c r="Q25" s="1007"/>
      <c r="R25" s="1007"/>
      <c r="S25" s="1007"/>
      <c r="T25" s="1007"/>
      <c r="U25" s="1007"/>
      <c r="V25" s="1007"/>
      <c r="W25" s="1007"/>
    </row>
    <row r="26" spans="2:23" s="109" customFormat="1" ht="15" customHeight="1" thickBot="1" x14ac:dyDescent="0.25">
      <c r="B26" s="112" t="s">
        <v>748</v>
      </c>
      <c r="C26" s="110"/>
      <c r="D26" s="2315" t="s">
        <v>1700</v>
      </c>
      <c r="E26" s="1248"/>
      <c r="F26" s="2315" t="s">
        <v>1700</v>
      </c>
      <c r="G26" s="1003"/>
      <c r="H26" s="112" t="s">
        <v>1347</v>
      </c>
      <c r="I26" s="1003"/>
      <c r="J26" s="2315" t="s">
        <v>1396</v>
      </c>
      <c r="K26" s="1894"/>
      <c r="L26" s="1547" t="s">
        <v>1844</v>
      </c>
      <c r="M26" s="102"/>
      <c r="N26" s="1547" t="s">
        <v>670</v>
      </c>
      <c r="O26" s="1894"/>
      <c r="P26" s="112" t="s">
        <v>1872</v>
      </c>
      <c r="Q26" s="316" t="s">
        <v>50</v>
      </c>
      <c r="R26" s="1007"/>
      <c r="S26" s="1007"/>
      <c r="T26" s="1007"/>
      <c r="U26" s="1007"/>
      <c r="V26" s="1007"/>
      <c r="W26" s="1007"/>
    </row>
    <row r="27" spans="2:23" s="109" customFormat="1" ht="15" customHeight="1" x14ac:dyDescent="0.2">
      <c r="B27" s="917"/>
      <c r="C27" s="1003"/>
      <c r="D27" s="917"/>
      <c r="E27" s="1009"/>
      <c r="F27" s="917"/>
      <c r="G27" s="110"/>
      <c r="H27" s="1010"/>
      <c r="I27" s="1003"/>
      <c r="J27" s="1891"/>
      <c r="K27" s="1003"/>
      <c r="L27" s="1901"/>
      <c r="M27" s="1902"/>
      <c r="N27" s="1649"/>
      <c r="O27" s="1003"/>
      <c r="P27" s="1891"/>
      <c r="Q27" s="313" t="str">
        <f t="shared" ref="Q27:Q33" si="7">IF(R27=FALSE,"*","")</f>
        <v/>
      </c>
      <c r="R27" s="1142" t="b">
        <f t="shared" ref="R27:R33" si="8">IF(OR(S27=0,S27=4),TRUE, FALSE)</f>
        <v>1</v>
      </c>
      <c r="S27" s="1142">
        <f t="shared" ref="S27:S33" si="9">COUNTIF(T27:W27,FALSE)</f>
        <v>0</v>
      </c>
      <c r="T27" s="1143" t="b">
        <f t="shared" ref="T27:T33" si="10">ISBLANK(B27)</f>
        <v>1</v>
      </c>
      <c r="U27" s="1143" t="b">
        <f t="shared" ref="U27:U33" si="11">ISBLANK(D27)</f>
        <v>1</v>
      </c>
      <c r="V27" s="1143" t="b">
        <f t="shared" ref="V27:V33" si="12">ISBLANK(F27)</f>
        <v>1</v>
      </c>
      <c r="W27" s="1143" t="b">
        <f t="shared" ref="W27:W33" si="13">ISBLANK(H27)</f>
        <v>1</v>
      </c>
    </row>
    <row r="28" spans="2:23" s="109" customFormat="1" ht="15" customHeight="1" x14ac:dyDescent="0.2">
      <c r="B28" s="917"/>
      <c r="C28" s="1003"/>
      <c r="D28" s="917"/>
      <c r="E28" s="1009"/>
      <c r="F28" s="917"/>
      <c r="G28" s="110"/>
      <c r="H28" s="1010"/>
      <c r="I28" s="1003"/>
      <c r="J28" s="1891"/>
      <c r="K28" s="1003"/>
      <c r="L28" s="1901"/>
      <c r="M28" s="1902"/>
      <c r="N28" s="1649"/>
      <c r="O28" s="1003"/>
      <c r="P28" s="1891"/>
      <c r="Q28" s="313" t="str">
        <f t="shared" si="7"/>
        <v/>
      </c>
      <c r="R28" s="1142" t="b">
        <f t="shared" si="8"/>
        <v>1</v>
      </c>
      <c r="S28" s="1142">
        <f t="shared" si="9"/>
        <v>0</v>
      </c>
      <c r="T28" s="1143" t="b">
        <f t="shared" si="10"/>
        <v>1</v>
      </c>
      <c r="U28" s="1143" t="b">
        <f t="shared" si="11"/>
        <v>1</v>
      </c>
      <c r="V28" s="1143" t="b">
        <f t="shared" si="12"/>
        <v>1</v>
      </c>
      <c r="W28" s="1143" t="b">
        <f t="shared" si="13"/>
        <v>1</v>
      </c>
    </row>
    <row r="29" spans="2:23" s="109" customFormat="1" ht="15" customHeight="1" x14ac:dyDescent="0.2">
      <c r="B29" s="917"/>
      <c r="C29" s="1003"/>
      <c r="D29" s="917"/>
      <c r="E29" s="1009"/>
      <c r="F29" s="917"/>
      <c r="G29" s="110"/>
      <c r="H29" s="1010"/>
      <c r="I29" s="1003"/>
      <c r="J29" s="1891"/>
      <c r="K29" s="1003"/>
      <c r="L29" s="1901"/>
      <c r="M29" s="1902"/>
      <c r="N29" s="1649"/>
      <c r="O29" s="1003"/>
      <c r="P29" s="1891"/>
      <c r="Q29" s="313" t="str">
        <f t="shared" si="7"/>
        <v/>
      </c>
      <c r="R29" s="1142" t="b">
        <f t="shared" si="8"/>
        <v>1</v>
      </c>
      <c r="S29" s="1142">
        <f t="shared" si="9"/>
        <v>0</v>
      </c>
      <c r="T29" s="1143" t="b">
        <f t="shared" si="10"/>
        <v>1</v>
      </c>
      <c r="U29" s="1143" t="b">
        <f t="shared" si="11"/>
        <v>1</v>
      </c>
      <c r="V29" s="1143" t="b">
        <f t="shared" si="12"/>
        <v>1</v>
      </c>
      <c r="W29" s="1143" t="b">
        <f t="shared" si="13"/>
        <v>1</v>
      </c>
    </row>
    <row r="30" spans="2:23" s="109" customFormat="1" ht="15" customHeight="1" x14ac:dyDescent="0.2">
      <c r="B30" s="917"/>
      <c r="C30" s="1003"/>
      <c r="D30" s="917"/>
      <c r="E30" s="1009"/>
      <c r="F30" s="917"/>
      <c r="G30" s="110"/>
      <c r="H30" s="1010"/>
      <c r="I30" s="1003"/>
      <c r="J30" s="1891"/>
      <c r="K30" s="1003"/>
      <c r="L30" s="1901"/>
      <c r="M30" s="1902"/>
      <c r="N30" s="1649"/>
      <c r="O30" s="1003"/>
      <c r="P30" s="1891"/>
      <c r="Q30" s="313" t="str">
        <f t="shared" si="7"/>
        <v/>
      </c>
      <c r="R30" s="1142" t="b">
        <f t="shared" si="8"/>
        <v>1</v>
      </c>
      <c r="S30" s="1142">
        <f t="shared" si="9"/>
        <v>0</v>
      </c>
      <c r="T30" s="1143" t="b">
        <f t="shared" si="10"/>
        <v>1</v>
      </c>
      <c r="U30" s="1143" t="b">
        <f t="shared" si="11"/>
        <v>1</v>
      </c>
      <c r="V30" s="1143" t="b">
        <f t="shared" si="12"/>
        <v>1</v>
      </c>
      <c r="W30" s="1143" t="b">
        <f t="shared" si="13"/>
        <v>1</v>
      </c>
    </row>
    <row r="31" spans="2:23" s="109" customFormat="1" ht="15" customHeight="1" x14ac:dyDescent="0.2">
      <c r="B31" s="917"/>
      <c r="C31" s="1003"/>
      <c r="D31" s="917"/>
      <c r="E31" s="1009"/>
      <c r="F31" s="917"/>
      <c r="G31" s="110"/>
      <c r="H31" s="1010"/>
      <c r="I31" s="1003"/>
      <c r="J31" s="1891"/>
      <c r="K31" s="1003"/>
      <c r="L31" s="1901"/>
      <c r="M31" s="1902"/>
      <c r="N31" s="1649"/>
      <c r="O31" s="1003"/>
      <c r="P31" s="1891"/>
      <c r="Q31" s="313" t="str">
        <f t="shared" si="7"/>
        <v/>
      </c>
      <c r="R31" s="1142" t="b">
        <f t="shared" si="8"/>
        <v>1</v>
      </c>
      <c r="S31" s="1142">
        <f t="shared" si="9"/>
        <v>0</v>
      </c>
      <c r="T31" s="1143" t="b">
        <f t="shared" si="10"/>
        <v>1</v>
      </c>
      <c r="U31" s="1143" t="b">
        <f t="shared" si="11"/>
        <v>1</v>
      </c>
      <c r="V31" s="1143" t="b">
        <f t="shared" si="12"/>
        <v>1</v>
      </c>
      <c r="W31" s="1143" t="b">
        <f t="shared" si="13"/>
        <v>1</v>
      </c>
    </row>
    <row r="32" spans="2:23" s="109" customFormat="1" ht="15" customHeight="1" x14ac:dyDescent="0.2">
      <c r="B32" s="917"/>
      <c r="C32" s="1003"/>
      <c r="D32" s="917"/>
      <c r="E32" s="1009"/>
      <c r="F32" s="917"/>
      <c r="G32" s="110"/>
      <c r="H32" s="1010"/>
      <c r="I32" s="1003"/>
      <c r="J32" s="1891"/>
      <c r="K32" s="1003"/>
      <c r="L32" s="1901"/>
      <c r="M32" s="1902"/>
      <c r="N32" s="1649"/>
      <c r="O32" s="1003"/>
      <c r="P32" s="1891"/>
      <c r="Q32" s="313" t="str">
        <f t="shared" si="7"/>
        <v/>
      </c>
      <c r="R32" s="1142" t="b">
        <f t="shared" si="8"/>
        <v>1</v>
      </c>
      <c r="S32" s="1142">
        <f t="shared" si="9"/>
        <v>0</v>
      </c>
      <c r="T32" s="1143" t="b">
        <f t="shared" si="10"/>
        <v>1</v>
      </c>
      <c r="U32" s="1143" t="b">
        <f t="shared" si="11"/>
        <v>1</v>
      </c>
      <c r="V32" s="1143" t="b">
        <f t="shared" si="12"/>
        <v>1</v>
      </c>
      <c r="W32" s="1143" t="b">
        <f t="shared" si="13"/>
        <v>1</v>
      </c>
    </row>
    <row r="33" spans="1:23" s="109" customFormat="1" ht="15" customHeight="1" x14ac:dyDescent="0.2">
      <c r="A33" s="1003"/>
      <c r="B33" s="917"/>
      <c r="C33" s="1003"/>
      <c r="D33" s="917"/>
      <c r="E33" s="1009"/>
      <c r="F33" s="917"/>
      <c r="G33" s="110"/>
      <c r="H33" s="1010"/>
      <c r="I33" s="1003"/>
      <c r="J33" s="1891"/>
      <c r="K33" s="1003"/>
      <c r="L33" s="1901"/>
      <c r="M33" s="1902"/>
      <c r="N33" s="1649"/>
      <c r="O33" s="1003"/>
      <c r="P33" s="1891"/>
      <c r="Q33" s="313" t="str">
        <f t="shared" si="7"/>
        <v/>
      </c>
      <c r="R33" s="1142" t="b">
        <f t="shared" si="8"/>
        <v>1</v>
      </c>
      <c r="S33" s="1142">
        <f t="shared" si="9"/>
        <v>0</v>
      </c>
      <c r="T33" s="1143" t="b">
        <f t="shared" si="10"/>
        <v>1</v>
      </c>
      <c r="U33" s="1143" t="b">
        <f t="shared" si="11"/>
        <v>1</v>
      </c>
      <c r="V33" s="1143" t="b">
        <f t="shared" si="12"/>
        <v>1</v>
      </c>
      <c r="W33" s="1143" t="b">
        <f t="shared" si="13"/>
        <v>1</v>
      </c>
    </row>
    <row r="34" spans="1:23" s="109" customFormat="1" ht="15" customHeight="1" thickBot="1" x14ac:dyDescent="0.25">
      <c r="A34" s="1003"/>
      <c r="B34" s="1003"/>
      <c r="C34" s="1003"/>
      <c r="D34" s="1003"/>
      <c r="E34" s="110"/>
      <c r="F34" s="110" t="s">
        <v>1853</v>
      </c>
      <c r="G34" s="110"/>
      <c r="H34" s="1011">
        <f>SUM(H27:H33)</f>
        <v>0</v>
      </c>
      <c r="I34" s="1003"/>
      <c r="J34" s="146" t="s">
        <v>1875</v>
      </c>
      <c r="K34" s="1003"/>
      <c r="L34" s="1003"/>
      <c r="M34" s="1003"/>
      <c r="N34" s="1003"/>
      <c r="O34" s="1003"/>
      <c r="P34" s="1003"/>
      <c r="Q34" s="1007"/>
      <c r="R34" s="1142">
        <f>COUNTIF(R27:R33,FALSE)</f>
        <v>0</v>
      </c>
      <c r="S34" s="1007"/>
      <c r="T34" s="1007"/>
      <c r="U34" s="1007"/>
      <c r="V34" s="1007"/>
      <c r="W34" s="1007"/>
    </row>
    <row r="35" spans="1:23" s="109" customFormat="1" ht="7.35" customHeight="1" x14ac:dyDescent="0.2">
      <c r="A35" s="1003"/>
      <c r="B35" s="1003"/>
      <c r="C35" s="1003"/>
      <c r="D35" s="1003"/>
      <c r="E35" s="110"/>
      <c r="F35" s="110"/>
      <c r="G35" s="110"/>
      <c r="H35" s="1003"/>
      <c r="I35" s="1003"/>
      <c r="J35" s="1003"/>
      <c r="K35" s="1003"/>
      <c r="L35" s="1003"/>
      <c r="M35" s="1003"/>
      <c r="N35" s="1003"/>
      <c r="O35" s="110"/>
      <c r="P35" s="1003"/>
      <c r="Q35" s="1003"/>
      <c r="R35" s="1003"/>
      <c r="S35" s="1003"/>
      <c r="T35" s="1003"/>
      <c r="U35" s="1003"/>
      <c r="V35" s="1003"/>
      <c r="W35" s="1003"/>
    </row>
    <row r="36" spans="1:23" s="109" customFormat="1" ht="15" customHeight="1" x14ac:dyDescent="0.2">
      <c r="A36" s="1003"/>
      <c r="B36" s="146"/>
      <c r="C36" s="1003"/>
      <c r="D36" s="1003"/>
      <c r="E36" s="110"/>
      <c r="F36" s="110"/>
      <c r="G36" s="110"/>
      <c r="H36" s="1003"/>
      <c r="I36" s="1003"/>
      <c r="J36" s="1003"/>
      <c r="K36" s="1003"/>
      <c r="L36" s="1003"/>
      <c r="M36" s="1003"/>
      <c r="N36" s="1003"/>
      <c r="O36" s="110"/>
      <c r="P36" s="1003"/>
      <c r="Q36" s="1003"/>
      <c r="R36" s="1003"/>
      <c r="S36" s="1003"/>
      <c r="T36" s="1003"/>
      <c r="U36" s="1003"/>
      <c r="V36" s="1003"/>
      <c r="W36" s="1003"/>
    </row>
    <row r="37" spans="1:23" s="109" customFormat="1" ht="15" customHeight="1" x14ac:dyDescent="0.2">
      <c r="A37" s="1003"/>
      <c r="B37" s="1003"/>
      <c r="C37" s="1003"/>
      <c r="D37" s="1003"/>
      <c r="E37" s="110"/>
      <c r="F37" s="110"/>
      <c r="G37" s="110"/>
      <c r="H37" s="1003"/>
      <c r="I37" s="1003"/>
      <c r="J37" s="1003"/>
      <c r="K37" s="1003"/>
      <c r="L37" s="1003"/>
      <c r="M37" s="1003"/>
      <c r="N37" s="1003"/>
      <c r="O37" s="110"/>
      <c r="P37" s="1003"/>
      <c r="Q37" s="1003"/>
      <c r="R37" s="1003"/>
      <c r="S37" s="1003"/>
      <c r="T37" s="1003"/>
      <c r="U37" s="1003"/>
      <c r="V37" s="1003"/>
      <c r="W37" s="1003"/>
    </row>
    <row r="38" spans="1:23" s="109" customFormat="1" ht="15" customHeight="1" x14ac:dyDescent="0.2">
      <c r="A38" s="1003"/>
      <c r="B38" s="1003"/>
      <c r="C38" s="1003"/>
      <c r="D38" s="1003"/>
      <c r="E38" s="110"/>
      <c r="F38" s="110"/>
      <c r="G38" s="110"/>
      <c r="H38" s="1003"/>
      <c r="I38" s="1003"/>
      <c r="J38" s="1003"/>
      <c r="K38" s="1003"/>
      <c r="L38" s="1003"/>
      <c r="M38" s="1003"/>
      <c r="N38" s="1003"/>
      <c r="O38" s="110"/>
      <c r="P38" s="1003"/>
      <c r="Q38" s="1003"/>
      <c r="R38" s="1003"/>
      <c r="S38" s="1003"/>
      <c r="T38" s="1003"/>
      <c r="U38" s="1003"/>
      <c r="V38" s="1003"/>
      <c r="W38" s="1003"/>
    </row>
    <row r="39" spans="1:23" s="109" customFormat="1" ht="15" customHeight="1" x14ac:dyDescent="0.2">
      <c r="A39" s="445" t="str">
        <f ca="1">MID(CELL("filename",A5),FIND("]",CELL("filename",A5))+1,256)</f>
        <v>535</v>
      </c>
      <c r="B39" s="445" t="s">
        <v>636</v>
      </c>
      <c r="C39" s="1003"/>
      <c r="D39" s="1003"/>
      <c r="E39" s="110"/>
      <c r="F39" s="110"/>
      <c r="G39" s="110"/>
      <c r="H39" s="1003"/>
      <c r="I39" s="1003"/>
      <c r="J39" s="1003"/>
      <c r="K39" s="1003"/>
      <c r="L39" s="1003"/>
      <c r="M39" s="1003"/>
      <c r="N39" s="1003"/>
      <c r="O39" s="110"/>
      <c r="P39" s="1003"/>
      <c r="Q39" s="1003"/>
      <c r="R39" s="1003"/>
      <c r="S39" s="1003"/>
      <c r="T39" s="1003"/>
      <c r="U39" s="1003"/>
      <c r="V39" s="1003"/>
      <c r="W39" s="1003"/>
    </row>
    <row r="40" spans="1:23" s="109" customFormat="1" ht="15" customHeight="1" x14ac:dyDescent="0.2">
      <c r="A40" s="445" t="s">
        <v>380</v>
      </c>
      <c r="B40" s="445" t="str">
        <f t="shared" ref="B40:B49" ca="1" si="14">IF(ISNA(INDEX(ErrorTable,MATCH($A$39&amp;$A40&amp;FALSE,ErrorKey,0),6)),"",INDEX(ErrorTable,MATCH($A$39&amp;$A40&amp;FALSE,ErrorKey,0),6))</f>
        <v>GASB number is blank.</v>
      </c>
      <c r="C40" s="1003"/>
      <c r="D40" s="1003"/>
      <c r="E40" s="110"/>
      <c r="F40" s="110"/>
      <c r="G40" s="110"/>
      <c r="H40" s="1003"/>
      <c r="I40" s="1003"/>
      <c r="J40" s="1003"/>
      <c r="K40" s="1003"/>
      <c r="L40" s="1003"/>
      <c r="M40" s="1003"/>
      <c r="N40" s="1003"/>
      <c r="O40" s="110"/>
      <c r="P40" s="1003"/>
      <c r="Q40" s="1003"/>
      <c r="R40" s="1003"/>
      <c r="S40" s="1003"/>
      <c r="T40" s="1003"/>
      <c r="U40" s="1003"/>
      <c r="V40" s="1003"/>
      <c r="W40" s="1003"/>
    </row>
    <row r="41" spans="1:23" s="109" customFormat="1" ht="15" customHeight="1" x14ac:dyDescent="0.2">
      <c r="A41" s="445" t="s">
        <v>381</v>
      </c>
      <c r="B41" s="445" t="str">
        <f t="shared" ca="1" si="14"/>
        <v/>
      </c>
      <c r="C41" s="1003"/>
      <c r="D41" s="1003"/>
      <c r="E41" s="110"/>
      <c r="F41" s="110"/>
      <c r="G41" s="110"/>
      <c r="H41" s="1003"/>
      <c r="I41" s="1003"/>
      <c r="J41" s="1003"/>
      <c r="K41" s="1003"/>
      <c r="L41" s="1003"/>
      <c r="M41" s="1003"/>
      <c r="N41" s="1003"/>
      <c r="O41" s="110"/>
      <c r="P41" s="1003"/>
      <c r="Q41" s="1003"/>
      <c r="R41" s="1003"/>
      <c r="S41" s="1003"/>
      <c r="T41" s="1003"/>
      <c r="U41" s="1003"/>
      <c r="V41" s="1003"/>
      <c r="W41" s="1003"/>
    </row>
    <row r="42" spans="1:23" s="109" customFormat="1" ht="15" customHeight="1" x14ac:dyDescent="0.2">
      <c r="A42" s="445" t="s">
        <v>382</v>
      </c>
      <c r="B42" s="445" t="str">
        <f t="shared" ca="1" si="14"/>
        <v/>
      </c>
      <c r="C42" s="1003"/>
      <c r="D42" s="1003"/>
      <c r="E42" s="110"/>
      <c r="F42" s="110"/>
      <c r="G42" s="110"/>
      <c r="H42" s="1003"/>
      <c r="I42" s="1003"/>
      <c r="J42" s="1003"/>
      <c r="K42" s="1003"/>
      <c r="L42" s="1003"/>
      <c r="M42" s="1003"/>
      <c r="N42" s="1003"/>
      <c r="O42" s="110"/>
      <c r="P42" s="1003"/>
      <c r="Q42" s="1003"/>
      <c r="R42" s="1003"/>
      <c r="S42" s="1003"/>
      <c r="T42" s="1003"/>
      <c r="U42" s="1003"/>
      <c r="V42" s="1003"/>
      <c r="W42" s="1003"/>
    </row>
    <row r="43" spans="1:23" ht="20.85" customHeight="1" x14ac:dyDescent="0.25">
      <c r="A43" s="445" t="s">
        <v>383</v>
      </c>
      <c r="B43" s="445" t="str">
        <f t="shared" ca="1" si="14"/>
        <v/>
      </c>
    </row>
    <row r="44" spans="1:23" ht="20.85" customHeight="1" x14ac:dyDescent="0.25">
      <c r="A44" s="445" t="s">
        <v>384</v>
      </c>
      <c r="B44" s="445" t="str">
        <f t="shared" ca="1" si="14"/>
        <v/>
      </c>
    </row>
    <row r="45" spans="1:23" ht="20.85" customHeight="1" x14ac:dyDescent="0.25">
      <c r="A45" s="445" t="s">
        <v>385</v>
      </c>
      <c r="B45" s="445" t="str">
        <f t="shared" ca="1" si="14"/>
        <v/>
      </c>
    </row>
    <row r="46" spans="1:23" ht="20.85" customHeight="1" x14ac:dyDescent="0.25">
      <c r="A46" s="445" t="s">
        <v>386</v>
      </c>
      <c r="B46" s="445" t="str">
        <f t="shared" ca="1" si="14"/>
        <v/>
      </c>
      <c r="D46" s="42" t="s">
        <v>50</v>
      </c>
      <c r="E46" s="42"/>
      <c r="F46" s="42"/>
      <c r="G46" s="42"/>
      <c r="H46" s="42"/>
      <c r="I46" s="42"/>
      <c r="J46" s="42"/>
      <c r="K46" s="42"/>
    </row>
    <row r="47" spans="1:23" ht="20.85" customHeight="1" x14ac:dyDescent="0.25">
      <c r="A47" s="445" t="s">
        <v>387</v>
      </c>
      <c r="B47" s="445" t="str">
        <f t="shared" ca="1" si="14"/>
        <v/>
      </c>
      <c r="D47" s="42" t="s">
        <v>50</v>
      </c>
      <c r="E47" s="42"/>
      <c r="F47" s="42"/>
      <c r="G47" s="42"/>
      <c r="L47" s="41" t="s">
        <v>50</v>
      </c>
      <c r="M47" s="41"/>
      <c r="N47" s="41"/>
      <c r="O47" s="41"/>
      <c r="Q47" s="42" t="s">
        <v>50</v>
      </c>
    </row>
    <row r="48" spans="1:23" ht="20.85" customHeight="1" x14ac:dyDescent="0.25">
      <c r="A48" s="445" t="s">
        <v>388</v>
      </c>
      <c r="B48" s="445" t="str">
        <f t="shared" ca="1" si="14"/>
        <v/>
      </c>
    </row>
    <row r="49" spans="1:17" ht="20.85" customHeight="1" x14ac:dyDescent="0.25">
      <c r="A49" s="445" t="s">
        <v>389</v>
      </c>
      <c r="B49" s="445" t="str">
        <f t="shared" ca="1" si="14"/>
        <v/>
      </c>
    </row>
    <row r="50" spans="1:17" ht="20.85" customHeight="1" x14ac:dyDescent="0.25"/>
    <row r="51" spans="1:17" ht="20.85" customHeight="1" x14ac:dyDescent="0.25"/>
    <row r="52" spans="1:17" ht="20.85" customHeight="1" x14ac:dyDescent="0.25"/>
    <row r="53" spans="1:17" ht="20.85" customHeight="1" x14ac:dyDescent="0.25"/>
    <row r="54" spans="1:17" ht="20.85" customHeight="1" x14ac:dyDescent="0.25">
      <c r="D54" s="40" t="s">
        <v>50</v>
      </c>
    </row>
    <row r="55" spans="1:17" ht="20.85" customHeight="1" x14ac:dyDescent="0.25"/>
    <row r="56" spans="1:17" ht="20.85" customHeight="1" x14ac:dyDescent="0.25"/>
    <row r="57" spans="1:17" ht="20.85" customHeight="1" x14ac:dyDescent="0.25">
      <c r="D57" s="42" t="s">
        <v>50</v>
      </c>
      <c r="E57" s="42"/>
      <c r="F57" s="42"/>
      <c r="G57" s="42"/>
      <c r="L57" s="41" t="s">
        <v>50</v>
      </c>
      <c r="M57" s="41"/>
      <c r="N57" s="41"/>
      <c r="O57" s="41"/>
      <c r="Q57" s="42" t="s">
        <v>50</v>
      </c>
    </row>
  </sheetData>
  <sheetProtection algorithmName="SHA-512" hashValue="fWSqhiQIQ857hyCWuSwZDXzJ8D3U1NfgaAbYbd2Ytz6Xbv3nK2DGNt6tRdlQIa5PXTQ/YAMmxgfY71hd2hjawA==" saltValue="+/L/0qQJlOOZVF50BDMPoQ=="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11">
    <mergeCell ref="B1:P1"/>
    <mergeCell ref="Q1:Q3"/>
    <mergeCell ref="B2:P2"/>
    <mergeCell ref="B3:P3"/>
    <mergeCell ref="L4:P4"/>
    <mergeCell ref="J24:N24"/>
    <mergeCell ref="B10:H10"/>
    <mergeCell ref="D5:G5"/>
    <mergeCell ref="D6:H6"/>
    <mergeCell ref="B23:L23"/>
    <mergeCell ref="J11:N11"/>
  </mergeCells>
  <phoneticPr fontId="16" type="noConversion"/>
  <conditionalFormatting sqref="Q1:Q3">
    <cfRule type="cellIs" dxfId="65" priority="1" stopIfTrue="1" operator="equal">
      <formula>"na"</formula>
    </cfRule>
  </conditionalFormatting>
  <dataValidations count="3">
    <dataValidation type="textLength" operator="equal" allowBlank="1" showInputMessage="1" showErrorMessage="1" errorTitle="Invalid data!" error="GASB number must be 4 digits." sqref="D7 F27:F33 F14:F20" xr:uid="{00000000-0002-0000-2D00-000000000000}">
      <formula1>4</formula1>
    </dataValidation>
    <dataValidation type="list" allowBlank="1" showInputMessage="1" showErrorMessage="1" sqref="D27:D33" xr:uid="{00000000-0002-0000-2D00-000001000000}">
      <formula1>Listfor535</formula1>
    </dataValidation>
    <dataValidation type="list" allowBlank="1" showInputMessage="1" showErrorMessage="1" sqref="D14:D20" xr:uid="{00000000-0002-0000-2D00-000002000000}">
      <formula1>List505thru520</formula1>
    </dataValidation>
  </dataValidations>
  <hyperlinks>
    <hyperlink ref="B1:P1" location="Index!A1" display="Index!A1" xr:uid="{00000000-0004-0000-2D00-000000000000}"/>
  </hyperlinks>
  <pageMargins left="0.6" right="0.6" top="0.5" bottom="0.5" header="0.3" footer="0.3"/>
  <pageSetup scale="91" orientation="landscape" r:id="rId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
    <pageSetUpPr fitToPage="1"/>
  </sheetPr>
  <dimension ref="A1:AI51"/>
  <sheetViews>
    <sheetView showGridLines="0" topLeftCell="B1" zoomScaleNormal="100" workbookViewId="0">
      <selection activeCell="A2" sqref="A2"/>
    </sheetView>
  </sheetViews>
  <sheetFormatPr defaultRowHeight="15.75" x14ac:dyDescent="0.25"/>
  <cols>
    <col min="1" max="1" width="0" style="1158" hidden="1" customWidth="1"/>
    <col min="2" max="2" width="11.42578125" style="1158" customWidth="1"/>
    <col min="3" max="3" width="1.5703125" style="1158" customWidth="1"/>
    <col min="4" max="4" width="7.42578125" style="1158" bestFit="1" customWidth="1"/>
    <col min="5" max="5" width="1.5703125" style="1158" customWidth="1"/>
    <col min="6" max="6" width="12.5703125" style="1158" customWidth="1"/>
    <col min="7" max="7" width="1.5703125" style="1158" customWidth="1"/>
    <col min="8" max="8" width="20.5703125" style="1158" customWidth="1"/>
    <col min="9" max="9" width="2.5703125" style="1158" customWidth="1"/>
    <col min="10" max="10" width="12.42578125" style="1158" customWidth="1"/>
    <col min="11" max="11" width="1.5703125" style="1158" customWidth="1"/>
    <col min="12" max="12" width="10.5703125" style="1158" customWidth="1"/>
    <col min="13" max="13" width="1.5703125" style="1158" customWidth="1"/>
    <col min="14" max="14" width="12.5703125" style="1158" customWidth="1"/>
    <col min="15" max="15" width="1.5703125" style="1158" customWidth="1"/>
    <col min="16" max="16" width="22.5703125" style="1158" customWidth="1"/>
    <col min="17" max="17" width="2.42578125" style="1158" customWidth="1"/>
    <col min="18" max="18" width="5.5703125" style="1158" hidden="1" customWidth="1"/>
    <col min="19" max="19" width="2" style="1158" hidden="1" customWidth="1"/>
    <col min="20" max="23" width="5.5703125" style="1158" hidden="1" customWidth="1"/>
    <col min="24" max="24" width="7" style="1158" hidden="1" customWidth="1"/>
    <col min="25" max="25" width="2" style="1158" hidden="1" customWidth="1"/>
    <col min="26" max="26" width="7" style="1158" hidden="1" customWidth="1"/>
    <col min="27" max="29" width="5.5703125" style="1158" hidden="1" customWidth="1"/>
    <col min="30" max="31" width="6.42578125" style="1158" hidden="1" customWidth="1"/>
    <col min="32" max="34" width="0" style="1158" hidden="1" customWidth="1"/>
    <col min="35" max="35" width="9.42578125" style="1158" customWidth="1"/>
    <col min="36" max="256" width="9.42578125" style="1158"/>
    <col min="257" max="257" width="0" style="1158" hidden="1" customWidth="1"/>
    <col min="258" max="258" width="11.42578125" style="1158" customWidth="1"/>
    <col min="259" max="259" width="1.5703125" style="1158" customWidth="1"/>
    <col min="260" max="260" width="7.42578125" style="1158" bestFit="1" customWidth="1"/>
    <col min="261" max="261" width="1.5703125" style="1158" customWidth="1"/>
    <col min="262" max="262" width="12.5703125" style="1158" customWidth="1"/>
    <col min="263" max="263" width="1.5703125" style="1158" customWidth="1"/>
    <col min="264" max="264" width="20.5703125" style="1158" customWidth="1"/>
    <col min="265" max="265" width="2.5703125" style="1158" customWidth="1"/>
    <col min="266" max="266" width="10.5703125" style="1158" customWidth="1"/>
    <col min="267" max="267" width="1.5703125" style="1158" customWidth="1"/>
    <col min="268" max="268" width="10.5703125" style="1158" customWidth="1"/>
    <col min="269" max="269" width="1.5703125" style="1158" customWidth="1"/>
    <col min="270" max="270" width="12.5703125" style="1158" customWidth="1"/>
    <col min="271" max="271" width="1.5703125" style="1158" customWidth="1"/>
    <col min="272" max="272" width="22.5703125" style="1158" customWidth="1"/>
    <col min="273" max="273" width="4.5703125" style="1158" customWidth="1"/>
    <col min="274" max="287" width="0" style="1158" hidden="1" customWidth="1"/>
    <col min="288" max="512" width="9.42578125" style="1158"/>
    <col min="513" max="513" width="0" style="1158" hidden="1" customWidth="1"/>
    <col min="514" max="514" width="11.42578125" style="1158" customWidth="1"/>
    <col min="515" max="515" width="1.5703125" style="1158" customWidth="1"/>
    <col min="516" max="516" width="7.42578125" style="1158" bestFit="1" customWidth="1"/>
    <col min="517" max="517" width="1.5703125" style="1158" customWidth="1"/>
    <col min="518" max="518" width="12.5703125" style="1158" customWidth="1"/>
    <col min="519" max="519" width="1.5703125" style="1158" customWidth="1"/>
    <col min="520" max="520" width="20.5703125" style="1158" customWidth="1"/>
    <col min="521" max="521" width="2.5703125" style="1158" customWidth="1"/>
    <col min="522" max="522" width="10.5703125" style="1158" customWidth="1"/>
    <col min="523" max="523" width="1.5703125" style="1158" customWidth="1"/>
    <col min="524" max="524" width="10.5703125" style="1158" customWidth="1"/>
    <col min="525" max="525" width="1.5703125" style="1158" customWidth="1"/>
    <col min="526" max="526" width="12.5703125" style="1158" customWidth="1"/>
    <col min="527" max="527" width="1.5703125" style="1158" customWidth="1"/>
    <col min="528" max="528" width="22.5703125" style="1158" customWidth="1"/>
    <col min="529" max="529" width="4.5703125" style="1158" customWidth="1"/>
    <col min="530" max="543" width="0" style="1158" hidden="1" customWidth="1"/>
    <col min="544" max="768" width="9.42578125" style="1158"/>
    <col min="769" max="769" width="0" style="1158" hidden="1" customWidth="1"/>
    <col min="770" max="770" width="11.42578125" style="1158" customWidth="1"/>
    <col min="771" max="771" width="1.5703125" style="1158" customWidth="1"/>
    <col min="772" max="772" width="7.42578125" style="1158" bestFit="1" customWidth="1"/>
    <col min="773" max="773" width="1.5703125" style="1158" customWidth="1"/>
    <col min="774" max="774" width="12.5703125" style="1158" customWidth="1"/>
    <col min="775" max="775" width="1.5703125" style="1158" customWidth="1"/>
    <col min="776" max="776" width="20.5703125" style="1158" customWidth="1"/>
    <col min="777" max="777" width="2.5703125" style="1158" customWidth="1"/>
    <col min="778" max="778" width="10.5703125" style="1158" customWidth="1"/>
    <col min="779" max="779" width="1.5703125" style="1158" customWidth="1"/>
    <col min="780" max="780" width="10.5703125" style="1158" customWidth="1"/>
    <col min="781" max="781" width="1.5703125" style="1158" customWidth="1"/>
    <col min="782" max="782" width="12.5703125" style="1158" customWidth="1"/>
    <col min="783" max="783" width="1.5703125" style="1158" customWidth="1"/>
    <col min="784" max="784" width="22.5703125" style="1158" customWidth="1"/>
    <col min="785" max="785" width="4.5703125" style="1158" customWidth="1"/>
    <col min="786" max="799" width="0" style="1158" hidden="1" customWidth="1"/>
    <col min="800" max="1024" width="9.42578125" style="1158"/>
    <col min="1025" max="1025" width="0" style="1158" hidden="1" customWidth="1"/>
    <col min="1026" max="1026" width="11.42578125" style="1158" customWidth="1"/>
    <col min="1027" max="1027" width="1.5703125" style="1158" customWidth="1"/>
    <col min="1028" max="1028" width="7.42578125" style="1158" bestFit="1" customWidth="1"/>
    <col min="1029" max="1029" width="1.5703125" style="1158" customWidth="1"/>
    <col min="1030" max="1030" width="12.5703125" style="1158" customWidth="1"/>
    <col min="1031" max="1031" width="1.5703125" style="1158" customWidth="1"/>
    <col min="1032" max="1032" width="20.5703125" style="1158" customWidth="1"/>
    <col min="1033" max="1033" width="2.5703125" style="1158" customWidth="1"/>
    <col min="1034" max="1034" width="10.5703125" style="1158" customWidth="1"/>
    <col min="1035" max="1035" width="1.5703125" style="1158" customWidth="1"/>
    <col min="1036" max="1036" width="10.5703125" style="1158" customWidth="1"/>
    <col min="1037" max="1037" width="1.5703125" style="1158" customWidth="1"/>
    <col min="1038" max="1038" width="12.5703125" style="1158" customWidth="1"/>
    <col min="1039" max="1039" width="1.5703125" style="1158" customWidth="1"/>
    <col min="1040" max="1040" width="22.5703125" style="1158" customWidth="1"/>
    <col min="1041" max="1041" width="4.5703125" style="1158" customWidth="1"/>
    <col min="1042" max="1055" width="0" style="1158" hidden="1" customWidth="1"/>
    <col min="1056" max="1280" width="9.42578125" style="1158"/>
    <col min="1281" max="1281" width="0" style="1158" hidden="1" customWidth="1"/>
    <col min="1282" max="1282" width="11.42578125" style="1158" customWidth="1"/>
    <col min="1283" max="1283" width="1.5703125" style="1158" customWidth="1"/>
    <col min="1284" max="1284" width="7.42578125" style="1158" bestFit="1" customWidth="1"/>
    <col min="1285" max="1285" width="1.5703125" style="1158" customWidth="1"/>
    <col min="1286" max="1286" width="12.5703125" style="1158" customWidth="1"/>
    <col min="1287" max="1287" width="1.5703125" style="1158" customWidth="1"/>
    <col min="1288" max="1288" width="20.5703125" style="1158" customWidth="1"/>
    <col min="1289" max="1289" width="2.5703125" style="1158" customWidth="1"/>
    <col min="1290" max="1290" width="10.5703125" style="1158" customWidth="1"/>
    <col min="1291" max="1291" width="1.5703125" style="1158" customWidth="1"/>
    <col min="1292" max="1292" width="10.5703125" style="1158" customWidth="1"/>
    <col min="1293" max="1293" width="1.5703125" style="1158" customWidth="1"/>
    <col min="1294" max="1294" width="12.5703125" style="1158" customWidth="1"/>
    <col min="1295" max="1295" width="1.5703125" style="1158" customWidth="1"/>
    <col min="1296" max="1296" width="22.5703125" style="1158" customWidth="1"/>
    <col min="1297" max="1297" width="4.5703125" style="1158" customWidth="1"/>
    <col min="1298" max="1311" width="0" style="1158" hidden="1" customWidth="1"/>
    <col min="1312" max="1536" width="9.42578125" style="1158"/>
    <col min="1537" max="1537" width="0" style="1158" hidden="1" customWidth="1"/>
    <col min="1538" max="1538" width="11.42578125" style="1158" customWidth="1"/>
    <col min="1539" max="1539" width="1.5703125" style="1158" customWidth="1"/>
    <col min="1540" max="1540" width="7.42578125" style="1158" bestFit="1" customWidth="1"/>
    <col min="1541" max="1541" width="1.5703125" style="1158" customWidth="1"/>
    <col min="1542" max="1542" width="12.5703125" style="1158" customWidth="1"/>
    <col min="1543" max="1543" width="1.5703125" style="1158" customWidth="1"/>
    <col min="1544" max="1544" width="20.5703125" style="1158" customWidth="1"/>
    <col min="1545" max="1545" width="2.5703125" style="1158" customWidth="1"/>
    <col min="1546" max="1546" width="10.5703125" style="1158" customWidth="1"/>
    <col min="1547" max="1547" width="1.5703125" style="1158" customWidth="1"/>
    <col min="1548" max="1548" width="10.5703125" style="1158" customWidth="1"/>
    <col min="1549" max="1549" width="1.5703125" style="1158" customWidth="1"/>
    <col min="1550" max="1550" width="12.5703125" style="1158" customWidth="1"/>
    <col min="1551" max="1551" width="1.5703125" style="1158" customWidth="1"/>
    <col min="1552" max="1552" width="22.5703125" style="1158" customWidth="1"/>
    <col min="1553" max="1553" width="4.5703125" style="1158" customWidth="1"/>
    <col min="1554" max="1567" width="0" style="1158" hidden="1" customWidth="1"/>
    <col min="1568" max="1792" width="9.42578125" style="1158"/>
    <col min="1793" max="1793" width="0" style="1158" hidden="1" customWidth="1"/>
    <col min="1794" max="1794" width="11.42578125" style="1158" customWidth="1"/>
    <col min="1795" max="1795" width="1.5703125" style="1158" customWidth="1"/>
    <col min="1796" max="1796" width="7.42578125" style="1158" bestFit="1" customWidth="1"/>
    <col min="1797" max="1797" width="1.5703125" style="1158" customWidth="1"/>
    <col min="1798" max="1798" width="12.5703125" style="1158" customWidth="1"/>
    <col min="1799" max="1799" width="1.5703125" style="1158" customWidth="1"/>
    <col min="1800" max="1800" width="20.5703125" style="1158" customWidth="1"/>
    <col min="1801" max="1801" width="2.5703125" style="1158" customWidth="1"/>
    <col min="1802" max="1802" width="10.5703125" style="1158" customWidth="1"/>
    <col min="1803" max="1803" width="1.5703125" style="1158" customWidth="1"/>
    <col min="1804" max="1804" width="10.5703125" style="1158" customWidth="1"/>
    <col min="1805" max="1805" width="1.5703125" style="1158" customWidth="1"/>
    <col min="1806" max="1806" width="12.5703125" style="1158" customWidth="1"/>
    <col min="1807" max="1807" width="1.5703125" style="1158" customWidth="1"/>
    <col min="1808" max="1808" width="22.5703125" style="1158" customWidth="1"/>
    <col min="1809" max="1809" width="4.5703125" style="1158" customWidth="1"/>
    <col min="1810" max="1823" width="0" style="1158" hidden="1" customWidth="1"/>
    <col min="1824" max="2048" width="9.42578125" style="1158"/>
    <col min="2049" max="2049" width="0" style="1158" hidden="1" customWidth="1"/>
    <col min="2050" max="2050" width="11.42578125" style="1158" customWidth="1"/>
    <col min="2051" max="2051" width="1.5703125" style="1158" customWidth="1"/>
    <col min="2052" max="2052" width="7.42578125" style="1158" bestFit="1" customWidth="1"/>
    <col min="2053" max="2053" width="1.5703125" style="1158" customWidth="1"/>
    <col min="2054" max="2054" width="12.5703125" style="1158" customWidth="1"/>
    <col min="2055" max="2055" width="1.5703125" style="1158" customWidth="1"/>
    <col min="2056" max="2056" width="20.5703125" style="1158" customWidth="1"/>
    <col min="2057" max="2057" width="2.5703125" style="1158" customWidth="1"/>
    <col min="2058" max="2058" width="10.5703125" style="1158" customWidth="1"/>
    <col min="2059" max="2059" width="1.5703125" style="1158" customWidth="1"/>
    <col min="2060" max="2060" width="10.5703125" style="1158" customWidth="1"/>
    <col min="2061" max="2061" width="1.5703125" style="1158" customWidth="1"/>
    <col min="2062" max="2062" width="12.5703125" style="1158" customWidth="1"/>
    <col min="2063" max="2063" width="1.5703125" style="1158" customWidth="1"/>
    <col min="2064" max="2064" width="22.5703125" style="1158" customWidth="1"/>
    <col min="2065" max="2065" width="4.5703125" style="1158" customWidth="1"/>
    <col min="2066" max="2079" width="0" style="1158" hidden="1" customWidth="1"/>
    <col min="2080" max="2304" width="9.42578125" style="1158"/>
    <col min="2305" max="2305" width="0" style="1158" hidden="1" customWidth="1"/>
    <col min="2306" max="2306" width="11.42578125" style="1158" customWidth="1"/>
    <col min="2307" max="2307" width="1.5703125" style="1158" customWidth="1"/>
    <col min="2308" max="2308" width="7.42578125" style="1158" bestFit="1" customWidth="1"/>
    <col min="2309" max="2309" width="1.5703125" style="1158" customWidth="1"/>
    <col min="2310" max="2310" width="12.5703125" style="1158" customWidth="1"/>
    <col min="2311" max="2311" width="1.5703125" style="1158" customWidth="1"/>
    <col min="2312" max="2312" width="20.5703125" style="1158" customWidth="1"/>
    <col min="2313" max="2313" width="2.5703125" style="1158" customWidth="1"/>
    <col min="2314" max="2314" width="10.5703125" style="1158" customWidth="1"/>
    <col min="2315" max="2315" width="1.5703125" style="1158" customWidth="1"/>
    <col min="2316" max="2316" width="10.5703125" style="1158" customWidth="1"/>
    <col min="2317" max="2317" width="1.5703125" style="1158" customWidth="1"/>
    <col min="2318" max="2318" width="12.5703125" style="1158" customWidth="1"/>
    <col min="2319" max="2319" width="1.5703125" style="1158" customWidth="1"/>
    <col min="2320" max="2320" width="22.5703125" style="1158" customWidth="1"/>
    <col min="2321" max="2321" width="4.5703125" style="1158" customWidth="1"/>
    <col min="2322" max="2335" width="0" style="1158" hidden="1" customWidth="1"/>
    <col min="2336" max="2560" width="9.42578125" style="1158"/>
    <col min="2561" max="2561" width="0" style="1158" hidden="1" customWidth="1"/>
    <col min="2562" max="2562" width="11.42578125" style="1158" customWidth="1"/>
    <col min="2563" max="2563" width="1.5703125" style="1158" customWidth="1"/>
    <col min="2564" max="2564" width="7.42578125" style="1158" bestFit="1" customWidth="1"/>
    <col min="2565" max="2565" width="1.5703125" style="1158" customWidth="1"/>
    <col min="2566" max="2566" width="12.5703125" style="1158" customWidth="1"/>
    <col min="2567" max="2567" width="1.5703125" style="1158" customWidth="1"/>
    <col min="2568" max="2568" width="20.5703125" style="1158" customWidth="1"/>
    <col min="2569" max="2569" width="2.5703125" style="1158" customWidth="1"/>
    <col min="2570" max="2570" width="10.5703125" style="1158" customWidth="1"/>
    <col min="2571" max="2571" width="1.5703125" style="1158" customWidth="1"/>
    <col min="2572" max="2572" width="10.5703125" style="1158" customWidth="1"/>
    <col min="2573" max="2573" width="1.5703125" style="1158" customWidth="1"/>
    <col min="2574" max="2574" width="12.5703125" style="1158" customWidth="1"/>
    <col min="2575" max="2575" width="1.5703125" style="1158" customWidth="1"/>
    <col min="2576" max="2576" width="22.5703125" style="1158" customWidth="1"/>
    <col min="2577" max="2577" width="4.5703125" style="1158" customWidth="1"/>
    <col min="2578" max="2591" width="0" style="1158" hidden="1" customWidth="1"/>
    <col min="2592" max="2816" width="9.42578125" style="1158"/>
    <col min="2817" max="2817" width="0" style="1158" hidden="1" customWidth="1"/>
    <col min="2818" max="2818" width="11.42578125" style="1158" customWidth="1"/>
    <col min="2819" max="2819" width="1.5703125" style="1158" customWidth="1"/>
    <col min="2820" max="2820" width="7.42578125" style="1158" bestFit="1" customWidth="1"/>
    <col min="2821" max="2821" width="1.5703125" style="1158" customWidth="1"/>
    <col min="2822" max="2822" width="12.5703125" style="1158" customWidth="1"/>
    <col min="2823" max="2823" width="1.5703125" style="1158" customWidth="1"/>
    <col min="2824" max="2824" width="20.5703125" style="1158" customWidth="1"/>
    <col min="2825" max="2825" width="2.5703125" style="1158" customWidth="1"/>
    <col min="2826" max="2826" width="10.5703125" style="1158" customWidth="1"/>
    <col min="2827" max="2827" width="1.5703125" style="1158" customWidth="1"/>
    <col min="2828" max="2828" width="10.5703125" style="1158" customWidth="1"/>
    <col min="2829" max="2829" width="1.5703125" style="1158" customWidth="1"/>
    <col min="2830" max="2830" width="12.5703125" style="1158" customWidth="1"/>
    <col min="2831" max="2831" width="1.5703125" style="1158" customWidth="1"/>
    <col min="2832" max="2832" width="22.5703125" style="1158" customWidth="1"/>
    <col min="2833" max="2833" width="4.5703125" style="1158" customWidth="1"/>
    <col min="2834" max="2847" width="0" style="1158" hidden="1" customWidth="1"/>
    <col min="2848" max="3072" width="9.42578125" style="1158"/>
    <col min="3073" max="3073" width="0" style="1158" hidden="1" customWidth="1"/>
    <col min="3074" max="3074" width="11.42578125" style="1158" customWidth="1"/>
    <col min="3075" max="3075" width="1.5703125" style="1158" customWidth="1"/>
    <col min="3076" max="3076" width="7.42578125" style="1158" bestFit="1" customWidth="1"/>
    <col min="3077" max="3077" width="1.5703125" style="1158" customWidth="1"/>
    <col min="3078" max="3078" width="12.5703125" style="1158" customWidth="1"/>
    <col min="3079" max="3079" width="1.5703125" style="1158" customWidth="1"/>
    <col min="3080" max="3080" width="20.5703125" style="1158" customWidth="1"/>
    <col min="3081" max="3081" width="2.5703125" style="1158" customWidth="1"/>
    <col min="3082" max="3082" width="10.5703125" style="1158" customWidth="1"/>
    <col min="3083" max="3083" width="1.5703125" style="1158" customWidth="1"/>
    <col min="3084" max="3084" width="10.5703125" style="1158" customWidth="1"/>
    <col min="3085" max="3085" width="1.5703125" style="1158" customWidth="1"/>
    <col min="3086" max="3086" width="12.5703125" style="1158" customWidth="1"/>
    <col min="3087" max="3087" width="1.5703125" style="1158" customWidth="1"/>
    <col min="3088" max="3088" width="22.5703125" style="1158" customWidth="1"/>
    <col min="3089" max="3089" width="4.5703125" style="1158" customWidth="1"/>
    <col min="3090" max="3103" width="0" style="1158" hidden="1" customWidth="1"/>
    <col min="3104" max="3328" width="9.42578125" style="1158"/>
    <col min="3329" max="3329" width="0" style="1158" hidden="1" customWidth="1"/>
    <col min="3330" max="3330" width="11.42578125" style="1158" customWidth="1"/>
    <col min="3331" max="3331" width="1.5703125" style="1158" customWidth="1"/>
    <col min="3332" max="3332" width="7.42578125" style="1158" bestFit="1" customWidth="1"/>
    <col min="3333" max="3333" width="1.5703125" style="1158" customWidth="1"/>
    <col min="3334" max="3334" width="12.5703125" style="1158" customWidth="1"/>
    <col min="3335" max="3335" width="1.5703125" style="1158" customWidth="1"/>
    <col min="3336" max="3336" width="20.5703125" style="1158" customWidth="1"/>
    <col min="3337" max="3337" width="2.5703125" style="1158" customWidth="1"/>
    <col min="3338" max="3338" width="10.5703125" style="1158" customWidth="1"/>
    <col min="3339" max="3339" width="1.5703125" style="1158" customWidth="1"/>
    <col min="3340" max="3340" width="10.5703125" style="1158" customWidth="1"/>
    <col min="3341" max="3341" width="1.5703125" style="1158" customWidth="1"/>
    <col min="3342" max="3342" width="12.5703125" style="1158" customWidth="1"/>
    <col min="3343" max="3343" width="1.5703125" style="1158" customWidth="1"/>
    <col min="3344" max="3344" width="22.5703125" style="1158" customWidth="1"/>
    <col min="3345" max="3345" width="4.5703125" style="1158" customWidth="1"/>
    <col min="3346" max="3359" width="0" style="1158" hidden="1" customWidth="1"/>
    <col min="3360" max="3584" width="9.42578125" style="1158"/>
    <col min="3585" max="3585" width="0" style="1158" hidden="1" customWidth="1"/>
    <col min="3586" max="3586" width="11.42578125" style="1158" customWidth="1"/>
    <col min="3587" max="3587" width="1.5703125" style="1158" customWidth="1"/>
    <col min="3588" max="3588" width="7.42578125" style="1158" bestFit="1" customWidth="1"/>
    <col min="3589" max="3589" width="1.5703125" style="1158" customWidth="1"/>
    <col min="3590" max="3590" width="12.5703125" style="1158" customWidth="1"/>
    <col min="3591" max="3591" width="1.5703125" style="1158" customWidth="1"/>
    <col min="3592" max="3592" width="20.5703125" style="1158" customWidth="1"/>
    <col min="3593" max="3593" width="2.5703125" style="1158" customWidth="1"/>
    <col min="3594" max="3594" width="10.5703125" style="1158" customWidth="1"/>
    <col min="3595" max="3595" width="1.5703125" style="1158" customWidth="1"/>
    <col min="3596" max="3596" width="10.5703125" style="1158" customWidth="1"/>
    <col min="3597" max="3597" width="1.5703125" style="1158" customWidth="1"/>
    <col min="3598" max="3598" width="12.5703125" style="1158" customWidth="1"/>
    <col min="3599" max="3599" width="1.5703125" style="1158" customWidth="1"/>
    <col min="3600" max="3600" width="22.5703125" style="1158" customWidth="1"/>
    <col min="3601" max="3601" width="4.5703125" style="1158" customWidth="1"/>
    <col min="3602" max="3615" width="0" style="1158" hidden="1" customWidth="1"/>
    <col min="3616" max="3840" width="9.42578125" style="1158"/>
    <col min="3841" max="3841" width="0" style="1158" hidden="1" customWidth="1"/>
    <col min="3842" max="3842" width="11.42578125" style="1158" customWidth="1"/>
    <col min="3843" max="3843" width="1.5703125" style="1158" customWidth="1"/>
    <col min="3844" max="3844" width="7.42578125" style="1158" bestFit="1" customWidth="1"/>
    <col min="3845" max="3845" width="1.5703125" style="1158" customWidth="1"/>
    <col min="3846" max="3846" width="12.5703125" style="1158" customWidth="1"/>
    <col min="3847" max="3847" width="1.5703125" style="1158" customWidth="1"/>
    <col min="3848" max="3848" width="20.5703125" style="1158" customWidth="1"/>
    <col min="3849" max="3849" width="2.5703125" style="1158" customWidth="1"/>
    <col min="3850" max="3850" width="10.5703125" style="1158" customWidth="1"/>
    <col min="3851" max="3851" width="1.5703125" style="1158" customWidth="1"/>
    <col min="3852" max="3852" width="10.5703125" style="1158" customWidth="1"/>
    <col min="3853" max="3853" width="1.5703125" style="1158" customWidth="1"/>
    <col min="3854" max="3854" width="12.5703125" style="1158" customWidth="1"/>
    <col min="3855" max="3855" width="1.5703125" style="1158" customWidth="1"/>
    <col min="3856" max="3856" width="22.5703125" style="1158" customWidth="1"/>
    <col min="3857" max="3857" width="4.5703125" style="1158" customWidth="1"/>
    <col min="3858" max="3871" width="0" style="1158" hidden="1" customWidth="1"/>
    <col min="3872" max="4096" width="9.42578125" style="1158"/>
    <col min="4097" max="4097" width="0" style="1158" hidden="1" customWidth="1"/>
    <col min="4098" max="4098" width="11.42578125" style="1158" customWidth="1"/>
    <col min="4099" max="4099" width="1.5703125" style="1158" customWidth="1"/>
    <col min="4100" max="4100" width="7.42578125" style="1158" bestFit="1" customWidth="1"/>
    <col min="4101" max="4101" width="1.5703125" style="1158" customWidth="1"/>
    <col min="4102" max="4102" width="12.5703125" style="1158" customWidth="1"/>
    <col min="4103" max="4103" width="1.5703125" style="1158" customWidth="1"/>
    <col min="4104" max="4104" width="20.5703125" style="1158" customWidth="1"/>
    <col min="4105" max="4105" width="2.5703125" style="1158" customWidth="1"/>
    <col min="4106" max="4106" width="10.5703125" style="1158" customWidth="1"/>
    <col min="4107" max="4107" width="1.5703125" style="1158" customWidth="1"/>
    <col min="4108" max="4108" width="10.5703125" style="1158" customWidth="1"/>
    <col min="4109" max="4109" width="1.5703125" style="1158" customWidth="1"/>
    <col min="4110" max="4110" width="12.5703125" style="1158" customWidth="1"/>
    <col min="4111" max="4111" width="1.5703125" style="1158" customWidth="1"/>
    <col min="4112" max="4112" width="22.5703125" style="1158" customWidth="1"/>
    <col min="4113" max="4113" width="4.5703125" style="1158" customWidth="1"/>
    <col min="4114" max="4127" width="0" style="1158" hidden="1" customWidth="1"/>
    <col min="4128" max="4352" width="9.42578125" style="1158"/>
    <col min="4353" max="4353" width="0" style="1158" hidden="1" customWidth="1"/>
    <col min="4354" max="4354" width="11.42578125" style="1158" customWidth="1"/>
    <col min="4355" max="4355" width="1.5703125" style="1158" customWidth="1"/>
    <col min="4356" max="4356" width="7.42578125" style="1158" bestFit="1" customWidth="1"/>
    <col min="4357" max="4357" width="1.5703125" style="1158" customWidth="1"/>
    <col min="4358" max="4358" width="12.5703125" style="1158" customWidth="1"/>
    <col min="4359" max="4359" width="1.5703125" style="1158" customWidth="1"/>
    <col min="4360" max="4360" width="20.5703125" style="1158" customWidth="1"/>
    <col min="4361" max="4361" width="2.5703125" style="1158" customWidth="1"/>
    <col min="4362" max="4362" width="10.5703125" style="1158" customWidth="1"/>
    <col min="4363" max="4363" width="1.5703125" style="1158" customWidth="1"/>
    <col min="4364" max="4364" width="10.5703125" style="1158" customWidth="1"/>
    <col min="4365" max="4365" width="1.5703125" style="1158" customWidth="1"/>
    <col min="4366" max="4366" width="12.5703125" style="1158" customWidth="1"/>
    <col min="4367" max="4367" width="1.5703125" style="1158" customWidth="1"/>
    <col min="4368" max="4368" width="22.5703125" style="1158" customWidth="1"/>
    <col min="4369" max="4369" width="4.5703125" style="1158" customWidth="1"/>
    <col min="4370" max="4383" width="0" style="1158" hidden="1" customWidth="1"/>
    <col min="4384" max="4608" width="9.42578125" style="1158"/>
    <col min="4609" max="4609" width="0" style="1158" hidden="1" customWidth="1"/>
    <col min="4610" max="4610" width="11.42578125" style="1158" customWidth="1"/>
    <col min="4611" max="4611" width="1.5703125" style="1158" customWidth="1"/>
    <col min="4612" max="4612" width="7.42578125" style="1158" bestFit="1" customWidth="1"/>
    <col min="4613" max="4613" width="1.5703125" style="1158" customWidth="1"/>
    <col min="4614" max="4614" width="12.5703125" style="1158" customWidth="1"/>
    <col min="4615" max="4615" width="1.5703125" style="1158" customWidth="1"/>
    <col min="4616" max="4616" width="20.5703125" style="1158" customWidth="1"/>
    <col min="4617" max="4617" width="2.5703125" style="1158" customWidth="1"/>
    <col min="4618" max="4618" width="10.5703125" style="1158" customWidth="1"/>
    <col min="4619" max="4619" width="1.5703125" style="1158" customWidth="1"/>
    <col min="4620" max="4620" width="10.5703125" style="1158" customWidth="1"/>
    <col min="4621" max="4621" width="1.5703125" style="1158" customWidth="1"/>
    <col min="4622" max="4622" width="12.5703125" style="1158" customWidth="1"/>
    <col min="4623" max="4623" width="1.5703125" style="1158" customWidth="1"/>
    <col min="4624" max="4624" width="22.5703125" style="1158" customWidth="1"/>
    <col min="4625" max="4625" width="4.5703125" style="1158" customWidth="1"/>
    <col min="4626" max="4639" width="0" style="1158" hidden="1" customWidth="1"/>
    <col min="4640" max="4864" width="9.42578125" style="1158"/>
    <col min="4865" max="4865" width="0" style="1158" hidden="1" customWidth="1"/>
    <col min="4866" max="4866" width="11.42578125" style="1158" customWidth="1"/>
    <col min="4867" max="4867" width="1.5703125" style="1158" customWidth="1"/>
    <col min="4868" max="4868" width="7.42578125" style="1158" bestFit="1" customWidth="1"/>
    <col min="4869" max="4869" width="1.5703125" style="1158" customWidth="1"/>
    <col min="4870" max="4870" width="12.5703125" style="1158" customWidth="1"/>
    <col min="4871" max="4871" width="1.5703125" style="1158" customWidth="1"/>
    <col min="4872" max="4872" width="20.5703125" style="1158" customWidth="1"/>
    <col min="4873" max="4873" width="2.5703125" style="1158" customWidth="1"/>
    <col min="4874" max="4874" width="10.5703125" style="1158" customWidth="1"/>
    <col min="4875" max="4875" width="1.5703125" style="1158" customWidth="1"/>
    <col min="4876" max="4876" width="10.5703125" style="1158" customWidth="1"/>
    <col min="4877" max="4877" width="1.5703125" style="1158" customWidth="1"/>
    <col min="4878" max="4878" width="12.5703125" style="1158" customWidth="1"/>
    <col min="4879" max="4879" width="1.5703125" style="1158" customWidth="1"/>
    <col min="4880" max="4880" width="22.5703125" style="1158" customWidth="1"/>
    <col min="4881" max="4881" width="4.5703125" style="1158" customWidth="1"/>
    <col min="4882" max="4895" width="0" style="1158" hidden="1" customWidth="1"/>
    <col min="4896" max="5120" width="9.42578125" style="1158"/>
    <col min="5121" max="5121" width="0" style="1158" hidden="1" customWidth="1"/>
    <col min="5122" max="5122" width="11.42578125" style="1158" customWidth="1"/>
    <col min="5123" max="5123" width="1.5703125" style="1158" customWidth="1"/>
    <col min="5124" max="5124" width="7.42578125" style="1158" bestFit="1" customWidth="1"/>
    <col min="5125" max="5125" width="1.5703125" style="1158" customWidth="1"/>
    <col min="5126" max="5126" width="12.5703125" style="1158" customWidth="1"/>
    <col min="5127" max="5127" width="1.5703125" style="1158" customWidth="1"/>
    <col min="5128" max="5128" width="20.5703125" style="1158" customWidth="1"/>
    <col min="5129" max="5129" width="2.5703125" style="1158" customWidth="1"/>
    <col min="5130" max="5130" width="10.5703125" style="1158" customWidth="1"/>
    <col min="5131" max="5131" width="1.5703125" style="1158" customWidth="1"/>
    <col min="5132" max="5132" width="10.5703125" style="1158" customWidth="1"/>
    <col min="5133" max="5133" width="1.5703125" style="1158" customWidth="1"/>
    <col min="5134" max="5134" width="12.5703125" style="1158" customWidth="1"/>
    <col min="5135" max="5135" width="1.5703125" style="1158" customWidth="1"/>
    <col min="5136" max="5136" width="22.5703125" style="1158" customWidth="1"/>
    <col min="5137" max="5137" width="4.5703125" style="1158" customWidth="1"/>
    <col min="5138" max="5151" width="0" style="1158" hidden="1" customWidth="1"/>
    <col min="5152" max="5376" width="9.42578125" style="1158"/>
    <col min="5377" max="5377" width="0" style="1158" hidden="1" customWidth="1"/>
    <col min="5378" max="5378" width="11.42578125" style="1158" customWidth="1"/>
    <col min="5379" max="5379" width="1.5703125" style="1158" customWidth="1"/>
    <col min="5380" max="5380" width="7.42578125" style="1158" bestFit="1" customWidth="1"/>
    <col min="5381" max="5381" width="1.5703125" style="1158" customWidth="1"/>
    <col min="5382" max="5382" width="12.5703125" style="1158" customWidth="1"/>
    <col min="5383" max="5383" width="1.5703125" style="1158" customWidth="1"/>
    <col min="5384" max="5384" width="20.5703125" style="1158" customWidth="1"/>
    <col min="5385" max="5385" width="2.5703125" style="1158" customWidth="1"/>
    <col min="5386" max="5386" width="10.5703125" style="1158" customWidth="1"/>
    <col min="5387" max="5387" width="1.5703125" style="1158" customWidth="1"/>
    <col min="5388" max="5388" width="10.5703125" style="1158" customWidth="1"/>
    <col min="5389" max="5389" width="1.5703125" style="1158" customWidth="1"/>
    <col min="5390" max="5390" width="12.5703125" style="1158" customWidth="1"/>
    <col min="5391" max="5391" width="1.5703125" style="1158" customWidth="1"/>
    <col min="5392" max="5392" width="22.5703125" style="1158" customWidth="1"/>
    <col min="5393" max="5393" width="4.5703125" style="1158" customWidth="1"/>
    <col min="5394" max="5407" width="0" style="1158" hidden="1" customWidth="1"/>
    <col min="5408" max="5632" width="9.42578125" style="1158"/>
    <col min="5633" max="5633" width="0" style="1158" hidden="1" customWidth="1"/>
    <col min="5634" max="5634" width="11.42578125" style="1158" customWidth="1"/>
    <col min="5635" max="5635" width="1.5703125" style="1158" customWidth="1"/>
    <col min="5636" max="5636" width="7.42578125" style="1158" bestFit="1" customWidth="1"/>
    <col min="5637" max="5637" width="1.5703125" style="1158" customWidth="1"/>
    <col min="5638" max="5638" width="12.5703125" style="1158" customWidth="1"/>
    <col min="5639" max="5639" width="1.5703125" style="1158" customWidth="1"/>
    <col min="5640" max="5640" width="20.5703125" style="1158" customWidth="1"/>
    <col min="5641" max="5641" width="2.5703125" style="1158" customWidth="1"/>
    <col min="5642" max="5642" width="10.5703125" style="1158" customWidth="1"/>
    <col min="5643" max="5643" width="1.5703125" style="1158" customWidth="1"/>
    <col min="5644" max="5644" width="10.5703125" style="1158" customWidth="1"/>
    <col min="5645" max="5645" width="1.5703125" style="1158" customWidth="1"/>
    <col min="5646" max="5646" width="12.5703125" style="1158" customWidth="1"/>
    <col min="5647" max="5647" width="1.5703125" style="1158" customWidth="1"/>
    <col min="5648" max="5648" width="22.5703125" style="1158" customWidth="1"/>
    <col min="5649" max="5649" width="4.5703125" style="1158" customWidth="1"/>
    <col min="5650" max="5663" width="0" style="1158" hidden="1" customWidth="1"/>
    <col min="5664" max="5888" width="9.42578125" style="1158"/>
    <col min="5889" max="5889" width="0" style="1158" hidden="1" customWidth="1"/>
    <col min="5890" max="5890" width="11.42578125" style="1158" customWidth="1"/>
    <col min="5891" max="5891" width="1.5703125" style="1158" customWidth="1"/>
    <col min="5892" max="5892" width="7.42578125" style="1158" bestFit="1" customWidth="1"/>
    <col min="5893" max="5893" width="1.5703125" style="1158" customWidth="1"/>
    <col min="5894" max="5894" width="12.5703125" style="1158" customWidth="1"/>
    <col min="5895" max="5895" width="1.5703125" style="1158" customWidth="1"/>
    <col min="5896" max="5896" width="20.5703125" style="1158" customWidth="1"/>
    <col min="5897" max="5897" width="2.5703125" style="1158" customWidth="1"/>
    <col min="5898" max="5898" width="10.5703125" style="1158" customWidth="1"/>
    <col min="5899" max="5899" width="1.5703125" style="1158" customWidth="1"/>
    <col min="5900" max="5900" width="10.5703125" style="1158" customWidth="1"/>
    <col min="5901" max="5901" width="1.5703125" style="1158" customWidth="1"/>
    <col min="5902" max="5902" width="12.5703125" style="1158" customWidth="1"/>
    <col min="5903" max="5903" width="1.5703125" style="1158" customWidth="1"/>
    <col min="5904" max="5904" width="22.5703125" style="1158" customWidth="1"/>
    <col min="5905" max="5905" width="4.5703125" style="1158" customWidth="1"/>
    <col min="5906" max="5919" width="0" style="1158" hidden="1" customWidth="1"/>
    <col min="5920" max="6144" width="9.42578125" style="1158"/>
    <col min="6145" max="6145" width="0" style="1158" hidden="1" customWidth="1"/>
    <col min="6146" max="6146" width="11.42578125" style="1158" customWidth="1"/>
    <col min="6147" max="6147" width="1.5703125" style="1158" customWidth="1"/>
    <col min="6148" max="6148" width="7.42578125" style="1158" bestFit="1" customWidth="1"/>
    <col min="6149" max="6149" width="1.5703125" style="1158" customWidth="1"/>
    <col min="6150" max="6150" width="12.5703125" style="1158" customWidth="1"/>
    <col min="6151" max="6151" width="1.5703125" style="1158" customWidth="1"/>
    <col min="6152" max="6152" width="20.5703125" style="1158" customWidth="1"/>
    <col min="6153" max="6153" width="2.5703125" style="1158" customWidth="1"/>
    <col min="6154" max="6154" width="10.5703125" style="1158" customWidth="1"/>
    <col min="6155" max="6155" width="1.5703125" style="1158" customWidth="1"/>
    <col min="6156" max="6156" width="10.5703125" style="1158" customWidth="1"/>
    <col min="6157" max="6157" width="1.5703125" style="1158" customWidth="1"/>
    <col min="6158" max="6158" width="12.5703125" style="1158" customWidth="1"/>
    <col min="6159" max="6159" width="1.5703125" style="1158" customWidth="1"/>
    <col min="6160" max="6160" width="22.5703125" style="1158" customWidth="1"/>
    <col min="6161" max="6161" width="4.5703125" style="1158" customWidth="1"/>
    <col min="6162" max="6175" width="0" style="1158" hidden="1" customWidth="1"/>
    <col min="6176" max="6400" width="9.42578125" style="1158"/>
    <col min="6401" max="6401" width="0" style="1158" hidden="1" customWidth="1"/>
    <col min="6402" max="6402" width="11.42578125" style="1158" customWidth="1"/>
    <col min="6403" max="6403" width="1.5703125" style="1158" customWidth="1"/>
    <col min="6404" max="6404" width="7.42578125" style="1158" bestFit="1" customWidth="1"/>
    <col min="6405" max="6405" width="1.5703125" style="1158" customWidth="1"/>
    <col min="6406" max="6406" width="12.5703125" style="1158" customWidth="1"/>
    <col min="6407" max="6407" width="1.5703125" style="1158" customWidth="1"/>
    <col min="6408" max="6408" width="20.5703125" style="1158" customWidth="1"/>
    <col min="6409" max="6409" width="2.5703125" style="1158" customWidth="1"/>
    <col min="6410" max="6410" width="10.5703125" style="1158" customWidth="1"/>
    <col min="6411" max="6411" width="1.5703125" style="1158" customWidth="1"/>
    <col min="6412" max="6412" width="10.5703125" style="1158" customWidth="1"/>
    <col min="6413" max="6413" width="1.5703125" style="1158" customWidth="1"/>
    <col min="6414" max="6414" width="12.5703125" style="1158" customWidth="1"/>
    <col min="6415" max="6415" width="1.5703125" style="1158" customWidth="1"/>
    <col min="6416" max="6416" width="22.5703125" style="1158" customWidth="1"/>
    <col min="6417" max="6417" width="4.5703125" style="1158" customWidth="1"/>
    <col min="6418" max="6431" width="0" style="1158" hidden="1" customWidth="1"/>
    <col min="6432" max="6656" width="9.42578125" style="1158"/>
    <col min="6657" max="6657" width="0" style="1158" hidden="1" customWidth="1"/>
    <col min="6658" max="6658" width="11.42578125" style="1158" customWidth="1"/>
    <col min="6659" max="6659" width="1.5703125" style="1158" customWidth="1"/>
    <col min="6660" max="6660" width="7.42578125" style="1158" bestFit="1" customWidth="1"/>
    <col min="6661" max="6661" width="1.5703125" style="1158" customWidth="1"/>
    <col min="6662" max="6662" width="12.5703125" style="1158" customWidth="1"/>
    <col min="6663" max="6663" width="1.5703125" style="1158" customWidth="1"/>
    <col min="6664" max="6664" width="20.5703125" style="1158" customWidth="1"/>
    <col min="6665" max="6665" width="2.5703125" style="1158" customWidth="1"/>
    <col min="6666" max="6666" width="10.5703125" style="1158" customWidth="1"/>
    <col min="6667" max="6667" width="1.5703125" style="1158" customWidth="1"/>
    <col min="6668" max="6668" width="10.5703125" style="1158" customWidth="1"/>
    <col min="6669" max="6669" width="1.5703125" style="1158" customWidth="1"/>
    <col min="6670" max="6670" width="12.5703125" style="1158" customWidth="1"/>
    <col min="6671" max="6671" width="1.5703125" style="1158" customWidth="1"/>
    <col min="6672" max="6672" width="22.5703125" style="1158" customWidth="1"/>
    <col min="6673" max="6673" width="4.5703125" style="1158" customWidth="1"/>
    <col min="6674" max="6687" width="0" style="1158" hidden="1" customWidth="1"/>
    <col min="6688" max="6912" width="9.42578125" style="1158"/>
    <col min="6913" max="6913" width="0" style="1158" hidden="1" customWidth="1"/>
    <col min="6914" max="6914" width="11.42578125" style="1158" customWidth="1"/>
    <col min="6915" max="6915" width="1.5703125" style="1158" customWidth="1"/>
    <col min="6916" max="6916" width="7.42578125" style="1158" bestFit="1" customWidth="1"/>
    <col min="6917" max="6917" width="1.5703125" style="1158" customWidth="1"/>
    <col min="6918" max="6918" width="12.5703125" style="1158" customWidth="1"/>
    <col min="6919" max="6919" width="1.5703125" style="1158" customWidth="1"/>
    <col min="6920" max="6920" width="20.5703125" style="1158" customWidth="1"/>
    <col min="6921" max="6921" width="2.5703125" style="1158" customWidth="1"/>
    <col min="6922" max="6922" width="10.5703125" style="1158" customWidth="1"/>
    <col min="6923" max="6923" width="1.5703125" style="1158" customWidth="1"/>
    <col min="6924" max="6924" width="10.5703125" style="1158" customWidth="1"/>
    <col min="6925" max="6925" width="1.5703125" style="1158" customWidth="1"/>
    <col min="6926" max="6926" width="12.5703125" style="1158" customWidth="1"/>
    <col min="6927" max="6927" width="1.5703125" style="1158" customWidth="1"/>
    <col min="6928" max="6928" width="22.5703125" style="1158" customWidth="1"/>
    <col min="6929" max="6929" width="4.5703125" style="1158" customWidth="1"/>
    <col min="6930" max="6943" width="0" style="1158" hidden="1" customWidth="1"/>
    <col min="6944" max="7168" width="9.42578125" style="1158"/>
    <col min="7169" max="7169" width="0" style="1158" hidden="1" customWidth="1"/>
    <col min="7170" max="7170" width="11.42578125" style="1158" customWidth="1"/>
    <col min="7171" max="7171" width="1.5703125" style="1158" customWidth="1"/>
    <col min="7172" max="7172" width="7.42578125" style="1158" bestFit="1" customWidth="1"/>
    <col min="7173" max="7173" width="1.5703125" style="1158" customWidth="1"/>
    <col min="7174" max="7174" width="12.5703125" style="1158" customWidth="1"/>
    <col min="7175" max="7175" width="1.5703125" style="1158" customWidth="1"/>
    <col min="7176" max="7176" width="20.5703125" style="1158" customWidth="1"/>
    <col min="7177" max="7177" width="2.5703125" style="1158" customWidth="1"/>
    <col min="7178" max="7178" width="10.5703125" style="1158" customWidth="1"/>
    <col min="7179" max="7179" width="1.5703125" style="1158" customWidth="1"/>
    <col min="7180" max="7180" width="10.5703125" style="1158" customWidth="1"/>
    <col min="7181" max="7181" width="1.5703125" style="1158" customWidth="1"/>
    <col min="7182" max="7182" width="12.5703125" style="1158" customWidth="1"/>
    <col min="7183" max="7183" width="1.5703125" style="1158" customWidth="1"/>
    <col min="7184" max="7184" width="22.5703125" style="1158" customWidth="1"/>
    <col min="7185" max="7185" width="4.5703125" style="1158" customWidth="1"/>
    <col min="7186" max="7199" width="0" style="1158" hidden="1" customWidth="1"/>
    <col min="7200" max="7424" width="9.42578125" style="1158"/>
    <col min="7425" max="7425" width="0" style="1158" hidden="1" customWidth="1"/>
    <col min="7426" max="7426" width="11.42578125" style="1158" customWidth="1"/>
    <col min="7427" max="7427" width="1.5703125" style="1158" customWidth="1"/>
    <col min="7428" max="7428" width="7.42578125" style="1158" bestFit="1" customWidth="1"/>
    <col min="7429" max="7429" width="1.5703125" style="1158" customWidth="1"/>
    <col min="7430" max="7430" width="12.5703125" style="1158" customWidth="1"/>
    <col min="7431" max="7431" width="1.5703125" style="1158" customWidth="1"/>
    <col min="7432" max="7432" width="20.5703125" style="1158" customWidth="1"/>
    <col min="7433" max="7433" width="2.5703125" style="1158" customWidth="1"/>
    <col min="7434" max="7434" width="10.5703125" style="1158" customWidth="1"/>
    <col min="7435" max="7435" width="1.5703125" style="1158" customWidth="1"/>
    <col min="7436" max="7436" width="10.5703125" style="1158" customWidth="1"/>
    <col min="7437" max="7437" width="1.5703125" style="1158" customWidth="1"/>
    <col min="7438" max="7438" width="12.5703125" style="1158" customWidth="1"/>
    <col min="7439" max="7439" width="1.5703125" style="1158" customWidth="1"/>
    <col min="7440" max="7440" width="22.5703125" style="1158" customWidth="1"/>
    <col min="7441" max="7441" width="4.5703125" style="1158" customWidth="1"/>
    <col min="7442" max="7455" width="0" style="1158" hidden="1" customWidth="1"/>
    <col min="7456" max="7680" width="9.42578125" style="1158"/>
    <col min="7681" max="7681" width="0" style="1158" hidden="1" customWidth="1"/>
    <col min="7682" max="7682" width="11.42578125" style="1158" customWidth="1"/>
    <col min="7683" max="7683" width="1.5703125" style="1158" customWidth="1"/>
    <col min="7684" max="7684" width="7.42578125" style="1158" bestFit="1" customWidth="1"/>
    <col min="7685" max="7685" width="1.5703125" style="1158" customWidth="1"/>
    <col min="7686" max="7686" width="12.5703125" style="1158" customWidth="1"/>
    <col min="7687" max="7687" width="1.5703125" style="1158" customWidth="1"/>
    <col min="7688" max="7688" width="20.5703125" style="1158" customWidth="1"/>
    <col min="7689" max="7689" width="2.5703125" style="1158" customWidth="1"/>
    <col min="7690" max="7690" width="10.5703125" style="1158" customWidth="1"/>
    <col min="7691" max="7691" width="1.5703125" style="1158" customWidth="1"/>
    <col min="7692" max="7692" width="10.5703125" style="1158" customWidth="1"/>
    <col min="7693" max="7693" width="1.5703125" style="1158" customWidth="1"/>
    <col min="7694" max="7694" width="12.5703125" style="1158" customWidth="1"/>
    <col min="7695" max="7695" width="1.5703125" style="1158" customWidth="1"/>
    <col min="7696" max="7696" width="22.5703125" style="1158" customWidth="1"/>
    <col min="7697" max="7697" width="4.5703125" style="1158" customWidth="1"/>
    <col min="7698" max="7711" width="0" style="1158" hidden="1" customWidth="1"/>
    <col min="7712" max="7936" width="9.42578125" style="1158"/>
    <col min="7937" max="7937" width="0" style="1158" hidden="1" customWidth="1"/>
    <col min="7938" max="7938" width="11.42578125" style="1158" customWidth="1"/>
    <col min="7939" max="7939" width="1.5703125" style="1158" customWidth="1"/>
    <col min="7940" max="7940" width="7.42578125" style="1158" bestFit="1" customWidth="1"/>
    <col min="7941" max="7941" width="1.5703125" style="1158" customWidth="1"/>
    <col min="7942" max="7942" width="12.5703125" style="1158" customWidth="1"/>
    <col min="7943" max="7943" width="1.5703125" style="1158" customWidth="1"/>
    <col min="7944" max="7944" width="20.5703125" style="1158" customWidth="1"/>
    <col min="7945" max="7945" width="2.5703125" style="1158" customWidth="1"/>
    <col min="7946" max="7946" width="10.5703125" style="1158" customWidth="1"/>
    <col min="7947" max="7947" width="1.5703125" style="1158" customWidth="1"/>
    <col min="7948" max="7948" width="10.5703125" style="1158" customWidth="1"/>
    <col min="7949" max="7949" width="1.5703125" style="1158" customWidth="1"/>
    <col min="7950" max="7950" width="12.5703125" style="1158" customWidth="1"/>
    <col min="7951" max="7951" width="1.5703125" style="1158" customWidth="1"/>
    <col min="7952" max="7952" width="22.5703125" style="1158" customWidth="1"/>
    <col min="7953" max="7953" width="4.5703125" style="1158" customWidth="1"/>
    <col min="7954" max="7967" width="0" style="1158" hidden="1" customWidth="1"/>
    <col min="7968" max="8192" width="9.42578125" style="1158"/>
    <col min="8193" max="8193" width="0" style="1158" hidden="1" customWidth="1"/>
    <col min="8194" max="8194" width="11.42578125" style="1158" customWidth="1"/>
    <col min="8195" max="8195" width="1.5703125" style="1158" customWidth="1"/>
    <col min="8196" max="8196" width="7.42578125" style="1158" bestFit="1" customWidth="1"/>
    <col min="8197" max="8197" width="1.5703125" style="1158" customWidth="1"/>
    <col min="8198" max="8198" width="12.5703125" style="1158" customWidth="1"/>
    <col min="8199" max="8199" width="1.5703125" style="1158" customWidth="1"/>
    <col min="8200" max="8200" width="20.5703125" style="1158" customWidth="1"/>
    <col min="8201" max="8201" width="2.5703125" style="1158" customWidth="1"/>
    <col min="8202" max="8202" width="10.5703125" style="1158" customWidth="1"/>
    <col min="8203" max="8203" width="1.5703125" style="1158" customWidth="1"/>
    <col min="8204" max="8204" width="10.5703125" style="1158" customWidth="1"/>
    <col min="8205" max="8205" width="1.5703125" style="1158" customWidth="1"/>
    <col min="8206" max="8206" width="12.5703125" style="1158" customWidth="1"/>
    <col min="8207" max="8207" width="1.5703125" style="1158" customWidth="1"/>
    <col min="8208" max="8208" width="22.5703125" style="1158" customWidth="1"/>
    <col min="8209" max="8209" width="4.5703125" style="1158" customWidth="1"/>
    <col min="8210" max="8223" width="0" style="1158" hidden="1" customWidth="1"/>
    <col min="8224" max="8448" width="9.42578125" style="1158"/>
    <col min="8449" max="8449" width="0" style="1158" hidden="1" customWidth="1"/>
    <col min="8450" max="8450" width="11.42578125" style="1158" customWidth="1"/>
    <col min="8451" max="8451" width="1.5703125" style="1158" customWidth="1"/>
    <col min="8452" max="8452" width="7.42578125" style="1158" bestFit="1" customWidth="1"/>
    <col min="8453" max="8453" width="1.5703125" style="1158" customWidth="1"/>
    <col min="8454" max="8454" width="12.5703125" style="1158" customWidth="1"/>
    <col min="8455" max="8455" width="1.5703125" style="1158" customWidth="1"/>
    <col min="8456" max="8456" width="20.5703125" style="1158" customWidth="1"/>
    <col min="8457" max="8457" width="2.5703125" style="1158" customWidth="1"/>
    <col min="8458" max="8458" width="10.5703125" style="1158" customWidth="1"/>
    <col min="8459" max="8459" width="1.5703125" style="1158" customWidth="1"/>
    <col min="8460" max="8460" width="10.5703125" style="1158" customWidth="1"/>
    <col min="8461" max="8461" width="1.5703125" style="1158" customWidth="1"/>
    <col min="8462" max="8462" width="12.5703125" style="1158" customWidth="1"/>
    <col min="8463" max="8463" width="1.5703125" style="1158" customWidth="1"/>
    <col min="8464" max="8464" width="22.5703125" style="1158" customWidth="1"/>
    <col min="8465" max="8465" width="4.5703125" style="1158" customWidth="1"/>
    <col min="8466" max="8479" width="0" style="1158" hidden="1" customWidth="1"/>
    <col min="8480" max="8704" width="9.42578125" style="1158"/>
    <col min="8705" max="8705" width="0" style="1158" hidden="1" customWidth="1"/>
    <col min="8706" max="8706" width="11.42578125" style="1158" customWidth="1"/>
    <col min="8707" max="8707" width="1.5703125" style="1158" customWidth="1"/>
    <col min="8708" max="8708" width="7.42578125" style="1158" bestFit="1" customWidth="1"/>
    <col min="8709" max="8709" width="1.5703125" style="1158" customWidth="1"/>
    <col min="8710" max="8710" width="12.5703125" style="1158" customWidth="1"/>
    <col min="8711" max="8711" width="1.5703125" style="1158" customWidth="1"/>
    <col min="8712" max="8712" width="20.5703125" style="1158" customWidth="1"/>
    <col min="8713" max="8713" width="2.5703125" style="1158" customWidth="1"/>
    <col min="8714" max="8714" width="10.5703125" style="1158" customWidth="1"/>
    <col min="8715" max="8715" width="1.5703125" style="1158" customWidth="1"/>
    <col min="8716" max="8716" width="10.5703125" style="1158" customWidth="1"/>
    <col min="8717" max="8717" width="1.5703125" style="1158" customWidth="1"/>
    <col min="8718" max="8718" width="12.5703125" style="1158" customWidth="1"/>
    <col min="8719" max="8719" width="1.5703125" style="1158" customWidth="1"/>
    <col min="8720" max="8720" width="22.5703125" style="1158" customWidth="1"/>
    <col min="8721" max="8721" width="4.5703125" style="1158" customWidth="1"/>
    <col min="8722" max="8735" width="0" style="1158" hidden="1" customWidth="1"/>
    <col min="8736" max="8960" width="9.42578125" style="1158"/>
    <col min="8961" max="8961" width="0" style="1158" hidden="1" customWidth="1"/>
    <col min="8962" max="8962" width="11.42578125" style="1158" customWidth="1"/>
    <col min="8963" max="8963" width="1.5703125" style="1158" customWidth="1"/>
    <col min="8964" max="8964" width="7.42578125" style="1158" bestFit="1" customWidth="1"/>
    <col min="8965" max="8965" width="1.5703125" style="1158" customWidth="1"/>
    <col min="8966" max="8966" width="12.5703125" style="1158" customWidth="1"/>
    <col min="8967" max="8967" width="1.5703125" style="1158" customWidth="1"/>
    <col min="8968" max="8968" width="20.5703125" style="1158" customWidth="1"/>
    <col min="8969" max="8969" width="2.5703125" style="1158" customWidth="1"/>
    <col min="8970" max="8970" width="10.5703125" style="1158" customWidth="1"/>
    <col min="8971" max="8971" width="1.5703125" style="1158" customWidth="1"/>
    <col min="8972" max="8972" width="10.5703125" style="1158" customWidth="1"/>
    <col min="8973" max="8973" width="1.5703125" style="1158" customWidth="1"/>
    <col min="8974" max="8974" width="12.5703125" style="1158" customWidth="1"/>
    <col min="8975" max="8975" width="1.5703125" style="1158" customWidth="1"/>
    <col min="8976" max="8976" width="22.5703125" style="1158" customWidth="1"/>
    <col min="8977" max="8977" width="4.5703125" style="1158" customWidth="1"/>
    <col min="8978" max="8991" width="0" style="1158" hidden="1" customWidth="1"/>
    <col min="8992" max="9216" width="9.42578125" style="1158"/>
    <col min="9217" max="9217" width="0" style="1158" hidden="1" customWidth="1"/>
    <col min="9218" max="9218" width="11.42578125" style="1158" customWidth="1"/>
    <col min="9219" max="9219" width="1.5703125" style="1158" customWidth="1"/>
    <col min="9220" max="9220" width="7.42578125" style="1158" bestFit="1" customWidth="1"/>
    <col min="9221" max="9221" width="1.5703125" style="1158" customWidth="1"/>
    <col min="9222" max="9222" width="12.5703125" style="1158" customWidth="1"/>
    <col min="9223" max="9223" width="1.5703125" style="1158" customWidth="1"/>
    <col min="9224" max="9224" width="20.5703125" style="1158" customWidth="1"/>
    <col min="9225" max="9225" width="2.5703125" style="1158" customWidth="1"/>
    <col min="9226" max="9226" width="10.5703125" style="1158" customWidth="1"/>
    <col min="9227" max="9227" width="1.5703125" style="1158" customWidth="1"/>
    <col min="9228" max="9228" width="10.5703125" style="1158" customWidth="1"/>
    <col min="9229" max="9229" width="1.5703125" style="1158" customWidth="1"/>
    <col min="9230" max="9230" width="12.5703125" style="1158" customWidth="1"/>
    <col min="9231" max="9231" width="1.5703125" style="1158" customWidth="1"/>
    <col min="9232" max="9232" width="22.5703125" style="1158" customWidth="1"/>
    <col min="9233" max="9233" width="4.5703125" style="1158" customWidth="1"/>
    <col min="9234" max="9247" width="0" style="1158" hidden="1" customWidth="1"/>
    <col min="9248" max="9472" width="9.42578125" style="1158"/>
    <col min="9473" max="9473" width="0" style="1158" hidden="1" customWidth="1"/>
    <col min="9474" max="9474" width="11.42578125" style="1158" customWidth="1"/>
    <col min="9475" max="9475" width="1.5703125" style="1158" customWidth="1"/>
    <col min="9476" max="9476" width="7.42578125" style="1158" bestFit="1" customWidth="1"/>
    <col min="9477" max="9477" width="1.5703125" style="1158" customWidth="1"/>
    <col min="9478" max="9478" width="12.5703125" style="1158" customWidth="1"/>
    <col min="9479" max="9479" width="1.5703125" style="1158" customWidth="1"/>
    <col min="9480" max="9480" width="20.5703125" style="1158" customWidth="1"/>
    <col min="9481" max="9481" width="2.5703125" style="1158" customWidth="1"/>
    <col min="9482" max="9482" width="10.5703125" style="1158" customWidth="1"/>
    <col min="9483" max="9483" width="1.5703125" style="1158" customWidth="1"/>
    <col min="9484" max="9484" width="10.5703125" style="1158" customWidth="1"/>
    <col min="9485" max="9485" width="1.5703125" style="1158" customWidth="1"/>
    <col min="9486" max="9486" width="12.5703125" style="1158" customWidth="1"/>
    <col min="9487" max="9487" width="1.5703125" style="1158" customWidth="1"/>
    <col min="9488" max="9488" width="22.5703125" style="1158" customWidth="1"/>
    <col min="9489" max="9489" width="4.5703125" style="1158" customWidth="1"/>
    <col min="9490" max="9503" width="0" style="1158" hidden="1" customWidth="1"/>
    <col min="9504" max="9728" width="9.42578125" style="1158"/>
    <col min="9729" max="9729" width="0" style="1158" hidden="1" customWidth="1"/>
    <col min="9730" max="9730" width="11.42578125" style="1158" customWidth="1"/>
    <col min="9731" max="9731" width="1.5703125" style="1158" customWidth="1"/>
    <col min="9732" max="9732" width="7.42578125" style="1158" bestFit="1" customWidth="1"/>
    <col min="9733" max="9733" width="1.5703125" style="1158" customWidth="1"/>
    <col min="9734" max="9734" width="12.5703125" style="1158" customWidth="1"/>
    <col min="9735" max="9735" width="1.5703125" style="1158" customWidth="1"/>
    <col min="9736" max="9736" width="20.5703125" style="1158" customWidth="1"/>
    <col min="9737" max="9737" width="2.5703125" style="1158" customWidth="1"/>
    <col min="9738" max="9738" width="10.5703125" style="1158" customWidth="1"/>
    <col min="9739" max="9739" width="1.5703125" style="1158" customWidth="1"/>
    <col min="9740" max="9740" width="10.5703125" style="1158" customWidth="1"/>
    <col min="9741" max="9741" width="1.5703125" style="1158" customWidth="1"/>
    <col min="9742" max="9742" width="12.5703125" style="1158" customWidth="1"/>
    <col min="9743" max="9743" width="1.5703125" style="1158" customWidth="1"/>
    <col min="9744" max="9744" width="22.5703125" style="1158" customWidth="1"/>
    <col min="9745" max="9745" width="4.5703125" style="1158" customWidth="1"/>
    <col min="9746" max="9759" width="0" style="1158" hidden="1" customWidth="1"/>
    <col min="9760" max="9984" width="9.42578125" style="1158"/>
    <col min="9985" max="9985" width="0" style="1158" hidden="1" customWidth="1"/>
    <col min="9986" max="9986" width="11.42578125" style="1158" customWidth="1"/>
    <col min="9987" max="9987" width="1.5703125" style="1158" customWidth="1"/>
    <col min="9988" max="9988" width="7.42578125" style="1158" bestFit="1" customWidth="1"/>
    <col min="9989" max="9989" width="1.5703125" style="1158" customWidth="1"/>
    <col min="9990" max="9990" width="12.5703125" style="1158" customWidth="1"/>
    <col min="9991" max="9991" width="1.5703125" style="1158" customWidth="1"/>
    <col min="9992" max="9992" width="20.5703125" style="1158" customWidth="1"/>
    <col min="9993" max="9993" width="2.5703125" style="1158" customWidth="1"/>
    <col min="9994" max="9994" width="10.5703125" style="1158" customWidth="1"/>
    <col min="9995" max="9995" width="1.5703125" style="1158" customWidth="1"/>
    <col min="9996" max="9996" width="10.5703125" style="1158" customWidth="1"/>
    <col min="9997" max="9997" width="1.5703125" style="1158" customWidth="1"/>
    <col min="9998" max="9998" width="12.5703125" style="1158" customWidth="1"/>
    <col min="9999" max="9999" width="1.5703125" style="1158" customWidth="1"/>
    <col min="10000" max="10000" width="22.5703125" style="1158" customWidth="1"/>
    <col min="10001" max="10001" width="4.5703125" style="1158" customWidth="1"/>
    <col min="10002" max="10015" width="0" style="1158" hidden="1" customWidth="1"/>
    <col min="10016" max="10240" width="9.42578125" style="1158"/>
    <col min="10241" max="10241" width="0" style="1158" hidden="1" customWidth="1"/>
    <col min="10242" max="10242" width="11.42578125" style="1158" customWidth="1"/>
    <col min="10243" max="10243" width="1.5703125" style="1158" customWidth="1"/>
    <col min="10244" max="10244" width="7.42578125" style="1158" bestFit="1" customWidth="1"/>
    <col min="10245" max="10245" width="1.5703125" style="1158" customWidth="1"/>
    <col min="10246" max="10246" width="12.5703125" style="1158" customWidth="1"/>
    <col min="10247" max="10247" width="1.5703125" style="1158" customWidth="1"/>
    <col min="10248" max="10248" width="20.5703125" style="1158" customWidth="1"/>
    <col min="10249" max="10249" width="2.5703125" style="1158" customWidth="1"/>
    <col min="10250" max="10250" width="10.5703125" style="1158" customWidth="1"/>
    <col min="10251" max="10251" width="1.5703125" style="1158" customWidth="1"/>
    <col min="10252" max="10252" width="10.5703125" style="1158" customWidth="1"/>
    <col min="10253" max="10253" width="1.5703125" style="1158" customWidth="1"/>
    <col min="10254" max="10254" width="12.5703125" style="1158" customWidth="1"/>
    <col min="10255" max="10255" width="1.5703125" style="1158" customWidth="1"/>
    <col min="10256" max="10256" width="22.5703125" style="1158" customWidth="1"/>
    <col min="10257" max="10257" width="4.5703125" style="1158" customWidth="1"/>
    <col min="10258" max="10271" width="0" style="1158" hidden="1" customWidth="1"/>
    <col min="10272" max="10496" width="9.42578125" style="1158"/>
    <col min="10497" max="10497" width="0" style="1158" hidden="1" customWidth="1"/>
    <col min="10498" max="10498" width="11.42578125" style="1158" customWidth="1"/>
    <col min="10499" max="10499" width="1.5703125" style="1158" customWidth="1"/>
    <col min="10500" max="10500" width="7.42578125" style="1158" bestFit="1" customWidth="1"/>
    <col min="10501" max="10501" width="1.5703125" style="1158" customWidth="1"/>
    <col min="10502" max="10502" width="12.5703125" style="1158" customWidth="1"/>
    <col min="10503" max="10503" width="1.5703125" style="1158" customWidth="1"/>
    <col min="10504" max="10504" width="20.5703125" style="1158" customWidth="1"/>
    <col min="10505" max="10505" width="2.5703125" style="1158" customWidth="1"/>
    <col min="10506" max="10506" width="10.5703125" style="1158" customWidth="1"/>
    <col min="10507" max="10507" width="1.5703125" style="1158" customWidth="1"/>
    <col min="10508" max="10508" width="10.5703125" style="1158" customWidth="1"/>
    <col min="10509" max="10509" width="1.5703125" style="1158" customWidth="1"/>
    <col min="10510" max="10510" width="12.5703125" style="1158" customWidth="1"/>
    <col min="10511" max="10511" width="1.5703125" style="1158" customWidth="1"/>
    <col min="10512" max="10512" width="22.5703125" style="1158" customWidth="1"/>
    <col min="10513" max="10513" width="4.5703125" style="1158" customWidth="1"/>
    <col min="10514" max="10527" width="0" style="1158" hidden="1" customWidth="1"/>
    <col min="10528" max="10752" width="9.42578125" style="1158"/>
    <col min="10753" max="10753" width="0" style="1158" hidden="1" customWidth="1"/>
    <col min="10754" max="10754" width="11.42578125" style="1158" customWidth="1"/>
    <col min="10755" max="10755" width="1.5703125" style="1158" customWidth="1"/>
    <col min="10756" max="10756" width="7.42578125" style="1158" bestFit="1" customWidth="1"/>
    <col min="10757" max="10757" width="1.5703125" style="1158" customWidth="1"/>
    <col min="10758" max="10758" width="12.5703125" style="1158" customWidth="1"/>
    <col min="10759" max="10759" width="1.5703125" style="1158" customWidth="1"/>
    <col min="10760" max="10760" width="20.5703125" style="1158" customWidth="1"/>
    <col min="10761" max="10761" width="2.5703125" style="1158" customWidth="1"/>
    <col min="10762" max="10762" width="10.5703125" style="1158" customWidth="1"/>
    <col min="10763" max="10763" width="1.5703125" style="1158" customWidth="1"/>
    <col min="10764" max="10764" width="10.5703125" style="1158" customWidth="1"/>
    <col min="10765" max="10765" width="1.5703125" style="1158" customWidth="1"/>
    <col min="10766" max="10766" width="12.5703125" style="1158" customWidth="1"/>
    <col min="10767" max="10767" width="1.5703125" style="1158" customWidth="1"/>
    <col min="10768" max="10768" width="22.5703125" style="1158" customWidth="1"/>
    <col min="10769" max="10769" width="4.5703125" style="1158" customWidth="1"/>
    <col min="10770" max="10783" width="0" style="1158" hidden="1" customWidth="1"/>
    <col min="10784" max="11008" width="9.42578125" style="1158"/>
    <col min="11009" max="11009" width="0" style="1158" hidden="1" customWidth="1"/>
    <col min="11010" max="11010" width="11.42578125" style="1158" customWidth="1"/>
    <col min="11011" max="11011" width="1.5703125" style="1158" customWidth="1"/>
    <col min="11012" max="11012" width="7.42578125" style="1158" bestFit="1" customWidth="1"/>
    <col min="11013" max="11013" width="1.5703125" style="1158" customWidth="1"/>
    <col min="11014" max="11014" width="12.5703125" style="1158" customWidth="1"/>
    <col min="11015" max="11015" width="1.5703125" style="1158" customWidth="1"/>
    <col min="11016" max="11016" width="20.5703125" style="1158" customWidth="1"/>
    <col min="11017" max="11017" width="2.5703125" style="1158" customWidth="1"/>
    <col min="11018" max="11018" width="10.5703125" style="1158" customWidth="1"/>
    <col min="11019" max="11019" width="1.5703125" style="1158" customWidth="1"/>
    <col min="11020" max="11020" width="10.5703125" style="1158" customWidth="1"/>
    <col min="11021" max="11021" width="1.5703125" style="1158" customWidth="1"/>
    <col min="11022" max="11022" width="12.5703125" style="1158" customWidth="1"/>
    <col min="11023" max="11023" width="1.5703125" style="1158" customWidth="1"/>
    <col min="11024" max="11024" width="22.5703125" style="1158" customWidth="1"/>
    <col min="11025" max="11025" width="4.5703125" style="1158" customWidth="1"/>
    <col min="11026" max="11039" width="0" style="1158" hidden="1" customWidth="1"/>
    <col min="11040" max="11264" width="9.42578125" style="1158"/>
    <col min="11265" max="11265" width="0" style="1158" hidden="1" customWidth="1"/>
    <col min="11266" max="11266" width="11.42578125" style="1158" customWidth="1"/>
    <col min="11267" max="11267" width="1.5703125" style="1158" customWidth="1"/>
    <col min="11268" max="11268" width="7.42578125" style="1158" bestFit="1" customWidth="1"/>
    <col min="11269" max="11269" width="1.5703125" style="1158" customWidth="1"/>
    <col min="11270" max="11270" width="12.5703125" style="1158" customWidth="1"/>
    <col min="11271" max="11271" width="1.5703125" style="1158" customWidth="1"/>
    <col min="11272" max="11272" width="20.5703125" style="1158" customWidth="1"/>
    <col min="11273" max="11273" width="2.5703125" style="1158" customWidth="1"/>
    <col min="11274" max="11274" width="10.5703125" style="1158" customWidth="1"/>
    <col min="11275" max="11275" width="1.5703125" style="1158" customWidth="1"/>
    <col min="11276" max="11276" width="10.5703125" style="1158" customWidth="1"/>
    <col min="11277" max="11277" width="1.5703125" style="1158" customWidth="1"/>
    <col min="11278" max="11278" width="12.5703125" style="1158" customWidth="1"/>
    <col min="11279" max="11279" width="1.5703125" style="1158" customWidth="1"/>
    <col min="11280" max="11280" width="22.5703125" style="1158" customWidth="1"/>
    <col min="11281" max="11281" width="4.5703125" style="1158" customWidth="1"/>
    <col min="11282" max="11295" width="0" style="1158" hidden="1" customWidth="1"/>
    <col min="11296" max="11520" width="9.42578125" style="1158"/>
    <col min="11521" max="11521" width="0" style="1158" hidden="1" customWidth="1"/>
    <col min="11522" max="11522" width="11.42578125" style="1158" customWidth="1"/>
    <col min="11523" max="11523" width="1.5703125" style="1158" customWidth="1"/>
    <col min="11524" max="11524" width="7.42578125" style="1158" bestFit="1" customWidth="1"/>
    <col min="11525" max="11525" width="1.5703125" style="1158" customWidth="1"/>
    <col min="11526" max="11526" width="12.5703125" style="1158" customWidth="1"/>
    <col min="11527" max="11527" width="1.5703125" style="1158" customWidth="1"/>
    <col min="11528" max="11528" width="20.5703125" style="1158" customWidth="1"/>
    <col min="11529" max="11529" width="2.5703125" style="1158" customWidth="1"/>
    <col min="11530" max="11530" width="10.5703125" style="1158" customWidth="1"/>
    <col min="11531" max="11531" width="1.5703125" style="1158" customWidth="1"/>
    <col min="11532" max="11532" width="10.5703125" style="1158" customWidth="1"/>
    <col min="11533" max="11533" width="1.5703125" style="1158" customWidth="1"/>
    <col min="11534" max="11534" width="12.5703125" style="1158" customWidth="1"/>
    <col min="11535" max="11535" width="1.5703125" style="1158" customWidth="1"/>
    <col min="11536" max="11536" width="22.5703125" style="1158" customWidth="1"/>
    <col min="11537" max="11537" width="4.5703125" style="1158" customWidth="1"/>
    <col min="11538" max="11551" width="0" style="1158" hidden="1" customWidth="1"/>
    <col min="11552" max="11776" width="9.42578125" style="1158"/>
    <col min="11777" max="11777" width="0" style="1158" hidden="1" customWidth="1"/>
    <col min="11778" max="11778" width="11.42578125" style="1158" customWidth="1"/>
    <col min="11779" max="11779" width="1.5703125" style="1158" customWidth="1"/>
    <col min="11780" max="11780" width="7.42578125" style="1158" bestFit="1" customWidth="1"/>
    <col min="11781" max="11781" width="1.5703125" style="1158" customWidth="1"/>
    <col min="11782" max="11782" width="12.5703125" style="1158" customWidth="1"/>
    <col min="11783" max="11783" width="1.5703125" style="1158" customWidth="1"/>
    <col min="11784" max="11784" width="20.5703125" style="1158" customWidth="1"/>
    <col min="11785" max="11785" width="2.5703125" style="1158" customWidth="1"/>
    <col min="11786" max="11786" width="10.5703125" style="1158" customWidth="1"/>
    <col min="11787" max="11787" width="1.5703125" style="1158" customWidth="1"/>
    <col min="11788" max="11788" width="10.5703125" style="1158" customWidth="1"/>
    <col min="11789" max="11789" width="1.5703125" style="1158" customWidth="1"/>
    <col min="11790" max="11790" width="12.5703125" style="1158" customWidth="1"/>
    <col min="11791" max="11791" width="1.5703125" style="1158" customWidth="1"/>
    <col min="11792" max="11792" width="22.5703125" style="1158" customWidth="1"/>
    <col min="11793" max="11793" width="4.5703125" style="1158" customWidth="1"/>
    <col min="11794" max="11807" width="0" style="1158" hidden="1" customWidth="1"/>
    <col min="11808" max="12032" width="9.42578125" style="1158"/>
    <col min="12033" max="12033" width="0" style="1158" hidden="1" customWidth="1"/>
    <col min="12034" max="12034" width="11.42578125" style="1158" customWidth="1"/>
    <col min="12035" max="12035" width="1.5703125" style="1158" customWidth="1"/>
    <col min="12036" max="12036" width="7.42578125" style="1158" bestFit="1" customWidth="1"/>
    <col min="12037" max="12037" width="1.5703125" style="1158" customWidth="1"/>
    <col min="12038" max="12038" width="12.5703125" style="1158" customWidth="1"/>
    <col min="12039" max="12039" width="1.5703125" style="1158" customWidth="1"/>
    <col min="12040" max="12040" width="20.5703125" style="1158" customWidth="1"/>
    <col min="12041" max="12041" width="2.5703125" style="1158" customWidth="1"/>
    <col min="12042" max="12042" width="10.5703125" style="1158" customWidth="1"/>
    <col min="12043" max="12043" width="1.5703125" style="1158" customWidth="1"/>
    <col min="12044" max="12044" width="10.5703125" style="1158" customWidth="1"/>
    <col min="12045" max="12045" width="1.5703125" style="1158" customWidth="1"/>
    <col min="12046" max="12046" width="12.5703125" style="1158" customWidth="1"/>
    <col min="12047" max="12047" width="1.5703125" style="1158" customWidth="1"/>
    <col min="12048" max="12048" width="22.5703125" style="1158" customWidth="1"/>
    <col min="12049" max="12049" width="4.5703125" style="1158" customWidth="1"/>
    <col min="12050" max="12063" width="0" style="1158" hidden="1" customWidth="1"/>
    <col min="12064" max="12288" width="9.42578125" style="1158"/>
    <col min="12289" max="12289" width="0" style="1158" hidden="1" customWidth="1"/>
    <col min="12290" max="12290" width="11.42578125" style="1158" customWidth="1"/>
    <col min="12291" max="12291" width="1.5703125" style="1158" customWidth="1"/>
    <col min="12292" max="12292" width="7.42578125" style="1158" bestFit="1" customWidth="1"/>
    <col min="12293" max="12293" width="1.5703125" style="1158" customWidth="1"/>
    <col min="12294" max="12294" width="12.5703125" style="1158" customWidth="1"/>
    <col min="12295" max="12295" width="1.5703125" style="1158" customWidth="1"/>
    <col min="12296" max="12296" width="20.5703125" style="1158" customWidth="1"/>
    <col min="12297" max="12297" width="2.5703125" style="1158" customWidth="1"/>
    <col min="12298" max="12298" width="10.5703125" style="1158" customWidth="1"/>
    <col min="12299" max="12299" width="1.5703125" style="1158" customWidth="1"/>
    <col min="12300" max="12300" width="10.5703125" style="1158" customWidth="1"/>
    <col min="12301" max="12301" width="1.5703125" style="1158" customWidth="1"/>
    <col min="12302" max="12302" width="12.5703125" style="1158" customWidth="1"/>
    <col min="12303" max="12303" width="1.5703125" style="1158" customWidth="1"/>
    <col min="12304" max="12304" width="22.5703125" style="1158" customWidth="1"/>
    <col min="12305" max="12305" width="4.5703125" style="1158" customWidth="1"/>
    <col min="12306" max="12319" width="0" style="1158" hidden="1" customWidth="1"/>
    <col min="12320" max="12544" width="9.42578125" style="1158"/>
    <col min="12545" max="12545" width="0" style="1158" hidden="1" customWidth="1"/>
    <col min="12546" max="12546" width="11.42578125" style="1158" customWidth="1"/>
    <col min="12547" max="12547" width="1.5703125" style="1158" customWidth="1"/>
    <col min="12548" max="12548" width="7.42578125" style="1158" bestFit="1" customWidth="1"/>
    <col min="12549" max="12549" width="1.5703125" style="1158" customWidth="1"/>
    <col min="12550" max="12550" width="12.5703125" style="1158" customWidth="1"/>
    <col min="12551" max="12551" width="1.5703125" style="1158" customWidth="1"/>
    <col min="12552" max="12552" width="20.5703125" style="1158" customWidth="1"/>
    <col min="12553" max="12553" width="2.5703125" style="1158" customWidth="1"/>
    <col min="12554" max="12554" width="10.5703125" style="1158" customWidth="1"/>
    <col min="12555" max="12555" width="1.5703125" style="1158" customWidth="1"/>
    <col min="12556" max="12556" width="10.5703125" style="1158" customWidth="1"/>
    <col min="12557" max="12557" width="1.5703125" style="1158" customWidth="1"/>
    <col min="12558" max="12558" width="12.5703125" style="1158" customWidth="1"/>
    <col min="12559" max="12559" width="1.5703125" style="1158" customWidth="1"/>
    <col min="12560" max="12560" width="22.5703125" style="1158" customWidth="1"/>
    <col min="12561" max="12561" width="4.5703125" style="1158" customWidth="1"/>
    <col min="12562" max="12575" width="0" style="1158" hidden="1" customWidth="1"/>
    <col min="12576" max="12800" width="9.42578125" style="1158"/>
    <col min="12801" max="12801" width="0" style="1158" hidden="1" customWidth="1"/>
    <col min="12802" max="12802" width="11.42578125" style="1158" customWidth="1"/>
    <col min="12803" max="12803" width="1.5703125" style="1158" customWidth="1"/>
    <col min="12804" max="12804" width="7.42578125" style="1158" bestFit="1" customWidth="1"/>
    <col min="12805" max="12805" width="1.5703125" style="1158" customWidth="1"/>
    <col min="12806" max="12806" width="12.5703125" style="1158" customWidth="1"/>
    <col min="12807" max="12807" width="1.5703125" style="1158" customWidth="1"/>
    <col min="12808" max="12808" width="20.5703125" style="1158" customWidth="1"/>
    <col min="12809" max="12809" width="2.5703125" style="1158" customWidth="1"/>
    <col min="12810" max="12810" width="10.5703125" style="1158" customWidth="1"/>
    <col min="12811" max="12811" width="1.5703125" style="1158" customWidth="1"/>
    <col min="12812" max="12812" width="10.5703125" style="1158" customWidth="1"/>
    <col min="12813" max="12813" width="1.5703125" style="1158" customWidth="1"/>
    <col min="12814" max="12814" width="12.5703125" style="1158" customWidth="1"/>
    <col min="12815" max="12815" width="1.5703125" style="1158" customWidth="1"/>
    <col min="12816" max="12816" width="22.5703125" style="1158" customWidth="1"/>
    <col min="12817" max="12817" width="4.5703125" style="1158" customWidth="1"/>
    <col min="12818" max="12831" width="0" style="1158" hidden="1" customWidth="1"/>
    <col min="12832" max="13056" width="9.42578125" style="1158"/>
    <col min="13057" max="13057" width="0" style="1158" hidden="1" customWidth="1"/>
    <col min="13058" max="13058" width="11.42578125" style="1158" customWidth="1"/>
    <col min="13059" max="13059" width="1.5703125" style="1158" customWidth="1"/>
    <col min="13060" max="13060" width="7.42578125" style="1158" bestFit="1" customWidth="1"/>
    <col min="13061" max="13061" width="1.5703125" style="1158" customWidth="1"/>
    <col min="13062" max="13062" width="12.5703125" style="1158" customWidth="1"/>
    <col min="13063" max="13063" width="1.5703125" style="1158" customWidth="1"/>
    <col min="13064" max="13064" width="20.5703125" style="1158" customWidth="1"/>
    <col min="13065" max="13065" width="2.5703125" style="1158" customWidth="1"/>
    <col min="13066" max="13066" width="10.5703125" style="1158" customWidth="1"/>
    <col min="13067" max="13067" width="1.5703125" style="1158" customWidth="1"/>
    <col min="13068" max="13068" width="10.5703125" style="1158" customWidth="1"/>
    <col min="13069" max="13069" width="1.5703125" style="1158" customWidth="1"/>
    <col min="13070" max="13070" width="12.5703125" style="1158" customWidth="1"/>
    <col min="13071" max="13071" width="1.5703125" style="1158" customWidth="1"/>
    <col min="13072" max="13072" width="22.5703125" style="1158" customWidth="1"/>
    <col min="13073" max="13073" width="4.5703125" style="1158" customWidth="1"/>
    <col min="13074" max="13087" width="0" style="1158" hidden="1" customWidth="1"/>
    <col min="13088" max="13312" width="9.42578125" style="1158"/>
    <col min="13313" max="13313" width="0" style="1158" hidden="1" customWidth="1"/>
    <col min="13314" max="13314" width="11.42578125" style="1158" customWidth="1"/>
    <col min="13315" max="13315" width="1.5703125" style="1158" customWidth="1"/>
    <col min="13316" max="13316" width="7.42578125" style="1158" bestFit="1" customWidth="1"/>
    <col min="13317" max="13317" width="1.5703125" style="1158" customWidth="1"/>
    <col min="13318" max="13318" width="12.5703125" style="1158" customWidth="1"/>
    <col min="13319" max="13319" width="1.5703125" style="1158" customWidth="1"/>
    <col min="13320" max="13320" width="20.5703125" style="1158" customWidth="1"/>
    <col min="13321" max="13321" width="2.5703125" style="1158" customWidth="1"/>
    <col min="13322" max="13322" width="10.5703125" style="1158" customWidth="1"/>
    <col min="13323" max="13323" width="1.5703125" style="1158" customWidth="1"/>
    <col min="13324" max="13324" width="10.5703125" style="1158" customWidth="1"/>
    <col min="13325" max="13325" width="1.5703125" style="1158" customWidth="1"/>
    <col min="13326" max="13326" width="12.5703125" style="1158" customWidth="1"/>
    <col min="13327" max="13327" width="1.5703125" style="1158" customWidth="1"/>
    <col min="13328" max="13328" width="22.5703125" style="1158" customWidth="1"/>
    <col min="13329" max="13329" width="4.5703125" style="1158" customWidth="1"/>
    <col min="13330" max="13343" width="0" style="1158" hidden="1" customWidth="1"/>
    <col min="13344" max="13568" width="9.42578125" style="1158"/>
    <col min="13569" max="13569" width="0" style="1158" hidden="1" customWidth="1"/>
    <col min="13570" max="13570" width="11.42578125" style="1158" customWidth="1"/>
    <col min="13571" max="13571" width="1.5703125" style="1158" customWidth="1"/>
    <col min="13572" max="13572" width="7.42578125" style="1158" bestFit="1" customWidth="1"/>
    <col min="13573" max="13573" width="1.5703125" style="1158" customWidth="1"/>
    <col min="13574" max="13574" width="12.5703125" style="1158" customWidth="1"/>
    <col min="13575" max="13575" width="1.5703125" style="1158" customWidth="1"/>
    <col min="13576" max="13576" width="20.5703125" style="1158" customWidth="1"/>
    <col min="13577" max="13577" width="2.5703125" style="1158" customWidth="1"/>
    <col min="13578" max="13578" width="10.5703125" style="1158" customWidth="1"/>
    <col min="13579" max="13579" width="1.5703125" style="1158" customWidth="1"/>
    <col min="13580" max="13580" width="10.5703125" style="1158" customWidth="1"/>
    <col min="13581" max="13581" width="1.5703125" style="1158" customWidth="1"/>
    <col min="13582" max="13582" width="12.5703125" style="1158" customWidth="1"/>
    <col min="13583" max="13583" width="1.5703125" style="1158" customWidth="1"/>
    <col min="13584" max="13584" width="22.5703125" style="1158" customWidth="1"/>
    <col min="13585" max="13585" width="4.5703125" style="1158" customWidth="1"/>
    <col min="13586" max="13599" width="0" style="1158" hidden="1" customWidth="1"/>
    <col min="13600" max="13824" width="9.42578125" style="1158"/>
    <col min="13825" max="13825" width="0" style="1158" hidden="1" customWidth="1"/>
    <col min="13826" max="13826" width="11.42578125" style="1158" customWidth="1"/>
    <col min="13827" max="13827" width="1.5703125" style="1158" customWidth="1"/>
    <col min="13828" max="13828" width="7.42578125" style="1158" bestFit="1" customWidth="1"/>
    <col min="13829" max="13829" width="1.5703125" style="1158" customWidth="1"/>
    <col min="13830" max="13830" width="12.5703125" style="1158" customWidth="1"/>
    <col min="13831" max="13831" width="1.5703125" style="1158" customWidth="1"/>
    <col min="13832" max="13832" width="20.5703125" style="1158" customWidth="1"/>
    <col min="13833" max="13833" width="2.5703125" style="1158" customWidth="1"/>
    <col min="13834" max="13834" width="10.5703125" style="1158" customWidth="1"/>
    <col min="13835" max="13835" width="1.5703125" style="1158" customWidth="1"/>
    <col min="13836" max="13836" width="10.5703125" style="1158" customWidth="1"/>
    <col min="13837" max="13837" width="1.5703125" style="1158" customWidth="1"/>
    <col min="13838" max="13838" width="12.5703125" style="1158" customWidth="1"/>
    <col min="13839" max="13839" width="1.5703125" style="1158" customWidth="1"/>
    <col min="13840" max="13840" width="22.5703125" style="1158" customWidth="1"/>
    <col min="13841" max="13841" width="4.5703125" style="1158" customWidth="1"/>
    <col min="13842" max="13855" width="0" style="1158" hidden="1" customWidth="1"/>
    <col min="13856" max="14080" width="9.42578125" style="1158"/>
    <col min="14081" max="14081" width="0" style="1158" hidden="1" customWidth="1"/>
    <col min="14082" max="14082" width="11.42578125" style="1158" customWidth="1"/>
    <col min="14083" max="14083" width="1.5703125" style="1158" customWidth="1"/>
    <col min="14084" max="14084" width="7.42578125" style="1158" bestFit="1" customWidth="1"/>
    <col min="14085" max="14085" width="1.5703125" style="1158" customWidth="1"/>
    <col min="14086" max="14086" width="12.5703125" style="1158" customWidth="1"/>
    <col min="14087" max="14087" width="1.5703125" style="1158" customWidth="1"/>
    <col min="14088" max="14088" width="20.5703125" style="1158" customWidth="1"/>
    <col min="14089" max="14089" width="2.5703125" style="1158" customWidth="1"/>
    <col min="14090" max="14090" width="10.5703125" style="1158" customWidth="1"/>
    <col min="14091" max="14091" width="1.5703125" style="1158" customWidth="1"/>
    <col min="14092" max="14092" width="10.5703125" style="1158" customWidth="1"/>
    <col min="14093" max="14093" width="1.5703125" style="1158" customWidth="1"/>
    <col min="14094" max="14094" width="12.5703125" style="1158" customWidth="1"/>
    <col min="14095" max="14095" width="1.5703125" style="1158" customWidth="1"/>
    <col min="14096" max="14096" width="22.5703125" style="1158" customWidth="1"/>
    <col min="14097" max="14097" width="4.5703125" style="1158" customWidth="1"/>
    <col min="14098" max="14111" width="0" style="1158" hidden="1" customWidth="1"/>
    <col min="14112" max="14336" width="9.42578125" style="1158"/>
    <col min="14337" max="14337" width="0" style="1158" hidden="1" customWidth="1"/>
    <col min="14338" max="14338" width="11.42578125" style="1158" customWidth="1"/>
    <col min="14339" max="14339" width="1.5703125" style="1158" customWidth="1"/>
    <col min="14340" max="14340" width="7.42578125" style="1158" bestFit="1" customWidth="1"/>
    <col min="14341" max="14341" width="1.5703125" style="1158" customWidth="1"/>
    <col min="14342" max="14342" width="12.5703125" style="1158" customWidth="1"/>
    <col min="14343" max="14343" width="1.5703125" style="1158" customWidth="1"/>
    <col min="14344" max="14344" width="20.5703125" style="1158" customWidth="1"/>
    <col min="14345" max="14345" width="2.5703125" style="1158" customWidth="1"/>
    <col min="14346" max="14346" width="10.5703125" style="1158" customWidth="1"/>
    <col min="14347" max="14347" width="1.5703125" style="1158" customWidth="1"/>
    <col min="14348" max="14348" width="10.5703125" style="1158" customWidth="1"/>
    <col min="14349" max="14349" width="1.5703125" style="1158" customWidth="1"/>
    <col min="14350" max="14350" width="12.5703125" style="1158" customWidth="1"/>
    <col min="14351" max="14351" width="1.5703125" style="1158" customWidth="1"/>
    <col min="14352" max="14352" width="22.5703125" style="1158" customWidth="1"/>
    <col min="14353" max="14353" width="4.5703125" style="1158" customWidth="1"/>
    <col min="14354" max="14367" width="0" style="1158" hidden="1" customWidth="1"/>
    <col min="14368" max="14592" width="9.42578125" style="1158"/>
    <col min="14593" max="14593" width="0" style="1158" hidden="1" customWidth="1"/>
    <col min="14594" max="14594" width="11.42578125" style="1158" customWidth="1"/>
    <col min="14595" max="14595" width="1.5703125" style="1158" customWidth="1"/>
    <col min="14596" max="14596" width="7.42578125" style="1158" bestFit="1" customWidth="1"/>
    <col min="14597" max="14597" width="1.5703125" style="1158" customWidth="1"/>
    <col min="14598" max="14598" width="12.5703125" style="1158" customWidth="1"/>
    <col min="14599" max="14599" width="1.5703125" style="1158" customWidth="1"/>
    <col min="14600" max="14600" width="20.5703125" style="1158" customWidth="1"/>
    <col min="14601" max="14601" width="2.5703125" style="1158" customWidth="1"/>
    <col min="14602" max="14602" width="10.5703125" style="1158" customWidth="1"/>
    <col min="14603" max="14603" width="1.5703125" style="1158" customWidth="1"/>
    <col min="14604" max="14604" width="10.5703125" style="1158" customWidth="1"/>
    <col min="14605" max="14605" width="1.5703125" style="1158" customWidth="1"/>
    <col min="14606" max="14606" width="12.5703125" style="1158" customWidth="1"/>
    <col min="14607" max="14607" width="1.5703125" style="1158" customWidth="1"/>
    <col min="14608" max="14608" width="22.5703125" style="1158" customWidth="1"/>
    <col min="14609" max="14609" width="4.5703125" style="1158" customWidth="1"/>
    <col min="14610" max="14623" width="0" style="1158" hidden="1" customWidth="1"/>
    <col min="14624" max="14848" width="9.42578125" style="1158"/>
    <col min="14849" max="14849" width="0" style="1158" hidden="1" customWidth="1"/>
    <col min="14850" max="14850" width="11.42578125" style="1158" customWidth="1"/>
    <col min="14851" max="14851" width="1.5703125" style="1158" customWidth="1"/>
    <col min="14852" max="14852" width="7.42578125" style="1158" bestFit="1" customWidth="1"/>
    <col min="14853" max="14853" width="1.5703125" style="1158" customWidth="1"/>
    <col min="14854" max="14854" width="12.5703125" style="1158" customWidth="1"/>
    <col min="14855" max="14855" width="1.5703125" style="1158" customWidth="1"/>
    <col min="14856" max="14856" width="20.5703125" style="1158" customWidth="1"/>
    <col min="14857" max="14857" width="2.5703125" style="1158" customWidth="1"/>
    <col min="14858" max="14858" width="10.5703125" style="1158" customWidth="1"/>
    <col min="14859" max="14859" width="1.5703125" style="1158" customWidth="1"/>
    <col min="14860" max="14860" width="10.5703125" style="1158" customWidth="1"/>
    <col min="14861" max="14861" width="1.5703125" style="1158" customWidth="1"/>
    <col min="14862" max="14862" width="12.5703125" style="1158" customWidth="1"/>
    <col min="14863" max="14863" width="1.5703125" style="1158" customWidth="1"/>
    <col min="14864" max="14864" width="22.5703125" style="1158" customWidth="1"/>
    <col min="14865" max="14865" width="4.5703125" style="1158" customWidth="1"/>
    <col min="14866" max="14879" width="0" style="1158" hidden="1" customWidth="1"/>
    <col min="14880" max="15104" width="9.42578125" style="1158"/>
    <col min="15105" max="15105" width="0" style="1158" hidden="1" customWidth="1"/>
    <col min="15106" max="15106" width="11.42578125" style="1158" customWidth="1"/>
    <col min="15107" max="15107" width="1.5703125" style="1158" customWidth="1"/>
    <col min="15108" max="15108" width="7.42578125" style="1158" bestFit="1" customWidth="1"/>
    <col min="15109" max="15109" width="1.5703125" style="1158" customWidth="1"/>
    <col min="15110" max="15110" width="12.5703125" style="1158" customWidth="1"/>
    <col min="15111" max="15111" width="1.5703125" style="1158" customWidth="1"/>
    <col min="15112" max="15112" width="20.5703125" style="1158" customWidth="1"/>
    <col min="15113" max="15113" width="2.5703125" style="1158" customWidth="1"/>
    <col min="15114" max="15114" width="10.5703125" style="1158" customWidth="1"/>
    <col min="15115" max="15115" width="1.5703125" style="1158" customWidth="1"/>
    <col min="15116" max="15116" width="10.5703125" style="1158" customWidth="1"/>
    <col min="15117" max="15117" width="1.5703125" style="1158" customWidth="1"/>
    <col min="15118" max="15118" width="12.5703125" style="1158" customWidth="1"/>
    <col min="15119" max="15119" width="1.5703125" style="1158" customWidth="1"/>
    <col min="15120" max="15120" width="22.5703125" style="1158" customWidth="1"/>
    <col min="15121" max="15121" width="4.5703125" style="1158" customWidth="1"/>
    <col min="15122" max="15135" width="0" style="1158" hidden="1" customWidth="1"/>
    <col min="15136" max="15360" width="9.42578125" style="1158"/>
    <col min="15361" max="15361" width="0" style="1158" hidden="1" customWidth="1"/>
    <col min="15362" max="15362" width="11.42578125" style="1158" customWidth="1"/>
    <col min="15363" max="15363" width="1.5703125" style="1158" customWidth="1"/>
    <col min="15364" max="15364" width="7.42578125" style="1158" bestFit="1" customWidth="1"/>
    <col min="15365" max="15365" width="1.5703125" style="1158" customWidth="1"/>
    <col min="15366" max="15366" width="12.5703125" style="1158" customWidth="1"/>
    <col min="15367" max="15367" width="1.5703125" style="1158" customWidth="1"/>
    <col min="15368" max="15368" width="20.5703125" style="1158" customWidth="1"/>
    <col min="15369" max="15369" width="2.5703125" style="1158" customWidth="1"/>
    <col min="15370" max="15370" width="10.5703125" style="1158" customWidth="1"/>
    <col min="15371" max="15371" width="1.5703125" style="1158" customWidth="1"/>
    <col min="15372" max="15372" width="10.5703125" style="1158" customWidth="1"/>
    <col min="15373" max="15373" width="1.5703125" style="1158" customWidth="1"/>
    <col min="15374" max="15374" width="12.5703125" style="1158" customWidth="1"/>
    <col min="15375" max="15375" width="1.5703125" style="1158" customWidth="1"/>
    <col min="15376" max="15376" width="22.5703125" style="1158" customWidth="1"/>
    <col min="15377" max="15377" width="4.5703125" style="1158" customWidth="1"/>
    <col min="15378" max="15391" width="0" style="1158" hidden="1" customWidth="1"/>
    <col min="15392" max="15616" width="9.42578125" style="1158"/>
    <col min="15617" max="15617" width="0" style="1158" hidden="1" customWidth="1"/>
    <col min="15618" max="15618" width="11.42578125" style="1158" customWidth="1"/>
    <col min="15619" max="15619" width="1.5703125" style="1158" customWidth="1"/>
    <col min="15620" max="15620" width="7.42578125" style="1158" bestFit="1" customWidth="1"/>
    <col min="15621" max="15621" width="1.5703125" style="1158" customWidth="1"/>
    <col min="15622" max="15622" width="12.5703125" style="1158" customWidth="1"/>
    <col min="15623" max="15623" width="1.5703125" style="1158" customWidth="1"/>
    <col min="15624" max="15624" width="20.5703125" style="1158" customWidth="1"/>
    <col min="15625" max="15625" width="2.5703125" style="1158" customWidth="1"/>
    <col min="15626" max="15626" width="10.5703125" style="1158" customWidth="1"/>
    <col min="15627" max="15627" width="1.5703125" style="1158" customWidth="1"/>
    <col min="15628" max="15628" width="10.5703125" style="1158" customWidth="1"/>
    <col min="15629" max="15629" width="1.5703125" style="1158" customWidth="1"/>
    <col min="15630" max="15630" width="12.5703125" style="1158" customWidth="1"/>
    <col min="15631" max="15631" width="1.5703125" style="1158" customWidth="1"/>
    <col min="15632" max="15632" width="22.5703125" style="1158" customWidth="1"/>
    <col min="15633" max="15633" width="4.5703125" style="1158" customWidth="1"/>
    <col min="15634" max="15647" width="0" style="1158" hidden="1" customWidth="1"/>
    <col min="15648" max="15872" width="9.42578125" style="1158"/>
    <col min="15873" max="15873" width="0" style="1158" hidden="1" customWidth="1"/>
    <col min="15874" max="15874" width="11.42578125" style="1158" customWidth="1"/>
    <col min="15875" max="15875" width="1.5703125" style="1158" customWidth="1"/>
    <col min="15876" max="15876" width="7.42578125" style="1158" bestFit="1" customWidth="1"/>
    <col min="15877" max="15877" width="1.5703125" style="1158" customWidth="1"/>
    <col min="15878" max="15878" width="12.5703125" style="1158" customWidth="1"/>
    <col min="15879" max="15879" width="1.5703125" style="1158" customWidth="1"/>
    <col min="15880" max="15880" width="20.5703125" style="1158" customWidth="1"/>
    <col min="15881" max="15881" width="2.5703125" style="1158" customWidth="1"/>
    <col min="15882" max="15882" width="10.5703125" style="1158" customWidth="1"/>
    <col min="15883" max="15883" width="1.5703125" style="1158" customWidth="1"/>
    <col min="15884" max="15884" width="10.5703125" style="1158" customWidth="1"/>
    <col min="15885" max="15885" width="1.5703125" style="1158" customWidth="1"/>
    <col min="15886" max="15886" width="12.5703125" style="1158" customWidth="1"/>
    <col min="15887" max="15887" width="1.5703125" style="1158" customWidth="1"/>
    <col min="15888" max="15888" width="22.5703125" style="1158" customWidth="1"/>
    <col min="15889" max="15889" width="4.5703125" style="1158" customWidth="1"/>
    <col min="15890" max="15903" width="0" style="1158" hidden="1" customWidth="1"/>
    <col min="15904" max="16128" width="9.42578125" style="1158"/>
    <col min="16129" max="16129" width="0" style="1158" hidden="1" customWidth="1"/>
    <col min="16130" max="16130" width="11.42578125" style="1158" customWidth="1"/>
    <col min="16131" max="16131" width="1.5703125" style="1158" customWidth="1"/>
    <col min="16132" max="16132" width="7.42578125" style="1158" bestFit="1" customWidth="1"/>
    <col min="16133" max="16133" width="1.5703125" style="1158" customWidth="1"/>
    <col min="16134" max="16134" width="12.5703125" style="1158" customWidth="1"/>
    <col min="16135" max="16135" width="1.5703125" style="1158" customWidth="1"/>
    <col min="16136" max="16136" width="20.5703125" style="1158" customWidth="1"/>
    <col min="16137" max="16137" width="2.5703125" style="1158" customWidth="1"/>
    <col min="16138" max="16138" width="10.5703125" style="1158" customWidth="1"/>
    <col min="16139" max="16139" width="1.5703125" style="1158" customWidth="1"/>
    <col min="16140" max="16140" width="10.5703125" style="1158" customWidth="1"/>
    <col min="16141" max="16141" width="1.5703125" style="1158" customWidth="1"/>
    <col min="16142" max="16142" width="12.5703125" style="1158" customWidth="1"/>
    <col min="16143" max="16143" width="1.5703125" style="1158" customWidth="1"/>
    <col min="16144" max="16144" width="22.5703125" style="1158" customWidth="1"/>
    <col min="16145" max="16145" width="4.5703125" style="1158" customWidth="1"/>
    <col min="16146" max="16159" width="0" style="1158" hidden="1" customWidth="1"/>
    <col min="16160" max="16384" width="9.42578125" style="1158"/>
  </cols>
  <sheetData>
    <row r="1" spans="2:35" ht="25.15" customHeight="1" x14ac:dyDescent="0.25">
      <c r="B1" s="2757" t="str">
        <f>Index!A1</f>
        <v xml:space="preserve">                                                               Office of the State Controller                                                                </v>
      </c>
      <c r="C1" s="2757"/>
      <c r="D1" s="2757"/>
      <c r="E1" s="2757"/>
      <c r="F1" s="2757"/>
      <c r="G1" s="2757"/>
      <c r="H1" s="2757"/>
      <c r="I1" s="2757"/>
      <c r="J1" s="2757"/>
      <c r="K1" s="2757"/>
      <c r="L1" s="2757"/>
      <c r="M1" s="2757"/>
      <c r="N1" s="2757"/>
      <c r="O1" s="2757"/>
      <c r="P1" s="2757"/>
      <c r="Q1" s="2520"/>
      <c r="R1" s="2241"/>
      <c r="S1" s="2241"/>
      <c r="T1" s="2241"/>
      <c r="U1" s="2241"/>
      <c r="V1" s="2241"/>
      <c r="W1" s="2241"/>
      <c r="X1" s="2241"/>
      <c r="Y1" s="2241"/>
      <c r="Z1" s="2241"/>
      <c r="AA1" s="2241"/>
      <c r="AB1" s="2241"/>
      <c r="AC1" s="2241"/>
      <c r="AI1" s="2241" t="str">
        <f>IF(Index!$B$73="na","NA","")</f>
        <v/>
      </c>
    </row>
    <row r="2" spans="2:35" ht="15" customHeight="1" x14ac:dyDescent="0.25">
      <c r="B2" s="2754" t="str">
        <f>Index!A2</f>
        <v>2023 ACFR Worksheets</v>
      </c>
      <c r="C2" s="2754"/>
      <c r="D2" s="2754"/>
      <c r="E2" s="2754"/>
      <c r="F2" s="2754"/>
      <c r="G2" s="2754"/>
      <c r="H2" s="2754"/>
      <c r="I2" s="2754"/>
      <c r="J2" s="2754"/>
      <c r="K2" s="2754"/>
      <c r="L2" s="2754"/>
      <c r="M2" s="2754"/>
      <c r="N2" s="2754"/>
      <c r="O2" s="2754"/>
      <c r="P2" s="2754"/>
      <c r="Q2" s="2520"/>
      <c r="R2" s="2241"/>
      <c r="S2" s="2241"/>
      <c r="T2" s="2241"/>
      <c r="U2" s="2241"/>
      <c r="V2" s="2241"/>
      <c r="W2" s="2241"/>
      <c r="X2" s="2241"/>
      <c r="Y2" s="2241"/>
      <c r="Z2" s="2241"/>
      <c r="AA2" s="2241"/>
      <c r="AB2" s="2241"/>
      <c r="AC2" s="2241"/>
      <c r="AI2" s="2241"/>
    </row>
    <row r="3" spans="2:35" ht="15" customHeight="1" x14ac:dyDescent="0.25">
      <c r="B3" s="2755" t="s">
        <v>1876</v>
      </c>
      <c r="C3" s="2755"/>
      <c r="D3" s="2755"/>
      <c r="E3" s="2755"/>
      <c r="F3" s="2755"/>
      <c r="G3" s="2755"/>
      <c r="H3" s="2755"/>
      <c r="I3" s="2755"/>
      <c r="J3" s="2755"/>
      <c r="K3" s="2755"/>
      <c r="L3" s="2755"/>
      <c r="M3" s="2755"/>
      <c r="N3" s="2755"/>
      <c r="O3" s="2755"/>
      <c r="P3" s="2755"/>
      <c r="Q3" s="2520"/>
      <c r="R3" s="2241"/>
      <c r="S3" s="2241"/>
      <c r="T3" s="2241"/>
      <c r="U3" s="2241"/>
      <c r="V3" s="2241"/>
      <c r="W3" s="2241"/>
      <c r="X3" s="2241"/>
      <c r="Y3" s="2241"/>
      <c r="Z3" s="2241"/>
      <c r="AA3" s="2241"/>
      <c r="AB3" s="2241"/>
      <c r="AC3" s="2241"/>
      <c r="AI3" s="2241"/>
    </row>
    <row r="4" spans="2:35" ht="15" customHeight="1" x14ac:dyDescent="0.25">
      <c r="B4" s="1159"/>
      <c r="C4" s="1160"/>
      <c r="D4" s="1160"/>
      <c r="E4" s="1160"/>
      <c r="F4" s="1160"/>
      <c r="G4" s="1160"/>
      <c r="H4" s="1160"/>
      <c r="I4" s="1159"/>
      <c r="J4" s="1160"/>
      <c r="K4" s="1160"/>
      <c r="L4" s="1160"/>
      <c r="M4" s="1160"/>
      <c r="N4" s="1160"/>
      <c r="O4" s="2758" t="s">
        <v>1592</v>
      </c>
      <c r="P4" s="2758"/>
      <c r="Q4" s="2241"/>
      <c r="R4" s="2241"/>
      <c r="S4" s="2241"/>
      <c r="T4" s="2241"/>
      <c r="U4" s="2241"/>
      <c r="V4" s="2241"/>
      <c r="W4" s="2241"/>
      <c r="X4" s="2241"/>
      <c r="Y4" s="2241"/>
      <c r="Z4" s="2241"/>
      <c r="AA4" s="2241"/>
      <c r="AB4" s="2241"/>
      <c r="AC4" s="2241"/>
    </row>
    <row r="5" spans="2:35" s="1153" customFormat="1" ht="15" customHeight="1" x14ac:dyDescent="0.2">
      <c r="B5" s="2320" t="s">
        <v>317</v>
      </c>
      <c r="C5" s="1163"/>
      <c r="D5" s="2317" t="str">
        <f>AgyIdx</f>
        <v>01</v>
      </c>
      <c r="E5" s="1189"/>
      <c r="F5" s="1189"/>
      <c r="G5" s="1190"/>
      <c r="H5" s="1189"/>
      <c r="I5" s="1163"/>
      <c r="J5" s="2320" t="s">
        <v>319</v>
      </c>
      <c r="K5" s="1164"/>
      <c r="L5" s="2756" t="str">
        <f>CONCATENATE(Index!$E$12," ",Index!$E$14)</f>
        <v xml:space="preserve"> </v>
      </c>
      <c r="M5" s="2756"/>
      <c r="N5" s="2756"/>
      <c r="O5" s="2756"/>
      <c r="P5" s="2756"/>
    </row>
    <row r="6" spans="2:35" s="1153" customFormat="1" ht="15" customHeight="1" x14ac:dyDescent="0.2">
      <c r="B6" s="2320" t="s">
        <v>318</v>
      </c>
      <c r="C6" s="1163"/>
      <c r="D6" s="2759" t="str">
        <f>Index!E11</f>
        <v>North Carolina General Assembly</v>
      </c>
      <c r="E6" s="2759"/>
      <c r="F6" s="2759"/>
      <c r="G6" s="2759"/>
      <c r="H6" s="2759"/>
      <c r="I6" s="1163"/>
      <c r="J6" s="2320" t="s">
        <v>71</v>
      </c>
      <c r="K6" s="1163"/>
      <c r="L6" s="2760">
        <f>Index!E13</f>
        <v>0</v>
      </c>
      <c r="M6" s="2760"/>
      <c r="N6" s="2760"/>
      <c r="O6" s="2760"/>
      <c r="P6" s="2760"/>
    </row>
    <row r="7" spans="2:35" s="1153" customFormat="1" ht="15" customHeight="1" thickBot="1" x14ac:dyDescent="0.25">
      <c r="B7" s="1168"/>
      <c r="C7" s="1168"/>
      <c r="D7" s="1168"/>
      <c r="E7" s="1168"/>
      <c r="F7" s="1168"/>
      <c r="G7" s="1168"/>
      <c r="H7" s="1168"/>
      <c r="I7" s="1169"/>
      <c r="J7" s="1168"/>
      <c r="K7" s="1168"/>
      <c r="L7" s="1168"/>
      <c r="M7" s="1168"/>
      <c r="N7" s="1168"/>
      <c r="O7" s="1168"/>
      <c r="P7" s="1168"/>
    </row>
    <row r="8" spans="2:35" s="1153" customFormat="1" ht="15" customHeight="1" x14ac:dyDescent="0.2">
      <c r="B8" s="1163"/>
      <c r="C8" s="1163"/>
      <c r="D8" s="1163"/>
      <c r="E8" s="1163"/>
      <c r="F8" s="1163"/>
      <c r="G8" s="1163"/>
      <c r="H8" s="1163"/>
      <c r="I8" s="1170"/>
      <c r="J8" s="1163"/>
      <c r="K8" s="1163"/>
      <c r="L8" s="1163"/>
      <c r="M8" s="1163"/>
      <c r="N8" s="1163"/>
      <c r="O8" s="1163"/>
      <c r="P8" s="1163"/>
    </row>
    <row r="9" spans="2:35" s="1153" customFormat="1" ht="15" customHeight="1" thickBot="1" x14ac:dyDescent="0.25">
      <c r="B9" s="2761" t="s">
        <v>1877</v>
      </c>
      <c r="C9" s="2761"/>
      <c r="D9" s="2761"/>
      <c r="E9" s="2761"/>
      <c r="F9" s="2761"/>
      <c r="G9" s="2761"/>
      <c r="H9" s="2761"/>
      <c r="I9" s="1170"/>
      <c r="J9" s="2761" t="s">
        <v>1878</v>
      </c>
      <c r="K9" s="2761"/>
      <c r="L9" s="2761"/>
      <c r="M9" s="2761"/>
      <c r="N9" s="2761"/>
      <c r="O9" s="2761"/>
      <c r="P9" s="2761"/>
    </row>
    <row r="10" spans="2:35" s="1153" customFormat="1" ht="15" customHeight="1" x14ac:dyDescent="0.2">
      <c r="B10" s="1163"/>
      <c r="C10" s="1163"/>
      <c r="D10" s="1163"/>
      <c r="E10" s="1163"/>
      <c r="F10" s="1171" t="s">
        <v>1823</v>
      </c>
      <c r="G10" s="1163"/>
      <c r="H10" s="1163"/>
      <c r="I10" s="1171"/>
      <c r="J10" s="1163"/>
      <c r="K10" s="1163"/>
      <c r="L10" s="1163"/>
      <c r="M10" s="1163"/>
      <c r="N10" s="1171" t="s">
        <v>1825</v>
      </c>
      <c r="O10" s="1163"/>
      <c r="P10" s="1163"/>
    </row>
    <row r="11" spans="2:35" s="1153" customFormat="1" ht="15" customHeight="1" x14ac:dyDescent="0.2">
      <c r="B11" s="1171" t="s">
        <v>1879</v>
      </c>
      <c r="C11" s="1163"/>
      <c r="D11" s="1171" t="s">
        <v>1596</v>
      </c>
      <c r="E11" s="1163"/>
      <c r="F11" s="1171" t="s">
        <v>748</v>
      </c>
      <c r="G11" s="1163"/>
      <c r="H11" s="1163"/>
      <c r="I11" s="1171"/>
      <c r="J11" s="1171" t="s">
        <v>1879</v>
      </c>
      <c r="K11" s="1163"/>
      <c r="L11" s="1171" t="s">
        <v>1596</v>
      </c>
      <c r="M11" s="1163"/>
      <c r="N11" s="1171" t="s">
        <v>748</v>
      </c>
      <c r="O11" s="1163"/>
      <c r="P11" s="1163"/>
    </row>
    <row r="12" spans="2:35" s="1153" customFormat="1" ht="15" customHeight="1" thickBot="1" x14ac:dyDescent="0.25">
      <c r="B12" s="2318" t="s">
        <v>1880</v>
      </c>
      <c r="C12" s="1171"/>
      <c r="D12" s="2318" t="s">
        <v>1880</v>
      </c>
      <c r="E12" s="1171"/>
      <c r="F12" s="2318" t="s">
        <v>1881</v>
      </c>
      <c r="G12" s="1163"/>
      <c r="H12" s="2318" t="s">
        <v>1347</v>
      </c>
      <c r="I12" s="1171"/>
      <c r="J12" s="2318" t="s">
        <v>1880</v>
      </c>
      <c r="K12" s="1171"/>
      <c r="L12" s="2318" t="s">
        <v>1880</v>
      </c>
      <c r="M12" s="1171"/>
      <c r="N12" s="2318" t="s">
        <v>1882</v>
      </c>
      <c r="O12" s="1163"/>
      <c r="P12" s="2318" t="s">
        <v>1347</v>
      </c>
      <c r="Q12" s="1173" t="s">
        <v>50</v>
      </c>
      <c r="R12" s="1173"/>
      <c r="S12" s="1173"/>
      <c r="T12" s="1173"/>
      <c r="U12" s="1173"/>
      <c r="V12" s="1173"/>
      <c r="W12" s="1173"/>
      <c r="X12" s="1173"/>
      <c r="Y12" s="1173"/>
      <c r="Z12" s="1173"/>
      <c r="AA12" s="1173"/>
      <c r="AB12" s="1173"/>
      <c r="AC12" s="1173"/>
    </row>
    <row r="13" spans="2:35" s="1153" customFormat="1" ht="15" customHeight="1" x14ac:dyDescent="0.2">
      <c r="B13" s="1241" t="s">
        <v>1883</v>
      </c>
      <c r="C13" s="1242"/>
      <c r="D13" s="1243">
        <v>1400</v>
      </c>
      <c r="E13" s="1242"/>
      <c r="F13" s="1243">
        <v>438101</v>
      </c>
      <c r="G13" s="1242"/>
      <c r="H13" s="1244">
        <v>100000</v>
      </c>
      <c r="I13" s="1245"/>
      <c r="J13" s="1246" t="s">
        <v>1884</v>
      </c>
      <c r="K13" s="1242"/>
      <c r="L13" s="1243">
        <v>1100</v>
      </c>
      <c r="M13" s="1242"/>
      <c r="N13" s="1243">
        <v>538101</v>
      </c>
      <c r="O13" s="1245"/>
      <c r="P13" s="1244">
        <v>100000</v>
      </c>
      <c r="Q13" s="1247" t="str">
        <f>IF(AND(R13,X13,AD13,AE13),"","*")</f>
        <v/>
      </c>
      <c r="R13" s="302" t="b">
        <f>IF(OR(S13=0,S13=4),TRUE, FALSE)</f>
        <v>1</v>
      </c>
      <c r="S13" s="302">
        <f>COUNTIF(T13:W13,FALSE)</f>
        <v>4</v>
      </c>
      <c r="T13" s="1248" t="b">
        <f>ISBLANK(B13)</f>
        <v>0</v>
      </c>
      <c r="U13" s="1248" t="b">
        <f>ISBLANK(D13)</f>
        <v>0</v>
      </c>
      <c r="V13" s="1248" t="b">
        <f>ISBLANK(F13)</f>
        <v>0</v>
      </c>
      <c r="W13" s="1248" t="b">
        <f>ISBLANK(H13)</f>
        <v>0</v>
      </c>
      <c r="X13" s="302" t="b">
        <f>IF(OR(Y13=0,Y13=4),TRUE, FALSE)</f>
        <v>1</v>
      </c>
      <c r="Y13" s="302">
        <f>COUNTIF(Z13:AC13,FALSE)</f>
        <v>4</v>
      </c>
      <c r="Z13" s="1248" t="b">
        <f>ISBLANK(J13)</f>
        <v>0</v>
      </c>
      <c r="AA13" s="1248" t="b">
        <f>ISBLANK(L13)</f>
        <v>0</v>
      </c>
      <c r="AB13" s="1248" t="b">
        <f>ISBLANK(N13)</f>
        <v>0</v>
      </c>
      <c r="AC13" s="1248" t="b">
        <f>ISBLANK(P13)</f>
        <v>0</v>
      </c>
      <c r="AD13" s="1153" t="b">
        <f>IF(ISBLANK(F13),TRUE,VALUE(LEFT(F13,4))=4381)</f>
        <v>1</v>
      </c>
      <c r="AE13" s="1153" t="b">
        <f>IF(ISBLANK(N13),TRUE,VALUE(LEFT(N13,4))=5381)</f>
        <v>1</v>
      </c>
      <c r="AI13" s="1249" t="s">
        <v>1885</v>
      </c>
    </row>
    <row r="14" spans="2:35" s="1153" customFormat="1" ht="15" customHeight="1" x14ac:dyDescent="0.2">
      <c r="B14" s="1174"/>
      <c r="C14" s="1175"/>
      <c r="D14" s="1176"/>
      <c r="E14" s="1175"/>
      <c r="F14" s="1176"/>
      <c r="G14" s="1175"/>
      <c r="H14" s="1177"/>
      <c r="I14" s="1163"/>
      <c r="J14" s="1178"/>
      <c r="K14" s="1179"/>
      <c r="L14" s="1176"/>
      <c r="M14" s="1175"/>
      <c r="N14" s="1176"/>
      <c r="O14" s="1163"/>
      <c r="P14" s="1177"/>
      <c r="Q14" s="313" t="str">
        <f t="shared" ref="Q14:Q27" si="0">IF(AND(R14,X14,AD14,AE14),"","*")</f>
        <v/>
      </c>
      <c r="R14" s="1142" t="b">
        <f t="shared" ref="R14:R27" si="1">IF(OR(S14=0,S14=4),TRUE, FALSE)</f>
        <v>1</v>
      </c>
      <c r="S14" s="1142">
        <f t="shared" ref="S14:S27" si="2">COUNTIF(T14:W14,FALSE)</f>
        <v>0</v>
      </c>
      <c r="T14" s="1143" t="b">
        <f t="shared" ref="T14:T27" si="3">ISBLANK(B14)</f>
        <v>1</v>
      </c>
      <c r="U14" s="1143" t="b">
        <f t="shared" ref="U14:U27" si="4">ISBLANK(D14)</f>
        <v>1</v>
      </c>
      <c r="V14" s="1143" t="b">
        <f t="shared" ref="V14:V27" si="5">ISBLANK(F14)</f>
        <v>1</v>
      </c>
      <c r="W14" s="1143" t="b">
        <f t="shared" ref="W14:W27" si="6">ISBLANK(H14)</f>
        <v>1</v>
      </c>
      <c r="X14" s="1142" t="b">
        <f t="shared" ref="X14:X27" si="7">IF(OR(Y14=0,Y14=4),TRUE, FALSE)</f>
        <v>1</v>
      </c>
      <c r="Y14" s="1142">
        <f t="shared" ref="Y14:Y27" si="8">COUNTIF(Z14:AC14,FALSE)</f>
        <v>0</v>
      </c>
      <c r="Z14" s="1143" t="b">
        <f t="shared" ref="Z14:Z27" si="9">ISBLANK(J14)</f>
        <v>1</v>
      </c>
      <c r="AA14" s="1143" t="b">
        <f t="shared" ref="AA14:AA27" si="10">ISBLANK(L14)</f>
        <v>1</v>
      </c>
      <c r="AB14" s="1143" t="b">
        <f t="shared" ref="AB14:AB27" si="11">ISBLANK(N14)</f>
        <v>1</v>
      </c>
      <c r="AC14" s="1143" t="b">
        <f t="shared" ref="AC14:AC27" si="12">ISBLANK(P14)</f>
        <v>1</v>
      </c>
      <c r="AD14" s="1144" t="b">
        <f t="shared" ref="AD14:AD27" si="13">IF(ISBLANK(F14),TRUE,VALUE(LEFT(F14,4))=4381)</f>
        <v>1</v>
      </c>
      <c r="AE14" s="1144" t="b">
        <f t="shared" ref="AE14:AE27" si="14">IF(ISBLANK(N14),TRUE,VALUE(LEFT(N14,4))=5381)</f>
        <v>1</v>
      </c>
    </row>
    <row r="15" spans="2:35" s="1153" customFormat="1" ht="15" customHeight="1" x14ac:dyDescent="0.2">
      <c r="B15" s="1174"/>
      <c r="C15" s="1175"/>
      <c r="D15" s="1176"/>
      <c r="E15" s="1175"/>
      <c r="F15" s="1176"/>
      <c r="G15" s="1175"/>
      <c r="H15" s="1177"/>
      <c r="I15" s="1163"/>
      <c r="J15" s="1178"/>
      <c r="K15" s="1179"/>
      <c r="L15" s="1176"/>
      <c r="M15" s="1175"/>
      <c r="N15" s="1176"/>
      <c r="O15" s="1163"/>
      <c r="P15" s="1177"/>
      <c r="Q15" s="313" t="str">
        <f t="shared" si="0"/>
        <v/>
      </c>
      <c r="R15" s="1142" t="b">
        <f t="shared" si="1"/>
        <v>1</v>
      </c>
      <c r="S15" s="1142">
        <f t="shared" si="2"/>
        <v>0</v>
      </c>
      <c r="T15" s="1143" t="b">
        <f t="shared" si="3"/>
        <v>1</v>
      </c>
      <c r="U15" s="1143" t="b">
        <f t="shared" si="4"/>
        <v>1</v>
      </c>
      <c r="V15" s="1143" t="b">
        <f t="shared" si="5"/>
        <v>1</v>
      </c>
      <c r="W15" s="1143" t="b">
        <f t="shared" si="6"/>
        <v>1</v>
      </c>
      <c r="X15" s="1142" t="b">
        <f t="shared" si="7"/>
        <v>1</v>
      </c>
      <c r="Y15" s="1142">
        <f t="shared" si="8"/>
        <v>0</v>
      </c>
      <c r="Z15" s="1143" t="b">
        <f t="shared" si="9"/>
        <v>1</v>
      </c>
      <c r="AA15" s="1143" t="b">
        <f t="shared" si="10"/>
        <v>1</v>
      </c>
      <c r="AB15" s="1143" t="b">
        <f t="shared" si="11"/>
        <v>1</v>
      </c>
      <c r="AC15" s="1143" t="b">
        <f t="shared" si="12"/>
        <v>1</v>
      </c>
      <c r="AD15" s="1144" t="b">
        <f t="shared" si="13"/>
        <v>1</v>
      </c>
      <c r="AE15" s="1144" t="b">
        <f t="shared" si="14"/>
        <v>1</v>
      </c>
    </row>
    <row r="16" spans="2:35" s="1153" customFormat="1" ht="15" customHeight="1" x14ac:dyDescent="0.2">
      <c r="B16" s="1174"/>
      <c r="C16" s="1175"/>
      <c r="D16" s="1176"/>
      <c r="E16" s="1175"/>
      <c r="F16" s="1176"/>
      <c r="G16" s="1175"/>
      <c r="H16" s="1177"/>
      <c r="I16" s="1163"/>
      <c r="J16" s="1178"/>
      <c r="K16" s="1179"/>
      <c r="L16" s="1176"/>
      <c r="M16" s="1175"/>
      <c r="N16" s="1176"/>
      <c r="O16" s="1163"/>
      <c r="P16" s="1177"/>
      <c r="Q16" s="313" t="str">
        <f t="shared" si="0"/>
        <v/>
      </c>
      <c r="R16" s="1142" t="b">
        <f t="shared" si="1"/>
        <v>1</v>
      </c>
      <c r="S16" s="1142">
        <f t="shared" si="2"/>
        <v>0</v>
      </c>
      <c r="T16" s="1143" t="b">
        <f t="shared" si="3"/>
        <v>1</v>
      </c>
      <c r="U16" s="1143" t="b">
        <f t="shared" si="4"/>
        <v>1</v>
      </c>
      <c r="V16" s="1143" t="b">
        <f t="shared" si="5"/>
        <v>1</v>
      </c>
      <c r="W16" s="1143" t="b">
        <f t="shared" si="6"/>
        <v>1</v>
      </c>
      <c r="X16" s="1142" t="b">
        <f t="shared" si="7"/>
        <v>1</v>
      </c>
      <c r="Y16" s="1142">
        <f t="shared" si="8"/>
        <v>0</v>
      </c>
      <c r="Z16" s="1143" t="b">
        <f t="shared" si="9"/>
        <v>1</v>
      </c>
      <c r="AA16" s="1143" t="b">
        <f t="shared" si="10"/>
        <v>1</v>
      </c>
      <c r="AB16" s="1143" t="b">
        <f t="shared" si="11"/>
        <v>1</v>
      </c>
      <c r="AC16" s="1143" t="b">
        <f t="shared" si="12"/>
        <v>1</v>
      </c>
      <c r="AD16" s="1144" t="b">
        <f t="shared" si="13"/>
        <v>1</v>
      </c>
      <c r="AE16" s="1144" t="b">
        <f t="shared" si="14"/>
        <v>1</v>
      </c>
    </row>
    <row r="17" spans="2:31" s="1153" customFormat="1" ht="15" customHeight="1" x14ac:dyDescent="0.2">
      <c r="B17" s="1174"/>
      <c r="C17" s="1175"/>
      <c r="D17" s="1176"/>
      <c r="E17" s="1175"/>
      <c r="F17" s="1176"/>
      <c r="G17" s="1175"/>
      <c r="H17" s="1177"/>
      <c r="I17" s="1163"/>
      <c r="J17" s="1178"/>
      <c r="K17" s="1179"/>
      <c r="L17" s="1176"/>
      <c r="M17" s="1175"/>
      <c r="N17" s="1176"/>
      <c r="O17" s="1163"/>
      <c r="P17" s="1177"/>
      <c r="Q17" s="313" t="str">
        <f t="shared" si="0"/>
        <v/>
      </c>
      <c r="R17" s="1142" t="b">
        <f t="shared" si="1"/>
        <v>1</v>
      </c>
      <c r="S17" s="1142">
        <f t="shared" si="2"/>
        <v>0</v>
      </c>
      <c r="T17" s="1143" t="b">
        <f t="shared" si="3"/>
        <v>1</v>
      </c>
      <c r="U17" s="1143" t="b">
        <f t="shared" si="4"/>
        <v>1</v>
      </c>
      <c r="V17" s="1143" t="b">
        <f t="shared" si="5"/>
        <v>1</v>
      </c>
      <c r="W17" s="1143" t="b">
        <f t="shared" si="6"/>
        <v>1</v>
      </c>
      <c r="X17" s="1142" t="b">
        <f t="shared" si="7"/>
        <v>1</v>
      </c>
      <c r="Y17" s="1142">
        <f t="shared" si="8"/>
        <v>0</v>
      </c>
      <c r="Z17" s="1143" t="b">
        <f t="shared" si="9"/>
        <v>1</v>
      </c>
      <c r="AA17" s="1143" t="b">
        <f t="shared" si="10"/>
        <v>1</v>
      </c>
      <c r="AB17" s="1143" t="b">
        <f t="shared" si="11"/>
        <v>1</v>
      </c>
      <c r="AC17" s="1143" t="b">
        <f t="shared" si="12"/>
        <v>1</v>
      </c>
      <c r="AD17" s="1144" t="b">
        <f t="shared" si="13"/>
        <v>1</v>
      </c>
      <c r="AE17" s="1144" t="b">
        <f t="shared" si="14"/>
        <v>1</v>
      </c>
    </row>
    <row r="18" spans="2:31" s="1153" customFormat="1" ht="15" customHeight="1" x14ac:dyDescent="0.2">
      <c r="B18" s="1174"/>
      <c r="C18" s="1175"/>
      <c r="D18" s="1176"/>
      <c r="E18" s="1175"/>
      <c r="F18" s="1176"/>
      <c r="G18" s="1175"/>
      <c r="H18" s="1177"/>
      <c r="I18" s="1163"/>
      <c r="J18" s="1178"/>
      <c r="K18" s="1179"/>
      <c r="L18" s="1176"/>
      <c r="M18" s="1175"/>
      <c r="N18" s="1176"/>
      <c r="O18" s="1163"/>
      <c r="P18" s="1177"/>
      <c r="Q18" s="313" t="str">
        <f t="shared" si="0"/>
        <v/>
      </c>
      <c r="R18" s="1142" t="b">
        <f t="shared" si="1"/>
        <v>1</v>
      </c>
      <c r="S18" s="1142">
        <f t="shared" si="2"/>
        <v>0</v>
      </c>
      <c r="T18" s="1143" t="b">
        <f t="shared" si="3"/>
        <v>1</v>
      </c>
      <c r="U18" s="1143" t="b">
        <f t="shared" si="4"/>
        <v>1</v>
      </c>
      <c r="V18" s="1143" t="b">
        <f t="shared" si="5"/>
        <v>1</v>
      </c>
      <c r="W18" s="1143" t="b">
        <f t="shared" si="6"/>
        <v>1</v>
      </c>
      <c r="X18" s="1142" t="b">
        <f t="shared" si="7"/>
        <v>1</v>
      </c>
      <c r="Y18" s="1142">
        <f t="shared" si="8"/>
        <v>0</v>
      </c>
      <c r="Z18" s="1143" t="b">
        <f t="shared" si="9"/>
        <v>1</v>
      </c>
      <c r="AA18" s="1143" t="b">
        <f t="shared" si="10"/>
        <v>1</v>
      </c>
      <c r="AB18" s="1143" t="b">
        <f t="shared" si="11"/>
        <v>1</v>
      </c>
      <c r="AC18" s="1143" t="b">
        <f t="shared" si="12"/>
        <v>1</v>
      </c>
      <c r="AD18" s="1144" t="b">
        <f t="shared" si="13"/>
        <v>1</v>
      </c>
      <c r="AE18" s="1144" t="b">
        <f t="shared" si="14"/>
        <v>1</v>
      </c>
    </row>
    <row r="19" spans="2:31" s="1153" customFormat="1" ht="15" customHeight="1" x14ac:dyDescent="0.2">
      <c r="B19" s="1174"/>
      <c r="C19" s="1175"/>
      <c r="D19" s="1176"/>
      <c r="E19" s="1175"/>
      <c r="F19" s="1176"/>
      <c r="G19" s="1175"/>
      <c r="H19" s="1177"/>
      <c r="I19" s="1163"/>
      <c r="J19" s="1178"/>
      <c r="K19" s="1179"/>
      <c r="L19" s="1176"/>
      <c r="M19" s="1175"/>
      <c r="N19" s="1176"/>
      <c r="O19" s="1163"/>
      <c r="P19" s="1177"/>
      <c r="Q19" s="313" t="str">
        <f t="shared" si="0"/>
        <v/>
      </c>
      <c r="R19" s="1142" t="b">
        <f t="shared" si="1"/>
        <v>1</v>
      </c>
      <c r="S19" s="1142">
        <f t="shared" si="2"/>
        <v>0</v>
      </c>
      <c r="T19" s="1143" t="b">
        <f t="shared" si="3"/>
        <v>1</v>
      </c>
      <c r="U19" s="1143" t="b">
        <f t="shared" si="4"/>
        <v>1</v>
      </c>
      <c r="V19" s="1143" t="b">
        <f t="shared" si="5"/>
        <v>1</v>
      </c>
      <c r="W19" s="1143" t="b">
        <f t="shared" si="6"/>
        <v>1</v>
      </c>
      <c r="X19" s="1142" t="b">
        <f t="shared" si="7"/>
        <v>1</v>
      </c>
      <c r="Y19" s="1142">
        <f t="shared" si="8"/>
        <v>0</v>
      </c>
      <c r="Z19" s="1143" t="b">
        <f t="shared" si="9"/>
        <v>1</v>
      </c>
      <c r="AA19" s="1143" t="b">
        <f t="shared" si="10"/>
        <v>1</v>
      </c>
      <c r="AB19" s="1143" t="b">
        <f t="shared" si="11"/>
        <v>1</v>
      </c>
      <c r="AC19" s="1143" t="b">
        <f t="shared" si="12"/>
        <v>1</v>
      </c>
      <c r="AD19" s="1144" t="b">
        <f t="shared" si="13"/>
        <v>1</v>
      </c>
      <c r="AE19" s="1144" t="b">
        <f t="shared" si="14"/>
        <v>1</v>
      </c>
    </row>
    <row r="20" spans="2:31" s="1153" customFormat="1" ht="15" customHeight="1" x14ac:dyDescent="0.2">
      <c r="B20" s="1174"/>
      <c r="C20" s="1175"/>
      <c r="D20" s="1176"/>
      <c r="E20" s="1175"/>
      <c r="F20" s="1176"/>
      <c r="G20" s="1175"/>
      <c r="H20" s="1177"/>
      <c r="I20" s="1163"/>
      <c r="J20" s="1178"/>
      <c r="K20" s="1179"/>
      <c r="L20" s="1176"/>
      <c r="M20" s="1175"/>
      <c r="N20" s="1176"/>
      <c r="O20" s="1163"/>
      <c r="P20" s="1177"/>
      <c r="Q20" s="313" t="str">
        <f t="shared" si="0"/>
        <v/>
      </c>
      <c r="R20" s="1142" t="b">
        <f t="shared" si="1"/>
        <v>1</v>
      </c>
      <c r="S20" s="1142">
        <f t="shared" si="2"/>
        <v>0</v>
      </c>
      <c r="T20" s="1143" t="b">
        <f t="shared" si="3"/>
        <v>1</v>
      </c>
      <c r="U20" s="1143" t="b">
        <f t="shared" si="4"/>
        <v>1</v>
      </c>
      <c r="V20" s="1143" t="b">
        <f t="shared" si="5"/>
        <v>1</v>
      </c>
      <c r="W20" s="1143" t="b">
        <f t="shared" si="6"/>
        <v>1</v>
      </c>
      <c r="X20" s="1142" t="b">
        <f t="shared" si="7"/>
        <v>1</v>
      </c>
      <c r="Y20" s="1142">
        <f t="shared" si="8"/>
        <v>0</v>
      </c>
      <c r="Z20" s="1143" t="b">
        <f t="shared" si="9"/>
        <v>1</v>
      </c>
      <c r="AA20" s="1143" t="b">
        <f t="shared" si="10"/>
        <v>1</v>
      </c>
      <c r="AB20" s="1143" t="b">
        <f t="shared" si="11"/>
        <v>1</v>
      </c>
      <c r="AC20" s="1143" t="b">
        <f t="shared" si="12"/>
        <v>1</v>
      </c>
      <c r="AD20" s="1144" t="b">
        <f t="shared" si="13"/>
        <v>1</v>
      </c>
      <c r="AE20" s="1144" t="b">
        <f t="shared" si="14"/>
        <v>1</v>
      </c>
    </row>
    <row r="21" spans="2:31" s="1153" customFormat="1" ht="15" customHeight="1" x14ac:dyDescent="0.2">
      <c r="B21" s="1178"/>
      <c r="C21" s="1175"/>
      <c r="D21" s="1176"/>
      <c r="E21" s="1175"/>
      <c r="F21" s="1176"/>
      <c r="G21" s="1175"/>
      <c r="H21" s="1177"/>
      <c r="I21" s="1163"/>
      <c r="J21" s="1178"/>
      <c r="K21" s="1179"/>
      <c r="L21" s="1176"/>
      <c r="M21" s="1175"/>
      <c r="N21" s="1176"/>
      <c r="O21" s="1163"/>
      <c r="P21" s="1177"/>
      <c r="Q21" s="313" t="str">
        <f t="shared" si="0"/>
        <v/>
      </c>
      <c r="R21" s="1142" t="b">
        <f t="shared" si="1"/>
        <v>1</v>
      </c>
      <c r="S21" s="1142">
        <f t="shared" si="2"/>
        <v>0</v>
      </c>
      <c r="T21" s="1143" t="b">
        <f t="shared" si="3"/>
        <v>1</v>
      </c>
      <c r="U21" s="1143" t="b">
        <f t="shared" si="4"/>
        <v>1</v>
      </c>
      <c r="V21" s="1143" t="b">
        <f t="shared" si="5"/>
        <v>1</v>
      </c>
      <c r="W21" s="1143" t="b">
        <f t="shared" si="6"/>
        <v>1</v>
      </c>
      <c r="X21" s="1142" t="b">
        <f t="shared" si="7"/>
        <v>1</v>
      </c>
      <c r="Y21" s="1142">
        <f t="shared" si="8"/>
        <v>0</v>
      </c>
      <c r="Z21" s="1143" t="b">
        <f t="shared" si="9"/>
        <v>1</v>
      </c>
      <c r="AA21" s="1143" t="b">
        <f t="shared" si="10"/>
        <v>1</v>
      </c>
      <c r="AB21" s="1143" t="b">
        <f t="shared" si="11"/>
        <v>1</v>
      </c>
      <c r="AC21" s="1143" t="b">
        <f t="shared" si="12"/>
        <v>1</v>
      </c>
      <c r="AD21" s="1144" t="b">
        <f t="shared" si="13"/>
        <v>1</v>
      </c>
      <c r="AE21" s="1144" t="b">
        <f t="shared" si="14"/>
        <v>1</v>
      </c>
    </row>
    <row r="22" spans="2:31" s="1153" customFormat="1" ht="15" customHeight="1" x14ac:dyDescent="0.2">
      <c r="B22" s="1178"/>
      <c r="C22" s="1175"/>
      <c r="D22" s="1176"/>
      <c r="E22" s="1175"/>
      <c r="F22" s="1176"/>
      <c r="G22" s="1175"/>
      <c r="H22" s="1177"/>
      <c r="I22" s="1163"/>
      <c r="J22" s="1178"/>
      <c r="K22" s="1179"/>
      <c r="L22" s="1176"/>
      <c r="M22" s="1175"/>
      <c r="N22" s="1176"/>
      <c r="O22" s="1163"/>
      <c r="P22" s="1177"/>
      <c r="Q22" s="313" t="str">
        <f t="shared" si="0"/>
        <v/>
      </c>
      <c r="R22" s="1142" t="b">
        <f t="shared" si="1"/>
        <v>1</v>
      </c>
      <c r="S22" s="1142">
        <f t="shared" si="2"/>
        <v>0</v>
      </c>
      <c r="T22" s="1143" t="b">
        <f t="shared" si="3"/>
        <v>1</v>
      </c>
      <c r="U22" s="1143" t="b">
        <f t="shared" si="4"/>
        <v>1</v>
      </c>
      <c r="V22" s="1143" t="b">
        <f t="shared" si="5"/>
        <v>1</v>
      </c>
      <c r="W22" s="1143" t="b">
        <f t="shared" si="6"/>
        <v>1</v>
      </c>
      <c r="X22" s="1142" t="b">
        <f t="shared" si="7"/>
        <v>1</v>
      </c>
      <c r="Y22" s="1142">
        <f t="shared" si="8"/>
        <v>0</v>
      </c>
      <c r="Z22" s="1143" t="b">
        <f t="shared" si="9"/>
        <v>1</v>
      </c>
      <c r="AA22" s="1143" t="b">
        <f t="shared" si="10"/>
        <v>1</v>
      </c>
      <c r="AB22" s="1143" t="b">
        <f t="shared" si="11"/>
        <v>1</v>
      </c>
      <c r="AC22" s="1143" t="b">
        <f t="shared" si="12"/>
        <v>1</v>
      </c>
      <c r="AD22" s="1144" t="b">
        <f t="shared" si="13"/>
        <v>1</v>
      </c>
      <c r="AE22" s="1144" t="b">
        <f t="shared" si="14"/>
        <v>1</v>
      </c>
    </row>
    <row r="23" spans="2:31" s="1153" customFormat="1" ht="15" customHeight="1" x14ac:dyDescent="0.2">
      <c r="B23" s="1178"/>
      <c r="C23" s="1175"/>
      <c r="D23" s="1176"/>
      <c r="E23" s="1175"/>
      <c r="F23" s="1176"/>
      <c r="G23" s="1175"/>
      <c r="H23" s="1177"/>
      <c r="I23" s="1163"/>
      <c r="J23" s="1178"/>
      <c r="K23" s="1179"/>
      <c r="L23" s="1176"/>
      <c r="M23" s="1175"/>
      <c r="N23" s="1176"/>
      <c r="O23" s="1163"/>
      <c r="P23" s="1177"/>
      <c r="Q23" s="313" t="str">
        <f t="shared" si="0"/>
        <v/>
      </c>
      <c r="R23" s="1142" t="b">
        <f t="shared" si="1"/>
        <v>1</v>
      </c>
      <c r="S23" s="1142">
        <f t="shared" si="2"/>
        <v>0</v>
      </c>
      <c r="T23" s="1143" t="b">
        <f t="shared" si="3"/>
        <v>1</v>
      </c>
      <c r="U23" s="1143" t="b">
        <f t="shared" si="4"/>
        <v>1</v>
      </c>
      <c r="V23" s="1143" t="b">
        <f t="shared" si="5"/>
        <v>1</v>
      </c>
      <c r="W23" s="1143" t="b">
        <f t="shared" si="6"/>
        <v>1</v>
      </c>
      <c r="X23" s="1142" t="b">
        <f t="shared" si="7"/>
        <v>1</v>
      </c>
      <c r="Y23" s="1142">
        <f t="shared" si="8"/>
        <v>0</v>
      </c>
      <c r="Z23" s="1143" t="b">
        <f t="shared" si="9"/>
        <v>1</v>
      </c>
      <c r="AA23" s="1143" t="b">
        <f t="shared" si="10"/>
        <v>1</v>
      </c>
      <c r="AB23" s="1143" t="b">
        <f t="shared" si="11"/>
        <v>1</v>
      </c>
      <c r="AC23" s="1143" t="b">
        <f t="shared" si="12"/>
        <v>1</v>
      </c>
      <c r="AD23" s="1144" t="b">
        <f t="shared" si="13"/>
        <v>1</v>
      </c>
      <c r="AE23" s="1144" t="b">
        <f t="shared" si="14"/>
        <v>1</v>
      </c>
    </row>
    <row r="24" spans="2:31" s="1153" customFormat="1" ht="15" customHeight="1" x14ac:dyDescent="0.2">
      <c r="B24" s="1178"/>
      <c r="C24" s="1175"/>
      <c r="D24" s="1176"/>
      <c r="E24" s="1175"/>
      <c r="F24" s="1176"/>
      <c r="G24" s="1175"/>
      <c r="H24" s="1177"/>
      <c r="I24" s="1163"/>
      <c r="J24" s="1178"/>
      <c r="K24" s="1179"/>
      <c r="L24" s="1176"/>
      <c r="M24" s="1175"/>
      <c r="N24" s="1176"/>
      <c r="O24" s="1163"/>
      <c r="P24" s="1177"/>
      <c r="Q24" s="313" t="str">
        <f t="shared" si="0"/>
        <v/>
      </c>
      <c r="R24" s="1142" t="b">
        <f t="shared" si="1"/>
        <v>1</v>
      </c>
      <c r="S24" s="1142">
        <f t="shared" si="2"/>
        <v>0</v>
      </c>
      <c r="T24" s="1143" t="b">
        <f t="shared" si="3"/>
        <v>1</v>
      </c>
      <c r="U24" s="1143" t="b">
        <f t="shared" si="4"/>
        <v>1</v>
      </c>
      <c r="V24" s="1143" t="b">
        <f t="shared" si="5"/>
        <v>1</v>
      </c>
      <c r="W24" s="1143" t="b">
        <f t="shared" si="6"/>
        <v>1</v>
      </c>
      <c r="X24" s="1142" t="b">
        <f t="shared" si="7"/>
        <v>1</v>
      </c>
      <c r="Y24" s="1142">
        <f t="shared" si="8"/>
        <v>0</v>
      </c>
      <c r="Z24" s="1143" t="b">
        <f t="shared" si="9"/>
        <v>1</v>
      </c>
      <c r="AA24" s="1143" t="b">
        <f t="shared" si="10"/>
        <v>1</v>
      </c>
      <c r="AB24" s="1143" t="b">
        <f t="shared" si="11"/>
        <v>1</v>
      </c>
      <c r="AC24" s="1143" t="b">
        <f t="shared" si="12"/>
        <v>1</v>
      </c>
      <c r="AD24" s="1144" t="b">
        <f t="shared" si="13"/>
        <v>1</v>
      </c>
      <c r="AE24" s="1144" t="b">
        <f t="shared" si="14"/>
        <v>1</v>
      </c>
    </row>
    <row r="25" spans="2:31" s="1153" customFormat="1" ht="15" customHeight="1" x14ac:dyDescent="0.2">
      <c r="B25" s="1178"/>
      <c r="C25" s="1175"/>
      <c r="D25" s="1176"/>
      <c r="E25" s="1175"/>
      <c r="F25" s="1176"/>
      <c r="G25" s="1175"/>
      <c r="H25" s="1177"/>
      <c r="I25" s="1163"/>
      <c r="J25" s="1178"/>
      <c r="K25" s="1179"/>
      <c r="L25" s="1176"/>
      <c r="M25" s="1175"/>
      <c r="N25" s="1176"/>
      <c r="O25" s="1163"/>
      <c r="P25" s="1177"/>
      <c r="Q25" s="313" t="str">
        <f t="shared" si="0"/>
        <v/>
      </c>
      <c r="R25" s="1142" t="b">
        <f t="shared" si="1"/>
        <v>1</v>
      </c>
      <c r="S25" s="1142">
        <f t="shared" si="2"/>
        <v>0</v>
      </c>
      <c r="T25" s="1143" t="b">
        <f t="shared" si="3"/>
        <v>1</v>
      </c>
      <c r="U25" s="1143" t="b">
        <f t="shared" si="4"/>
        <v>1</v>
      </c>
      <c r="V25" s="1143" t="b">
        <f t="shared" si="5"/>
        <v>1</v>
      </c>
      <c r="W25" s="1143" t="b">
        <f t="shared" si="6"/>
        <v>1</v>
      </c>
      <c r="X25" s="1142" t="b">
        <f t="shared" si="7"/>
        <v>1</v>
      </c>
      <c r="Y25" s="1142">
        <f t="shared" si="8"/>
        <v>0</v>
      </c>
      <c r="Z25" s="1143" t="b">
        <f t="shared" si="9"/>
        <v>1</v>
      </c>
      <c r="AA25" s="1143" t="b">
        <f t="shared" si="10"/>
        <v>1</v>
      </c>
      <c r="AB25" s="1143" t="b">
        <f t="shared" si="11"/>
        <v>1</v>
      </c>
      <c r="AC25" s="1143" t="b">
        <f t="shared" si="12"/>
        <v>1</v>
      </c>
      <c r="AD25" s="1144" t="b">
        <f t="shared" si="13"/>
        <v>1</v>
      </c>
      <c r="AE25" s="1144" t="b">
        <f t="shared" si="14"/>
        <v>1</v>
      </c>
    </row>
    <row r="26" spans="2:31" s="1153" customFormat="1" ht="15" customHeight="1" x14ac:dyDescent="0.2">
      <c r="B26" s="1178"/>
      <c r="C26" s="1175"/>
      <c r="D26" s="1176"/>
      <c r="E26" s="1175"/>
      <c r="F26" s="1176"/>
      <c r="G26" s="1175"/>
      <c r="H26" s="1177"/>
      <c r="I26" s="1163"/>
      <c r="J26" s="1178"/>
      <c r="K26" s="1179"/>
      <c r="L26" s="1176"/>
      <c r="M26" s="1175"/>
      <c r="N26" s="1176"/>
      <c r="O26" s="1163"/>
      <c r="P26" s="1177"/>
      <c r="Q26" s="313" t="str">
        <f t="shared" si="0"/>
        <v/>
      </c>
      <c r="R26" s="1142" t="b">
        <f t="shared" si="1"/>
        <v>1</v>
      </c>
      <c r="S26" s="1142">
        <f t="shared" si="2"/>
        <v>0</v>
      </c>
      <c r="T26" s="1143" t="b">
        <f t="shared" si="3"/>
        <v>1</v>
      </c>
      <c r="U26" s="1143" t="b">
        <f t="shared" si="4"/>
        <v>1</v>
      </c>
      <c r="V26" s="1143" t="b">
        <f t="shared" si="5"/>
        <v>1</v>
      </c>
      <c r="W26" s="1143" t="b">
        <f t="shared" si="6"/>
        <v>1</v>
      </c>
      <c r="X26" s="1142" t="b">
        <f t="shared" si="7"/>
        <v>1</v>
      </c>
      <c r="Y26" s="1142">
        <f t="shared" si="8"/>
        <v>0</v>
      </c>
      <c r="Z26" s="1143" t="b">
        <f t="shared" si="9"/>
        <v>1</v>
      </c>
      <c r="AA26" s="1143" t="b">
        <f t="shared" si="10"/>
        <v>1</v>
      </c>
      <c r="AB26" s="1143" t="b">
        <f t="shared" si="11"/>
        <v>1</v>
      </c>
      <c r="AC26" s="1143" t="b">
        <f t="shared" si="12"/>
        <v>1</v>
      </c>
      <c r="AD26" s="1144" t="b">
        <f t="shared" si="13"/>
        <v>1</v>
      </c>
      <c r="AE26" s="1144" t="b">
        <f t="shared" si="14"/>
        <v>1</v>
      </c>
    </row>
    <row r="27" spans="2:31" s="1153" customFormat="1" ht="15" customHeight="1" x14ac:dyDescent="0.2">
      <c r="B27" s="1178"/>
      <c r="C27" s="1175"/>
      <c r="D27" s="1176"/>
      <c r="E27" s="1175"/>
      <c r="F27" s="1176"/>
      <c r="G27" s="1175"/>
      <c r="H27" s="1177"/>
      <c r="I27" s="1163"/>
      <c r="J27" s="1178"/>
      <c r="K27" s="1179"/>
      <c r="L27" s="1176"/>
      <c r="M27" s="1175"/>
      <c r="N27" s="1176"/>
      <c r="O27" s="1163"/>
      <c r="P27" s="1177"/>
      <c r="Q27" s="313" t="str">
        <f t="shared" si="0"/>
        <v/>
      </c>
      <c r="R27" s="1142" t="b">
        <f t="shared" si="1"/>
        <v>1</v>
      </c>
      <c r="S27" s="1142">
        <f t="shared" si="2"/>
        <v>0</v>
      </c>
      <c r="T27" s="1143" t="b">
        <f t="shared" si="3"/>
        <v>1</v>
      </c>
      <c r="U27" s="1143" t="b">
        <f t="shared" si="4"/>
        <v>1</v>
      </c>
      <c r="V27" s="1143" t="b">
        <f t="shared" si="5"/>
        <v>1</v>
      </c>
      <c r="W27" s="1143" t="b">
        <f t="shared" si="6"/>
        <v>1</v>
      </c>
      <c r="X27" s="1142" t="b">
        <f t="shared" si="7"/>
        <v>1</v>
      </c>
      <c r="Y27" s="1142">
        <f t="shared" si="8"/>
        <v>0</v>
      </c>
      <c r="Z27" s="1143" t="b">
        <f t="shared" si="9"/>
        <v>1</v>
      </c>
      <c r="AA27" s="1143" t="b">
        <f t="shared" si="10"/>
        <v>1</v>
      </c>
      <c r="AB27" s="1143" t="b">
        <f t="shared" si="11"/>
        <v>1</v>
      </c>
      <c r="AC27" s="1143" t="b">
        <f t="shared" si="12"/>
        <v>1</v>
      </c>
      <c r="AD27" s="1144" t="b">
        <f t="shared" si="13"/>
        <v>1</v>
      </c>
      <c r="AE27" s="1144" t="b">
        <f t="shared" si="14"/>
        <v>1</v>
      </c>
    </row>
    <row r="28" spans="2:31" s="1153" customFormat="1" ht="15" customHeight="1" thickBot="1" x14ac:dyDescent="0.25">
      <c r="B28" s="1163"/>
      <c r="C28" s="1163"/>
      <c r="D28" s="1163"/>
      <c r="E28" s="1163"/>
      <c r="F28" s="1171" t="s">
        <v>1829</v>
      </c>
      <c r="G28" s="1171"/>
      <c r="H28" s="1191">
        <f>SUM(H14:H27)</f>
        <v>0</v>
      </c>
      <c r="I28" s="1163"/>
      <c r="J28" s="1163"/>
      <c r="K28" s="1163"/>
      <c r="L28" s="1163"/>
      <c r="M28" s="1163"/>
      <c r="N28" s="1171" t="s">
        <v>1830</v>
      </c>
      <c r="O28" s="1171"/>
      <c r="P28" s="1191">
        <f>SUM(P14:P27)</f>
        <v>0</v>
      </c>
      <c r="Q28" s="1144"/>
      <c r="R28" s="1142">
        <f>COUNTIF(R13:R27,FALSE)</f>
        <v>0</v>
      </c>
      <c r="S28" s="1149"/>
      <c r="T28" s="1149"/>
      <c r="U28" s="1149"/>
      <c r="V28" s="1149"/>
      <c r="W28" s="1149"/>
      <c r="X28" s="1142">
        <f>COUNTIF(X13:X27,FALSE)</f>
        <v>0</v>
      </c>
      <c r="Y28" s="1149"/>
      <c r="Z28" s="1149"/>
      <c r="AA28" s="1149"/>
      <c r="AB28" s="1149"/>
      <c r="AC28" s="1149"/>
      <c r="AD28" s="1149">
        <f>COUNTIF(AD13:AD27,FALSE)</f>
        <v>0</v>
      </c>
      <c r="AE28" s="1149">
        <f>COUNTIF(AE13:AE27,FALSE)</f>
        <v>0</v>
      </c>
    </row>
    <row r="29" spans="2:31" s="1184" customFormat="1" ht="21.75" customHeight="1" x14ac:dyDescent="0.2">
      <c r="B29" s="1192"/>
      <c r="C29" s="1192"/>
      <c r="D29" s="1192"/>
      <c r="E29" s="1192"/>
      <c r="F29" s="2762" t="s">
        <v>1831</v>
      </c>
      <c r="G29" s="2762"/>
      <c r="H29" s="2762"/>
      <c r="I29" s="1192"/>
      <c r="J29" s="1192"/>
      <c r="K29" s="1192"/>
      <c r="L29" s="1192"/>
      <c r="M29" s="2763" t="str">
        <f>IF(P29&lt;&gt;0,"Out of Balance","")</f>
        <v/>
      </c>
      <c r="N29" s="2763"/>
      <c r="O29" s="2319"/>
      <c r="P29" s="1193">
        <f>+H28-P28</f>
        <v>0</v>
      </c>
      <c r="Q29" s="1149"/>
    </row>
    <row r="30" spans="2:31" s="1150" customFormat="1" ht="12.75" x14ac:dyDescent="0.2">
      <c r="B30" s="1172" t="s">
        <v>1886</v>
      </c>
      <c r="C30" s="1172"/>
      <c r="D30" s="1172"/>
      <c r="E30" s="1172"/>
      <c r="F30" s="1172"/>
      <c r="G30" s="1172"/>
      <c r="H30" s="1172"/>
      <c r="I30" s="1172"/>
      <c r="J30" s="1172"/>
      <c r="K30" s="1172"/>
      <c r="L30" s="1172"/>
      <c r="M30" s="1172"/>
      <c r="N30" s="1172"/>
      <c r="O30" s="1172"/>
      <c r="P30" s="1172"/>
    </row>
    <row r="31" spans="2:31" s="1153" customFormat="1" ht="14.25" customHeight="1" x14ac:dyDescent="0.2">
      <c r="B31" s="1194"/>
      <c r="C31" s="1194"/>
      <c r="D31" s="1194"/>
      <c r="E31" s="1194"/>
      <c r="F31" s="1194"/>
      <c r="G31" s="1194"/>
      <c r="H31" s="1194"/>
      <c r="I31" s="1194"/>
      <c r="J31" s="1194"/>
      <c r="K31" s="1194"/>
      <c r="L31" s="1194"/>
      <c r="M31" s="1194"/>
      <c r="N31" s="1194"/>
      <c r="O31" s="1194"/>
      <c r="P31" s="1194"/>
    </row>
    <row r="32" spans="2:31" s="1153" customFormat="1" ht="15" customHeight="1" x14ac:dyDescent="0.2">
      <c r="B32" s="1194"/>
      <c r="C32" s="1194"/>
      <c r="D32" s="1194"/>
      <c r="E32" s="1194"/>
      <c r="F32" s="1194"/>
      <c r="G32" s="1194"/>
      <c r="H32" s="1194"/>
      <c r="I32" s="1194"/>
      <c r="J32" s="1194"/>
      <c r="K32" s="1194"/>
      <c r="L32" s="1194"/>
      <c r="M32" s="1194"/>
      <c r="N32" s="1194"/>
      <c r="O32" s="1194"/>
      <c r="P32" s="1194"/>
    </row>
    <row r="33" spans="1:17" s="1153" customFormat="1" ht="15" customHeight="1" x14ac:dyDescent="0.2">
      <c r="B33" s="1195"/>
      <c r="C33" s="1195"/>
      <c r="D33" s="1195"/>
      <c r="E33" s="1195"/>
      <c r="F33" s="1195"/>
      <c r="G33" s="1195"/>
      <c r="H33" s="1195"/>
      <c r="I33" s="1195"/>
      <c r="J33" s="1195"/>
      <c r="K33" s="1195"/>
      <c r="L33" s="1195"/>
      <c r="M33" s="1195"/>
      <c r="N33" s="1195"/>
      <c r="O33" s="1195"/>
      <c r="P33" s="1195"/>
    </row>
    <row r="35" spans="1:17" x14ac:dyDescent="0.25">
      <c r="B35" s="692"/>
    </row>
    <row r="36" spans="1:17" x14ac:dyDescent="0.25">
      <c r="B36" s="692"/>
    </row>
    <row r="37" spans="1:17" ht="20.85" customHeight="1" x14ac:dyDescent="0.25">
      <c r="A37" s="445" t="str">
        <f ca="1">MID(CELL("filename",A3),FIND("]",CELL("filename",A3))+1,256)</f>
        <v>540</v>
      </c>
      <c r="B37" s="445"/>
    </row>
    <row r="38" spans="1:17" ht="20.85" customHeight="1" x14ac:dyDescent="0.25">
      <c r="A38" s="445" t="s">
        <v>380</v>
      </c>
      <c r="B38" s="445" t="s">
        <v>535</v>
      </c>
    </row>
    <row r="39" spans="1:17" ht="20.85" customHeight="1" x14ac:dyDescent="0.25">
      <c r="A39" s="445" t="s">
        <v>381</v>
      </c>
      <c r="B39" s="445" t="s">
        <v>535</v>
      </c>
    </row>
    <row r="40" spans="1:17" ht="20.85" customHeight="1" x14ac:dyDescent="0.25">
      <c r="A40" s="445" t="s">
        <v>382</v>
      </c>
      <c r="B40" s="445" t="s">
        <v>535</v>
      </c>
    </row>
    <row r="41" spans="1:17" ht="20.85" customHeight="1" x14ac:dyDescent="0.25">
      <c r="A41" s="445" t="s">
        <v>383</v>
      </c>
      <c r="B41" s="445" t="s">
        <v>535</v>
      </c>
      <c r="F41" s="1158" t="s">
        <v>50</v>
      </c>
      <c r="N41" s="1158" t="s">
        <v>50</v>
      </c>
      <c r="Q41" s="1158" t="s">
        <v>50</v>
      </c>
    </row>
    <row r="42" spans="1:17" ht="20.85" customHeight="1" x14ac:dyDescent="0.25">
      <c r="A42" s="445" t="s">
        <v>384</v>
      </c>
      <c r="B42" s="445" t="s">
        <v>535</v>
      </c>
    </row>
    <row r="43" spans="1:17" ht="20.85" customHeight="1" x14ac:dyDescent="0.25">
      <c r="A43" s="445" t="s">
        <v>385</v>
      </c>
      <c r="B43" s="445" t="s">
        <v>535</v>
      </c>
    </row>
    <row r="44" spans="1:17" ht="20.85" customHeight="1" x14ac:dyDescent="0.25">
      <c r="A44" s="445" t="s">
        <v>386</v>
      </c>
      <c r="B44" s="445" t="s">
        <v>535</v>
      </c>
    </row>
    <row r="45" spans="1:17" ht="20.85" customHeight="1" x14ac:dyDescent="0.25">
      <c r="A45" s="445" t="s">
        <v>387</v>
      </c>
      <c r="B45" s="445" t="s">
        <v>535</v>
      </c>
    </row>
    <row r="46" spans="1:17" ht="20.85" customHeight="1" x14ac:dyDescent="0.25">
      <c r="A46" s="445" t="s">
        <v>388</v>
      </c>
      <c r="B46" s="445" t="s">
        <v>535</v>
      </c>
    </row>
    <row r="47" spans="1:17" ht="20.85" customHeight="1" x14ac:dyDescent="0.25">
      <c r="A47" s="445" t="s">
        <v>389</v>
      </c>
      <c r="B47" s="445" t="s">
        <v>535</v>
      </c>
    </row>
    <row r="48" spans="1:17" ht="20.85" customHeight="1" x14ac:dyDescent="0.25">
      <c r="F48" s="1158" t="s">
        <v>50</v>
      </c>
    </row>
    <row r="49" spans="6:29" ht="20.85" customHeight="1" x14ac:dyDescent="0.25"/>
    <row r="50" spans="6:29" ht="20.85" customHeight="1" x14ac:dyDescent="0.25"/>
    <row r="51" spans="6:29" ht="20.85" customHeight="1" x14ac:dyDescent="0.25">
      <c r="F51" s="1187" t="s">
        <v>50</v>
      </c>
      <c r="G51" s="1187"/>
      <c r="M51" s="1187"/>
      <c r="N51" s="1188" t="s">
        <v>50</v>
      </c>
      <c r="O51" s="1188"/>
      <c r="Q51" s="1187" t="s">
        <v>50</v>
      </c>
      <c r="R51" s="1187"/>
      <c r="S51" s="1187"/>
      <c r="T51" s="1187"/>
      <c r="U51" s="1187"/>
      <c r="V51" s="1187"/>
      <c r="W51" s="1187"/>
      <c r="X51" s="1187"/>
      <c r="Y51" s="1187"/>
      <c r="Z51" s="1187"/>
      <c r="AA51" s="1187"/>
      <c r="AB51" s="1187"/>
      <c r="AC51" s="1187"/>
    </row>
  </sheetData>
  <sheetProtection algorithmName="SHA-512" hashValue="BSMObwAAtoXTe+vkghXFkKoXHL5dDpPmhNmXTMWlHDqf6zmvMaA9IrebOZe0Nf47Ht0VG5PwKC7JTfQDFggbhw==" saltValue="Lm4r3/94cZJjKl99lXI6Xg==" spinCount="100000" sheet="1" objects="1" scenarios="1" autoFilter="0"/>
  <dataConsolidate link="1"/>
  <mergeCells count="12">
    <mergeCell ref="D6:H6"/>
    <mergeCell ref="L6:P6"/>
    <mergeCell ref="B9:H9"/>
    <mergeCell ref="J9:P9"/>
    <mergeCell ref="F29:H29"/>
    <mergeCell ref="M29:N29"/>
    <mergeCell ref="Q1:Q3"/>
    <mergeCell ref="B2:P2"/>
    <mergeCell ref="B3:P3"/>
    <mergeCell ref="L5:P5"/>
    <mergeCell ref="B1:P1"/>
    <mergeCell ref="O4:P4"/>
  </mergeCells>
  <conditionalFormatting sqref="Q1:AC4">
    <cfRule type="cellIs" dxfId="64" priority="2" stopIfTrue="1" operator="equal">
      <formula>"na"</formula>
    </cfRule>
  </conditionalFormatting>
  <conditionalFormatting sqref="AI1:AI3">
    <cfRule type="cellIs" dxfId="63" priority="1" stopIfTrue="1" operator="equal">
      <formula>"na"</formula>
    </cfRule>
  </conditionalFormatting>
  <dataValidations count="3">
    <dataValidation type="textLength" operator="equal" allowBlank="1" showInputMessage="1" showErrorMessage="1" errorTitle="Invalid data!" error="Company number must be 4 digits." sqref="IX13:IX27 ST13:ST27 ACP13:ACP27 AML13:AML27 AWH13:AWH27 BGD13:BGD27 BPZ13:BPZ27 BZV13:BZV27 CJR13:CJR27 CTN13:CTN27 DDJ13:DDJ27 DNF13:DNF27 DXB13:DXB27 EGX13:EGX27 EQT13:EQT27 FAP13:FAP27 FKL13:FKL27 FUH13:FUH27 GED13:GED27 GNZ13:GNZ27 GXV13:GXV27 HHR13:HHR27 HRN13:HRN27 IBJ13:IBJ27 ILF13:ILF27 IVB13:IVB27 JEX13:JEX27 JOT13:JOT27 JYP13:JYP27 KIL13:KIL27 KSH13:KSH27 LCD13:LCD27 LLZ13:LLZ27 LVV13:LVV27 MFR13:MFR27 MPN13:MPN27 MZJ13:MZJ27 NJF13:NJF27 NTB13:NTB27 OCX13:OCX27 OMT13:OMT27 OWP13:OWP27 PGL13:PGL27 PQH13:PQH27 QAD13:QAD27 QJZ13:QJZ27 QTV13:QTV27 RDR13:RDR27 RNN13:RNN27 RXJ13:RXJ27 SHF13:SHF27 SRB13:SRB27 TAX13:TAX27 TKT13:TKT27 TUP13:TUP27 UEL13:UEL27 UOH13:UOH27 UYD13:UYD27 VHZ13:VHZ27 VRV13:VRV27 WBR13:WBR27 WLN13:WLN27 WVJ13:WVJ27 B65549:B65563 IX65549:IX65563 ST65549:ST65563 ACP65549:ACP65563 AML65549:AML65563 AWH65549:AWH65563 BGD65549:BGD65563 BPZ65549:BPZ65563 BZV65549:BZV65563 CJR65549:CJR65563 CTN65549:CTN65563 DDJ65549:DDJ65563 DNF65549:DNF65563 DXB65549:DXB65563 EGX65549:EGX65563 EQT65549:EQT65563 FAP65549:FAP65563 FKL65549:FKL65563 FUH65549:FUH65563 GED65549:GED65563 GNZ65549:GNZ65563 GXV65549:GXV65563 HHR65549:HHR65563 HRN65549:HRN65563 IBJ65549:IBJ65563 ILF65549:ILF65563 IVB65549:IVB65563 JEX65549:JEX65563 JOT65549:JOT65563 JYP65549:JYP65563 KIL65549:KIL65563 KSH65549:KSH65563 LCD65549:LCD65563 LLZ65549:LLZ65563 LVV65549:LVV65563 MFR65549:MFR65563 MPN65549:MPN65563 MZJ65549:MZJ65563 NJF65549:NJF65563 NTB65549:NTB65563 OCX65549:OCX65563 OMT65549:OMT65563 OWP65549:OWP65563 PGL65549:PGL65563 PQH65549:PQH65563 QAD65549:QAD65563 QJZ65549:QJZ65563 QTV65549:QTV65563 RDR65549:RDR65563 RNN65549:RNN65563 RXJ65549:RXJ65563 SHF65549:SHF65563 SRB65549:SRB65563 TAX65549:TAX65563 TKT65549:TKT65563 TUP65549:TUP65563 UEL65549:UEL65563 UOH65549:UOH65563 UYD65549:UYD65563 VHZ65549:VHZ65563 VRV65549:VRV65563 WBR65549:WBR65563 WLN65549:WLN65563 WVJ65549:WVJ65563 B131085:B131099 IX131085:IX131099 ST131085:ST131099 ACP131085:ACP131099 AML131085:AML131099 AWH131085:AWH131099 BGD131085:BGD131099 BPZ131085:BPZ131099 BZV131085:BZV131099 CJR131085:CJR131099 CTN131085:CTN131099 DDJ131085:DDJ131099 DNF131085:DNF131099 DXB131085:DXB131099 EGX131085:EGX131099 EQT131085:EQT131099 FAP131085:FAP131099 FKL131085:FKL131099 FUH131085:FUH131099 GED131085:GED131099 GNZ131085:GNZ131099 GXV131085:GXV131099 HHR131085:HHR131099 HRN131085:HRN131099 IBJ131085:IBJ131099 ILF131085:ILF131099 IVB131085:IVB131099 JEX131085:JEX131099 JOT131085:JOT131099 JYP131085:JYP131099 KIL131085:KIL131099 KSH131085:KSH131099 LCD131085:LCD131099 LLZ131085:LLZ131099 LVV131085:LVV131099 MFR131085:MFR131099 MPN131085:MPN131099 MZJ131085:MZJ131099 NJF131085:NJF131099 NTB131085:NTB131099 OCX131085:OCX131099 OMT131085:OMT131099 OWP131085:OWP131099 PGL131085:PGL131099 PQH131085:PQH131099 QAD131085:QAD131099 QJZ131085:QJZ131099 QTV131085:QTV131099 RDR131085:RDR131099 RNN131085:RNN131099 RXJ131085:RXJ131099 SHF131085:SHF131099 SRB131085:SRB131099 TAX131085:TAX131099 TKT131085:TKT131099 TUP131085:TUP131099 UEL131085:UEL131099 UOH131085:UOH131099 UYD131085:UYD131099 VHZ131085:VHZ131099 VRV131085:VRV131099 WBR131085:WBR131099 WLN131085:WLN131099 WVJ131085:WVJ131099 B196621:B196635 IX196621:IX196635 ST196621:ST196635 ACP196621:ACP196635 AML196621:AML196635 AWH196621:AWH196635 BGD196621:BGD196635 BPZ196621:BPZ196635 BZV196621:BZV196635 CJR196621:CJR196635 CTN196621:CTN196635 DDJ196621:DDJ196635 DNF196621:DNF196635 DXB196621:DXB196635 EGX196621:EGX196635 EQT196621:EQT196635 FAP196621:FAP196635 FKL196621:FKL196635 FUH196621:FUH196635 GED196621:GED196635 GNZ196621:GNZ196635 GXV196621:GXV196635 HHR196621:HHR196635 HRN196621:HRN196635 IBJ196621:IBJ196635 ILF196621:ILF196635 IVB196621:IVB196635 JEX196621:JEX196635 JOT196621:JOT196635 JYP196621:JYP196635 KIL196621:KIL196635 KSH196621:KSH196635 LCD196621:LCD196635 LLZ196621:LLZ196635 LVV196621:LVV196635 MFR196621:MFR196635 MPN196621:MPN196635 MZJ196621:MZJ196635 NJF196621:NJF196635 NTB196621:NTB196635 OCX196621:OCX196635 OMT196621:OMT196635 OWP196621:OWP196635 PGL196621:PGL196635 PQH196621:PQH196635 QAD196621:QAD196635 QJZ196621:QJZ196635 QTV196621:QTV196635 RDR196621:RDR196635 RNN196621:RNN196635 RXJ196621:RXJ196635 SHF196621:SHF196635 SRB196621:SRB196635 TAX196621:TAX196635 TKT196621:TKT196635 TUP196621:TUP196635 UEL196621:UEL196635 UOH196621:UOH196635 UYD196621:UYD196635 VHZ196621:VHZ196635 VRV196621:VRV196635 WBR196621:WBR196635 WLN196621:WLN196635 WVJ196621:WVJ196635 B262157:B262171 IX262157:IX262171 ST262157:ST262171 ACP262157:ACP262171 AML262157:AML262171 AWH262157:AWH262171 BGD262157:BGD262171 BPZ262157:BPZ262171 BZV262157:BZV262171 CJR262157:CJR262171 CTN262157:CTN262171 DDJ262157:DDJ262171 DNF262157:DNF262171 DXB262157:DXB262171 EGX262157:EGX262171 EQT262157:EQT262171 FAP262157:FAP262171 FKL262157:FKL262171 FUH262157:FUH262171 GED262157:GED262171 GNZ262157:GNZ262171 GXV262157:GXV262171 HHR262157:HHR262171 HRN262157:HRN262171 IBJ262157:IBJ262171 ILF262157:ILF262171 IVB262157:IVB262171 JEX262157:JEX262171 JOT262157:JOT262171 JYP262157:JYP262171 KIL262157:KIL262171 KSH262157:KSH262171 LCD262157:LCD262171 LLZ262157:LLZ262171 LVV262157:LVV262171 MFR262157:MFR262171 MPN262157:MPN262171 MZJ262157:MZJ262171 NJF262157:NJF262171 NTB262157:NTB262171 OCX262157:OCX262171 OMT262157:OMT262171 OWP262157:OWP262171 PGL262157:PGL262171 PQH262157:PQH262171 QAD262157:QAD262171 QJZ262157:QJZ262171 QTV262157:QTV262171 RDR262157:RDR262171 RNN262157:RNN262171 RXJ262157:RXJ262171 SHF262157:SHF262171 SRB262157:SRB262171 TAX262157:TAX262171 TKT262157:TKT262171 TUP262157:TUP262171 UEL262157:UEL262171 UOH262157:UOH262171 UYD262157:UYD262171 VHZ262157:VHZ262171 VRV262157:VRV262171 WBR262157:WBR262171 WLN262157:WLN262171 WVJ262157:WVJ262171 B327693:B327707 IX327693:IX327707 ST327693:ST327707 ACP327693:ACP327707 AML327693:AML327707 AWH327693:AWH327707 BGD327693:BGD327707 BPZ327693:BPZ327707 BZV327693:BZV327707 CJR327693:CJR327707 CTN327693:CTN327707 DDJ327693:DDJ327707 DNF327693:DNF327707 DXB327693:DXB327707 EGX327693:EGX327707 EQT327693:EQT327707 FAP327693:FAP327707 FKL327693:FKL327707 FUH327693:FUH327707 GED327693:GED327707 GNZ327693:GNZ327707 GXV327693:GXV327707 HHR327693:HHR327707 HRN327693:HRN327707 IBJ327693:IBJ327707 ILF327693:ILF327707 IVB327693:IVB327707 JEX327693:JEX327707 JOT327693:JOT327707 JYP327693:JYP327707 KIL327693:KIL327707 KSH327693:KSH327707 LCD327693:LCD327707 LLZ327693:LLZ327707 LVV327693:LVV327707 MFR327693:MFR327707 MPN327693:MPN327707 MZJ327693:MZJ327707 NJF327693:NJF327707 NTB327693:NTB327707 OCX327693:OCX327707 OMT327693:OMT327707 OWP327693:OWP327707 PGL327693:PGL327707 PQH327693:PQH327707 QAD327693:QAD327707 QJZ327693:QJZ327707 QTV327693:QTV327707 RDR327693:RDR327707 RNN327693:RNN327707 RXJ327693:RXJ327707 SHF327693:SHF327707 SRB327693:SRB327707 TAX327693:TAX327707 TKT327693:TKT327707 TUP327693:TUP327707 UEL327693:UEL327707 UOH327693:UOH327707 UYD327693:UYD327707 VHZ327693:VHZ327707 VRV327693:VRV327707 WBR327693:WBR327707 WLN327693:WLN327707 WVJ327693:WVJ327707 B393229:B393243 IX393229:IX393243 ST393229:ST393243 ACP393229:ACP393243 AML393229:AML393243 AWH393229:AWH393243 BGD393229:BGD393243 BPZ393229:BPZ393243 BZV393229:BZV393243 CJR393229:CJR393243 CTN393229:CTN393243 DDJ393229:DDJ393243 DNF393229:DNF393243 DXB393229:DXB393243 EGX393229:EGX393243 EQT393229:EQT393243 FAP393229:FAP393243 FKL393229:FKL393243 FUH393229:FUH393243 GED393229:GED393243 GNZ393229:GNZ393243 GXV393229:GXV393243 HHR393229:HHR393243 HRN393229:HRN393243 IBJ393229:IBJ393243 ILF393229:ILF393243 IVB393229:IVB393243 JEX393229:JEX393243 JOT393229:JOT393243 JYP393229:JYP393243 KIL393229:KIL393243 KSH393229:KSH393243 LCD393229:LCD393243 LLZ393229:LLZ393243 LVV393229:LVV393243 MFR393229:MFR393243 MPN393229:MPN393243 MZJ393229:MZJ393243 NJF393229:NJF393243 NTB393229:NTB393243 OCX393229:OCX393243 OMT393229:OMT393243 OWP393229:OWP393243 PGL393229:PGL393243 PQH393229:PQH393243 QAD393229:QAD393243 QJZ393229:QJZ393243 QTV393229:QTV393243 RDR393229:RDR393243 RNN393229:RNN393243 RXJ393229:RXJ393243 SHF393229:SHF393243 SRB393229:SRB393243 TAX393229:TAX393243 TKT393229:TKT393243 TUP393229:TUP393243 UEL393229:UEL393243 UOH393229:UOH393243 UYD393229:UYD393243 VHZ393229:VHZ393243 VRV393229:VRV393243 WBR393229:WBR393243 WLN393229:WLN393243 WVJ393229:WVJ393243 B458765:B458779 IX458765:IX458779 ST458765:ST458779 ACP458765:ACP458779 AML458765:AML458779 AWH458765:AWH458779 BGD458765:BGD458779 BPZ458765:BPZ458779 BZV458765:BZV458779 CJR458765:CJR458779 CTN458765:CTN458779 DDJ458765:DDJ458779 DNF458765:DNF458779 DXB458765:DXB458779 EGX458765:EGX458779 EQT458765:EQT458779 FAP458765:FAP458779 FKL458765:FKL458779 FUH458765:FUH458779 GED458765:GED458779 GNZ458765:GNZ458779 GXV458765:GXV458779 HHR458765:HHR458779 HRN458765:HRN458779 IBJ458765:IBJ458779 ILF458765:ILF458779 IVB458765:IVB458779 JEX458765:JEX458779 JOT458765:JOT458779 JYP458765:JYP458779 KIL458765:KIL458779 KSH458765:KSH458779 LCD458765:LCD458779 LLZ458765:LLZ458779 LVV458765:LVV458779 MFR458765:MFR458779 MPN458765:MPN458779 MZJ458765:MZJ458779 NJF458765:NJF458779 NTB458765:NTB458779 OCX458765:OCX458779 OMT458765:OMT458779 OWP458765:OWP458779 PGL458765:PGL458779 PQH458765:PQH458779 QAD458765:QAD458779 QJZ458765:QJZ458779 QTV458765:QTV458779 RDR458765:RDR458779 RNN458765:RNN458779 RXJ458765:RXJ458779 SHF458765:SHF458779 SRB458765:SRB458779 TAX458765:TAX458779 TKT458765:TKT458779 TUP458765:TUP458779 UEL458765:UEL458779 UOH458765:UOH458779 UYD458765:UYD458779 VHZ458765:VHZ458779 VRV458765:VRV458779 WBR458765:WBR458779 WLN458765:WLN458779 WVJ458765:WVJ458779 B524301:B524315 IX524301:IX524315 ST524301:ST524315 ACP524301:ACP524315 AML524301:AML524315 AWH524301:AWH524315 BGD524301:BGD524315 BPZ524301:BPZ524315 BZV524301:BZV524315 CJR524301:CJR524315 CTN524301:CTN524315 DDJ524301:DDJ524315 DNF524301:DNF524315 DXB524301:DXB524315 EGX524301:EGX524315 EQT524301:EQT524315 FAP524301:FAP524315 FKL524301:FKL524315 FUH524301:FUH524315 GED524301:GED524315 GNZ524301:GNZ524315 GXV524301:GXV524315 HHR524301:HHR524315 HRN524301:HRN524315 IBJ524301:IBJ524315 ILF524301:ILF524315 IVB524301:IVB524315 JEX524301:JEX524315 JOT524301:JOT524315 JYP524301:JYP524315 KIL524301:KIL524315 KSH524301:KSH524315 LCD524301:LCD524315 LLZ524301:LLZ524315 LVV524301:LVV524315 MFR524301:MFR524315 MPN524301:MPN524315 MZJ524301:MZJ524315 NJF524301:NJF524315 NTB524301:NTB524315 OCX524301:OCX524315 OMT524301:OMT524315 OWP524301:OWP524315 PGL524301:PGL524315 PQH524301:PQH524315 QAD524301:QAD524315 QJZ524301:QJZ524315 QTV524301:QTV524315 RDR524301:RDR524315 RNN524301:RNN524315 RXJ524301:RXJ524315 SHF524301:SHF524315 SRB524301:SRB524315 TAX524301:TAX524315 TKT524301:TKT524315 TUP524301:TUP524315 UEL524301:UEL524315 UOH524301:UOH524315 UYD524301:UYD524315 VHZ524301:VHZ524315 VRV524301:VRV524315 WBR524301:WBR524315 WLN524301:WLN524315 WVJ524301:WVJ524315 B589837:B589851 IX589837:IX589851 ST589837:ST589851 ACP589837:ACP589851 AML589837:AML589851 AWH589837:AWH589851 BGD589837:BGD589851 BPZ589837:BPZ589851 BZV589837:BZV589851 CJR589837:CJR589851 CTN589837:CTN589851 DDJ589837:DDJ589851 DNF589837:DNF589851 DXB589837:DXB589851 EGX589837:EGX589851 EQT589837:EQT589851 FAP589837:FAP589851 FKL589837:FKL589851 FUH589837:FUH589851 GED589837:GED589851 GNZ589837:GNZ589851 GXV589837:GXV589851 HHR589837:HHR589851 HRN589837:HRN589851 IBJ589837:IBJ589851 ILF589837:ILF589851 IVB589837:IVB589851 JEX589837:JEX589851 JOT589837:JOT589851 JYP589837:JYP589851 KIL589837:KIL589851 KSH589837:KSH589851 LCD589837:LCD589851 LLZ589837:LLZ589851 LVV589837:LVV589851 MFR589837:MFR589851 MPN589837:MPN589851 MZJ589837:MZJ589851 NJF589837:NJF589851 NTB589837:NTB589851 OCX589837:OCX589851 OMT589837:OMT589851 OWP589837:OWP589851 PGL589837:PGL589851 PQH589837:PQH589851 QAD589837:QAD589851 QJZ589837:QJZ589851 QTV589837:QTV589851 RDR589837:RDR589851 RNN589837:RNN589851 RXJ589837:RXJ589851 SHF589837:SHF589851 SRB589837:SRB589851 TAX589837:TAX589851 TKT589837:TKT589851 TUP589837:TUP589851 UEL589837:UEL589851 UOH589837:UOH589851 UYD589837:UYD589851 VHZ589837:VHZ589851 VRV589837:VRV589851 WBR589837:WBR589851 WLN589837:WLN589851 WVJ589837:WVJ589851 B655373:B655387 IX655373:IX655387 ST655373:ST655387 ACP655373:ACP655387 AML655373:AML655387 AWH655373:AWH655387 BGD655373:BGD655387 BPZ655373:BPZ655387 BZV655373:BZV655387 CJR655373:CJR655387 CTN655373:CTN655387 DDJ655373:DDJ655387 DNF655373:DNF655387 DXB655373:DXB655387 EGX655373:EGX655387 EQT655373:EQT655387 FAP655373:FAP655387 FKL655373:FKL655387 FUH655373:FUH655387 GED655373:GED655387 GNZ655373:GNZ655387 GXV655373:GXV655387 HHR655373:HHR655387 HRN655373:HRN655387 IBJ655373:IBJ655387 ILF655373:ILF655387 IVB655373:IVB655387 JEX655373:JEX655387 JOT655373:JOT655387 JYP655373:JYP655387 KIL655373:KIL655387 KSH655373:KSH655387 LCD655373:LCD655387 LLZ655373:LLZ655387 LVV655373:LVV655387 MFR655373:MFR655387 MPN655373:MPN655387 MZJ655373:MZJ655387 NJF655373:NJF655387 NTB655373:NTB655387 OCX655373:OCX655387 OMT655373:OMT655387 OWP655373:OWP655387 PGL655373:PGL655387 PQH655373:PQH655387 QAD655373:QAD655387 QJZ655373:QJZ655387 QTV655373:QTV655387 RDR655373:RDR655387 RNN655373:RNN655387 RXJ655373:RXJ655387 SHF655373:SHF655387 SRB655373:SRB655387 TAX655373:TAX655387 TKT655373:TKT655387 TUP655373:TUP655387 UEL655373:UEL655387 UOH655373:UOH655387 UYD655373:UYD655387 VHZ655373:VHZ655387 VRV655373:VRV655387 WBR655373:WBR655387 WLN655373:WLN655387 WVJ655373:WVJ655387 B720909:B720923 IX720909:IX720923 ST720909:ST720923 ACP720909:ACP720923 AML720909:AML720923 AWH720909:AWH720923 BGD720909:BGD720923 BPZ720909:BPZ720923 BZV720909:BZV720923 CJR720909:CJR720923 CTN720909:CTN720923 DDJ720909:DDJ720923 DNF720909:DNF720923 DXB720909:DXB720923 EGX720909:EGX720923 EQT720909:EQT720923 FAP720909:FAP720923 FKL720909:FKL720923 FUH720909:FUH720923 GED720909:GED720923 GNZ720909:GNZ720923 GXV720909:GXV720923 HHR720909:HHR720923 HRN720909:HRN720923 IBJ720909:IBJ720923 ILF720909:ILF720923 IVB720909:IVB720923 JEX720909:JEX720923 JOT720909:JOT720923 JYP720909:JYP720923 KIL720909:KIL720923 KSH720909:KSH720923 LCD720909:LCD720923 LLZ720909:LLZ720923 LVV720909:LVV720923 MFR720909:MFR720923 MPN720909:MPN720923 MZJ720909:MZJ720923 NJF720909:NJF720923 NTB720909:NTB720923 OCX720909:OCX720923 OMT720909:OMT720923 OWP720909:OWP720923 PGL720909:PGL720923 PQH720909:PQH720923 QAD720909:QAD720923 QJZ720909:QJZ720923 QTV720909:QTV720923 RDR720909:RDR720923 RNN720909:RNN720923 RXJ720909:RXJ720923 SHF720909:SHF720923 SRB720909:SRB720923 TAX720909:TAX720923 TKT720909:TKT720923 TUP720909:TUP720923 UEL720909:UEL720923 UOH720909:UOH720923 UYD720909:UYD720923 VHZ720909:VHZ720923 VRV720909:VRV720923 WBR720909:WBR720923 WLN720909:WLN720923 WVJ720909:WVJ720923 B786445:B786459 IX786445:IX786459 ST786445:ST786459 ACP786445:ACP786459 AML786445:AML786459 AWH786445:AWH786459 BGD786445:BGD786459 BPZ786445:BPZ786459 BZV786445:BZV786459 CJR786445:CJR786459 CTN786445:CTN786459 DDJ786445:DDJ786459 DNF786445:DNF786459 DXB786445:DXB786459 EGX786445:EGX786459 EQT786445:EQT786459 FAP786445:FAP786459 FKL786445:FKL786459 FUH786445:FUH786459 GED786445:GED786459 GNZ786445:GNZ786459 GXV786445:GXV786459 HHR786445:HHR786459 HRN786445:HRN786459 IBJ786445:IBJ786459 ILF786445:ILF786459 IVB786445:IVB786459 JEX786445:JEX786459 JOT786445:JOT786459 JYP786445:JYP786459 KIL786445:KIL786459 KSH786445:KSH786459 LCD786445:LCD786459 LLZ786445:LLZ786459 LVV786445:LVV786459 MFR786445:MFR786459 MPN786445:MPN786459 MZJ786445:MZJ786459 NJF786445:NJF786459 NTB786445:NTB786459 OCX786445:OCX786459 OMT786445:OMT786459 OWP786445:OWP786459 PGL786445:PGL786459 PQH786445:PQH786459 QAD786445:QAD786459 QJZ786445:QJZ786459 QTV786445:QTV786459 RDR786445:RDR786459 RNN786445:RNN786459 RXJ786445:RXJ786459 SHF786445:SHF786459 SRB786445:SRB786459 TAX786445:TAX786459 TKT786445:TKT786459 TUP786445:TUP786459 UEL786445:UEL786459 UOH786445:UOH786459 UYD786445:UYD786459 VHZ786445:VHZ786459 VRV786445:VRV786459 WBR786445:WBR786459 WLN786445:WLN786459 WVJ786445:WVJ786459 B851981:B851995 IX851981:IX851995 ST851981:ST851995 ACP851981:ACP851995 AML851981:AML851995 AWH851981:AWH851995 BGD851981:BGD851995 BPZ851981:BPZ851995 BZV851981:BZV851995 CJR851981:CJR851995 CTN851981:CTN851995 DDJ851981:DDJ851995 DNF851981:DNF851995 DXB851981:DXB851995 EGX851981:EGX851995 EQT851981:EQT851995 FAP851981:FAP851995 FKL851981:FKL851995 FUH851981:FUH851995 GED851981:GED851995 GNZ851981:GNZ851995 GXV851981:GXV851995 HHR851981:HHR851995 HRN851981:HRN851995 IBJ851981:IBJ851995 ILF851981:ILF851995 IVB851981:IVB851995 JEX851981:JEX851995 JOT851981:JOT851995 JYP851981:JYP851995 KIL851981:KIL851995 KSH851981:KSH851995 LCD851981:LCD851995 LLZ851981:LLZ851995 LVV851981:LVV851995 MFR851981:MFR851995 MPN851981:MPN851995 MZJ851981:MZJ851995 NJF851981:NJF851995 NTB851981:NTB851995 OCX851981:OCX851995 OMT851981:OMT851995 OWP851981:OWP851995 PGL851981:PGL851995 PQH851981:PQH851995 QAD851981:QAD851995 QJZ851981:QJZ851995 QTV851981:QTV851995 RDR851981:RDR851995 RNN851981:RNN851995 RXJ851981:RXJ851995 SHF851981:SHF851995 SRB851981:SRB851995 TAX851981:TAX851995 TKT851981:TKT851995 TUP851981:TUP851995 UEL851981:UEL851995 UOH851981:UOH851995 UYD851981:UYD851995 VHZ851981:VHZ851995 VRV851981:VRV851995 WBR851981:WBR851995 WLN851981:WLN851995 WVJ851981:WVJ851995 B917517:B917531 IX917517:IX917531 ST917517:ST917531 ACP917517:ACP917531 AML917517:AML917531 AWH917517:AWH917531 BGD917517:BGD917531 BPZ917517:BPZ917531 BZV917517:BZV917531 CJR917517:CJR917531 CTN917517:CTN917531 DDJ917517:DDJ917531 DNF917517:DNF917531 DXB917517:DXB917531 EGX917517:EGX917531 EQT917517:EQT917531 FAP917517:FAP917531 FKL917517:FKL917531 FUH917517:FUH917531 GED917517:GED917531 GNZ917517:GNZ917531 GXV917517:GXV917531 HHR917517:HHR917531 HRN917517:HRN917531 IBJ917517:IBJ917531 ILF917517:ILF917531 IVB917517:IVB917531 JEX917517:JEX917531 JOT917517:JOT917531 JYP917517:JYP917531 KIL917517:KIL917531 KSH917517:KSH917531 LCD917517:LCD917531 LLZ917517:LLZ917531 LVV917517:LVV917531 MFR917517:MFR917531 MPN917517:MPN917531 MZJ917517:MZJ917531 NJF917517:NJF917531 NTB917517:NTB917531 OCX917517:OCX917531 OMT917517:OMT917531 OWP917517:OWP917531 PGL917517:PGL917531 PQH917517:PQH917531 QAD917517:QAD917531 QJZ917517:QJZ917531 QTV917517:QTV917531 RDR917517:RDR917531 RNN917517:RNN917531 RXJ917517:RXJ917531 SHF917517:SHF917531 SRB917517:SRB917531 TAX917517:TAX917531 TKT917517:TKT917531 TUP917517:TUP917531 UEL917517:UEL917531 UOH917517:UOH917531 UYD917517:UYD917531 VHZ917517:VHZ917531 VRV917517:VRV917531 WBR917517:WBR917531 WLN917517:WLN917531 WVJ917517:WVJ917531 B983053:B983067 IX983053:IX983067 ST983053:ST983067 ACP983053:ACP983067 AML983053:AML983067 AWH983053:AWH983067 BGD983053:BGD983067 BPZ983053:BPZ983067 BZV983053:BZV983067 CJR983053:CJR983067 CTN983053:CTN983067 DDJ983053:DDJ983067 DNF983053:DNF983067 DXB983053:DXB983067 EGX983053:EGX983067 EQT983053:EQT983067 FAP983053:FAP983067 FKL983053:FKL983067 FUH983053:FUH983067 GED983053:GED983067 GNZ983053:GNZ983067 GXV983053:GXV983067 HHR983053:HHR983067 HRN983053:HRN983067 IBJ983053:IBJ983067 ILF983053:ILF983067 IVB983053:IVB983067 JEX983053:JEX983067 JOT983053:JOT983067 JYP983053:JYP983067 KIL983053:KIL983067 KSH983053:KSH983067 LCD983053:LCD983067 LLZ983053:LLZ983067 LVV983053:LVV983067 MFR983053:MFR983067 MPN983053:MPN983067 MZJ983053:MZJ983067 NJF983053:NJF983067 NTB983053:NTB983067 OCX983053:OCX983067 OMT983053:OMT983067 OWP983053:OWP983067 PGL983053:PGL983067 PQH983053:PQH983067 QAD983053:QAD983067 QJZ983053:QJZ983067 QTV983053:QTV983067 RDR983053:RDR983067 RNN983053:RNN983067 RXJ983053:RXJ983067 SHF983053:SHF983067 SRB983053:SRB983067 TAX983053:TAX983067 TKT983053:TKT983067 TUP983053:TUP983067 UEL983053:UEL983067 UOH983053:UOH983067 UYD983053:UYD983067 VHZ983053:VHZ983067 VRV983053:VRV983067 WBR983053:WBR983067 WLN983053:WLN983067 WVJ983053:WVJ983067 WVR983053:WVR983067 JF13:JF27 TB13:TB27 ACX13:ACX27 AMT13:AMT27 AWP13:AWP27 BGL13:BGL27 BQH13:BQH27 CAD13:CAD27 CJZ13:CJZ27 CTV13:CTV27 DDR13:DDR27 DNN13:DNN27 DXJ13:DXJ27 EHF13:EHF27 ERB13:ERB27 FAX13:FAX27 FKT13:FKT27 FUP13:FUP27 GEL13:GEL27 GOH13:GOH27 GYD13:GYD27 HHZ13:HHZ27 HRV13:HRV27 IBR13:IBR27 ILN13:ILN27 IVJ13:IVJ27 JFF13:JFF27 JPB13:JPB27 JYX13:JYX27 KIT13:KIT27 KSP13:KSP27 LCL13:LCL27 LMH13:LMH27 LWD13:LWD27 MFZ13:MFZ27 MPV13:MPV27 MZR13:MZR27 NJN13:NJN27 NTJ13:NTJ27 ODF13:ODF27 ONB13:ONB27 OWX13:OWX27 PGT13:PGT27 PQP13:PQP27 QAL13:QAL27 QKH13:QKH27 QUD13:QUD27 RDZ13:RDZ27 RNV13:RNV27 RXR13:RXR27 SHN13:SHN27 SRJ13:SRJ27 TBF13:TBF27 TLB13:TLB27 TUX13:TUX27 UET13:UET27 UOP13:UOP27 UYL13:UYL27 VIH13:VIH27 VSD13:VSD27 WBZ13:WBZ27 WLV13:WLV27 WVR13:WVR27 J65549:J65563 JF65549:JF65563 TB65549:TB65563 ACX65549:ACX65563 AMT65549:AMT65563 AWP65549:AWP65563 BGL65549:BGL65563 BQH65549:BQH65563 CAD65549:CAD65563 CJZ65549:CJZ65563 CTV65549:CTV65563 DDR65549:DDR65563 DNN65549:DNN65563 DXJ65549:DXJ65563 EHF65549:EHF65563 ERB65549:ERB65563 FAX65549:FAX65563 FKT65549:FKT65563 FUP65549:FUP65563 GEL65549:GEL65563 GOH65549:GOH65563 GYD65549:GYD65563 HHZ65549:HHZ65563 HRV65549:HRV65563 IBR65549:IBR65563 ILN65549:ILN65563 IVJ65549:IVJ65563 JFF65549:JFF65563 JPB65549:JPB65563 JYX65549:JYX65563 KIT65549:KIT65563 KSP65549:KSP65563 LCL65549:LCL65563 LMH65549:LMH65563 LWD65549:LWD65563 MFZ65549:MFZ65563 MPV65549:MPV65563 MZR65549:MZR65563 NJN65549:NJN65563 NTJ65549:NTJ65563 ODF65549:ODF65563 ONB65549:ONB65563 OWX65549:OWX65563 PGT65549:PGT65563 PQP65549:PQP65563 QAL65549:QAL65563 QKH65549:QKH65563 QUD65549:QUD65563 RDZ65549:RDZ65563 RNV65549:RNV65563 RXR65549:RXR65563 SHN65549:SHN65563 SRJ65549:SRJ65563 TBF65549:TBF65563 TLB65549:TLB65563 TUX65549:TUX65563 UET65549:UET65563 UOP65549:UOP65563 UYL65549:UYL65563 VIH65549:VIH65563 VSD65549:VSD65563 WBZ65549:WBZ65563 WLV65549:WLV65563 WVR65549:WVR65563 J131085:J131099 JF131085:JF131099 TB131085:TB131099 ACX131085:ACX131099 AMT131085:AMT131099 AWP131085:AWP131099 BGL131085:BGL131099 BQH131085:BQH131099 CAD131085:CAD131099 CJZ131085:CJZ131099 CTV131085:CTV131099 DDR131085:DDR131099 DNN131085:DNN131099 DXJ131085:DXJ131099 EHF131085:EHF131099 ERB131085:ERB131099 FAX131085:FAX131099 FKT131085:FKT131099 FUP131085:FUP131099 GEL131085:GEL131099 GOH131085:GOH131099 GYD131085:GYD131099 HHZ131085:HHZ131099 HRV131085:HRV131099 IBR131085:IBR131099 ILN131085:ILN131099 IVJ131085:IVJ131099 JFF131085:JFF131099 JPB131085:JPB131099 JYX131085:JYX131099 KIT131085:KIT131099 KSP131085:KSP131099 LCL131085:LCL131099 LMH131085:LMH131099 LWD131085:LWD131099 MFZ131085:MFZ131099 MPV131085:MPV131099 MZR131085:MZR131099 NJN131085:NJN131099 NTJ131085:NTJ131099 ODF131085:ODF131099 ONB131085:ONB131099 OWX131085:OWX131099 PGT131085:PGT131099 PQP131085:PQP131099 QAL131085:QAL131099 QKH131085:QKH131099 QUD131085:QUD131099 RDZ131085:RDZ131099 RNV131085:RNV131099 RXR131085:RXR131099 SHN131085:SHN131099 SRJ131085:SRJ131099 TBF131085:TBF131099 TLB131085:TLB131099 TUX131085:TUX131099 UET131085:UET131099 UOP131085:UOP131099 UYL131085:UYL131099 VIH131085:VIH131099 VSD131085:VSD131099 WBZ131085:WBZ131099 WLV131085:WLV131099 WVR131085:WVR131099 J196621:J196635 JF196621:JF196635 TB196621:TB196635 ACX196621:ACX196635 AMT196621:AMT196635 AWP196621:AWP196635 BGL196621:BGL196635 BQH196621:BQH196635 CAD196621:CAD196635 CJZ196621:CJZ196635 CTV196621:CTV196635 DDR196621:DDR196635 DNN196621:DNN196635 DXJ196621:DXJ196635 EHF196621:EHF196635 ERB196621:ERB196635 FAX196621:FAX196635 FKT196621:FKT196635 FUP196621:FUP196635 GEL196621:GEL196635 GOH196621:GOH196635 GYD196621:GYD196635 HHZ196621:HHZ196635 HRV196621:HRV196635 IBR196621:IBR196635 ILN196621:ILN196635 IVJ196621:IVJ196635 JFF196621:JFF196635 JPB196621:JPB196635 JYX196621:JYX196635 KIT196621:KIT196635 KSP196621:KSP196635 LCL196621:LCL196635 LMH196621:LMH196635 LWD196621:LWD196635 MFZ196621:MFZ196635 MPV196621:MPV196635 MZR196621:MZR196635 NJN196621:NJN196635 NTJ196621:NTJ196635 ODF196621:ODF196635 ONB196621:ONB196635 OWX196621:OWX196635 PGT196621:PGT196635 PQP196621:PQP196635 QAL196621:QAL196635 QKH196621:QKH196635 QUD196621:QUD196635 RDZ196621:RDZ196635 RNV196621:RNV196635 RXR196621:RXR196635 SHN196621:SHN196635 SRJ196621:SRJ196635 TBF196621:TBF196635 TLB196621:TLB196635 TUX196621:TUX196635 UET196621:UET196635 UOP196621:UOP196635 UYL196621:UYL196635 VIH196621:VIH196635 VSD196621:VSD196635 WBZ196621:WBZ196635 WLV196621:WLV196635 WVR196621:WVR196635 J262157:J262171 JF262157:JF262171 TB262157:TB262171 ACX262157:ACX262171 AMT262157:AMT262171 AWP262157:AWP262171 BGL262157:BGL262171 BQH262157:BQH262171 CAD262157:CAD262171 CJZ262157:CJZ262171 CTV262157:CTV262171 DDR262157:DDR262171 DNN262157:DNN262171 DXJ262157:DXJ262171 EHF262157:EHF262171 ERB262157:ERB262171 FAX262157:FAX262171 FKT262157:FKT262171 FUP262157:FUP262171 GEL262157:GEL262171 GOH262157:GOH262171 GYD262157:GYD262171 HHZ262157:HHZ262171 HRV262157:HRV262171 IBR262157:IBR262171 ILN262157:ILN262171 IVJ262157:IVJ262171 JFF262157:JFF262171 JPB262157:JPB262171 JYX262157:JYX262171 KIT262157:KIT262171 KSP262157:KSP262171 LCL262157:LCL262171 LMH262157:LMH262171 LWD262157:LWD262171 MFZ262157:MFZ262171 MPV262157:MPV262171 MZR262157:MZR262171 NJN262157:NJN262171 NTJ262157:NTJ262171 ODF262157:ODF262171 ONB262157:ONB262171 OWX262157:OWX262171 PGT262157:PGT262171 PQP262157:PQP262171 QAL262157:QAL262171 QKH262157:QKH262171 QUD262157:QUD262171 RDZ262157:RDZ262171 RNV262157:RNV262171 RXR262157:RXR262171 SHN262157:SHN262171 SRJ262157:SRJ262171 TBF262157:TBF262171 TLB262157:TLB262171 TUX262157:TUX262171 UET262157:UET262171 UOP262157:UOP262171 UYL262157:UYL262171 VIH262157:VIH262171 VSD262157:VSD262171 WBZ262157:WBZ262171 WLV262157:WLV262171 WVR262157:WVR262171 J327693:J327707 JF327693:JF327707 TB327693:TB327707 ACX327693:ACX327707 AMT327693:AMT327707 AWP327693:AWP327707 BGL327693:BGL327707 BQH327693:BQH327707 CAD327693:CAD327707 CJZ327693:CJZ327707 CTV327693:CTV327707 DDR327693:DDR327707 DNN327693:DNN327707 DXJ327693:DXJ327707 EHF327693:EHF327707 ERB327693:ERB327707 FAX327693:FAX327707 FKT327693:FKT327707 FUP327693:FUP327707 GEL327693:GEL327707 GOH327693:GOH327707 GYD327693:GYD327707 HHZ327693:HHZ327707 HRV327693:HRV327707 IBR327693:IBR327707 ILN327693:ILN327707 IVJ327693:IVJ327707 JFF327693:JFF327707 JPB327693:JPB327707 JYX327693:JYX327707 KIT327693:KIT327707 KSP327693:KSP327707 LCL327693:LCL327707 LMH327693:LMH327707 LWD327693:LWD327707 MFZ327693:MFZ327707 MPV327693:MPV327707 MZR327693:MZR327707 NJN327693:NJN327707 NTJ327693:NTJ327707 ODF327693:ODF327707 ONB327693:ONB327707 OWX327693:OWX327707 PGT327693:PGT327707 PQP327693:PQP327707 QAL327693:QAL327707 QKH327693:QKH327707 QUD327693:QUD327707 RDZ327693:RDZ327707 RNV327693:RNV327707 RXR327693:RXR327707 SHN327693:SHN327707 SRJ327693:SRJ327707 TBF327693:TBF327707 TLB327693:TLB327707 TUX327693:TUX327707 UET327693:UET327707 UOP327693:UOP327707 UYL327693:UYL327707 VIH327693:VIH327707 VSD327693:VSD327707 WBZ327693:WBZ327707 WLV327693:WLV327707 WVR327693:WVR327707 J393229:J393243 JF393229:JF393243 TB393229:TB393243 ACX393229:ACX393243 AMT393229:AMT393243 AWP393229:AWP393243 BGL393229:BGL393243 BQH393229:BQH393243 CAD393229:CAD393243 CJZ393229:CJZ393243 CTV393229:CTV393243 DDR393229:DDR393243 DNN393229:DNN393243 DXJ393229:DXJ393243 EHF393229:EHF393243 ERB393229:ERB393243 FAX393229:FAX393243 FKT393229:FKT393243 FUP393229:FUP393243 GEL393229:GEL393243 GOH393229:GOH393243 GYD393229:GYD393243 HHZ393229:HHZ393243 HRV393229:HRV393243 IBR393229:IBR393243 ILN393229:ILN393243 IVJ393229:IVJ393243 JFF393229:JFF393243 JPB393229:JPB393243 JYX393229:JYX393243 KIT393229:KIT393243 KSP393229:KSP393243 LCL393229:LCL393243 LMH393229:LMH393243 LWD393229:LWD393243 MFZ393229:MFZ393243 MPV393229:MPV393243 MZR393229:MZR393243 NJN393229:NJN393243 NTJ393229:NTJ393243 ODF393229:ODF393243 ONB393229:ONB393243 OWX393229:OWX393243 PGT393229:PGT393243 PQP393229:PQP393243 QAL393229:QAL393243 QKH393229:QKH393243 QUD393229:QUD393243 RDZ393229:RDZ393243 RNV393229:RNV393243 RXR393229:RXR393243 SHN393229:SHN393243 SRJ393229:SRJ393243 TBF393229:TBF393243 TLB393229:TLB393243 TUX393229:TUX393243 UET393229:UET393243 UOP393229:UOP393243 UYL393229:UYL393243 VIH393229:VIH393243 VSD393229:VSD393243 WBZ393229:WBZ393243 WLV393229:WLV393243 WVR393229:WVR393243 J458765:J458779 JF458765:JF458779 TB458765:TB458779 ACX458765:ACX458779 AMT458765:AMT458779 AWP458765:AWP458779 BGL458765:BGL458779 BQH458765:BQH458779 CAD458765:CAD458779 CJZ458765:CJZ458779 CTV458765:CTV458779 DDR458765:DDR458779 DNN458765:DNN458779 DXJ458765:DXJ458779 EHF458765:EHF458779 ERB458765:ERB458779 FAX458765:FAX458779 FKT458765:FKT458779 FUP458765:FUP458779 GEL458765:GEL458779 GOH458765:GOH458779 GYD458765:GYD458779 HHZ458765:HHZ458779 HRV458765:HRV458779 IBR458765:IBR458779 ILN458765:ILN458779 IVJ458765:IVJ458779 JFF458765:JFF458779 JPB458765:JPB458779 JYX458765:JYX458779 KIT458765:KIT458779 KSP458765:KSP458779 LCL458765:LCL458779 LMH458765:LMH458779 LWD458765:LWD458779 MFZ458765:MFZ458779 MPV458765:MPV458779 MZR458765:MZR458779 NJN458765:NJN458779 NTJ458765:NTJ458779 ODF458765:ODF458779 ONB458765:ONB458779 OWX458765:OWX458779 PGT458765:PGT458779 PQP458765:PQP458779 QAL458765:QAL458779 QKH458765:QKH458779 QUD458765:QUD458779 RDZ458765:RDZ458779 RNV458765:RNV458779 RXR458765:RXR458779 SHN458765:SHN458779 SRJ458765:SRJ458779 TBF458765:TBF458779 TLB458765:TLB458779 TUX458765:TUX458779 UET458765:UET458779 UOP458765:UOP458779 UYL458765:UYL458779 VIH458765:VIH458779 VSD458765:VSD458779 WBZ458765:WBZ458779 WLV458765:WLV458779 WVR458765:WVR458779 J524301:J524315 JF524301:JF524315 TB524301:TB524315 ACX524301:ACX524315 AMT524301:AMT524315 AWP524301:AWP524315 BGL524301:BGL524315 BQH524301:BQH524315 CAD524301:CAD524315 CJZ524301:CJZ524315 CTV524301:CTV524315 DDR524301:DDR524315 DNN524301:DNN524315 DXJ524301:DXJ524315 EHF524301:EHF524315 ERB524301:ERB524315 FAX524301:FAX524315 FKT524301:FKT524315 FUP524301:FUP524315 GEL524301:GEL524315 GOH524301:GOH524315 GYD524301:GYD524315 HHZ524301:HHZ524315 HRV524301:HRV524315 IBR524301:IBR524315 ILN524301:ILN524315 IVJ524301:IVJ524315 JFF524301:JFF524315 JPB524301:JPB524315 JYX524301:JYX524315 KIT524301:KIT524315 KSP524301:KSP524315 LCL524301:LCL524315 LMH524301:LMH524315 LWD524301:LWD524315 MFZ524301:MFZ524315 MPV524301:MPV524315 MZR524301:MZR524315 NJN524301:NJN524315 NTJ524301:NTJ524315 ODF524301:ODF524315 ONB524301:ONB524315 OWX524301:OWX524315 PGT524301:PGT524315 PQP524301:PQP524315 QAL524301:QAL524315 QKH524301:QKH524315 QUD524301:QUD524315 RDZ524301:RDZ524315 RNV524301:RNV524315 RXR524301:RXR524315 SHN524301:SHN524315 SRJ524301:SRJ524315 TBF524301:TBF524315 TLB524301:TLB524315 TUX524301:TUX524315 UET524301:UET524315 UOP524301:UOP524315 UYL524301:UYL524315 VIH524301:VIH524315 VSD524301:VSD524315 WBZ524301:WBZ524315 WLV524301:WLV524315 WVR524301:WVR524315 J589837:J589851 JF589837:JF589851 TB589837:TB589851 ACX589837:ACX589851 AMT589837:AMT589851 AWP589837:AWP589851 BGL589837:BGL589851 BQH589837:BQH589851 CAD589837:CAD589851 CJZ589837:CJZ589851 CTV589837:CTV589851 DDR589837:DDR589851 DNN589837:DNN589851 DXJ589837:DXJ589851 EHF589837:EHF589851 ERB589837:ERB589851 FAX589837:FAX589851 FKT589837:FKT589851 FUP589837:FUP589851 GEL589837:GEL589851 GOH589837:GOH589851 GYD589837:GYD589851 HHZ589837:HHZ589851 HRV589837:HRV589851 IBR589837:IBR589851 ILN589837:ILN589851 IVJ589837:IVJ589851 JFF589837:JFF589851 JPB589837:JPB589851 JYX589837:JYX589851 KIT589837:KIT589851 KSP589837:KSP589851 LCL589837:LCL589851 LMH589837:LMH589851 LWD589837:LWD589851 MFZ589837:MFZ589851 MPV589837:MPV589851 MZR589837:MZR589851 NJN589837:NJN589851 NTJ589837:NTJ589851 ODF589837:ODF589851 ONB589837:ONB589851 OWX589837:OWX589851 PGT589837:PGT589851 PQP589837:PQP589851 QAL589837:QAL589851 QKH589837:QKH589851 QUD589837:QUD589851 RDZ589837:RDZ589851 RNV589837:RNV589851 RXR589837:RXR589851 SHN589837:SHN589851 SRJ589837:SRJ589851 TBF589837:TBF589851 TLB589837:TLB589851 TUX589837:TUX589851 UET589837:UET589851 UOP589837:UOP589851 UYL589837:UYL589851 VIH589837:VIH589851 VSD589837:VSD589851 WBZ589837:WBZ589851 WLV589837:WLV589851 WVR589837:WVR589851 J655373:J655387 JF655373:JF655387 TB655373:TB655387 ACX655373:ACX655387 AMT655373:AMT655387 AWP655373:AWP655387 BGL655373:BGL655387 BQH655373:BQH655387 CAD655373:CAD655387 CJZ655373:CJZ655387 CTV655373:CTV655387 DDR655373:DDR655387 DNN655373:DNN655387 DXJ655373:DXJ655387 EHF655373:EHF655387 ERB655373:ERB655387 FAX655373:FAX655387 FKT655373:FKT655387 FUP655373:FUP655387 GEL655373:GEL655387 GOH655373:GOH655387 GYD655373:GYD655387 HHZ655373:HHZ655387 HRV655373:HRV655387 IBR655373:IBR655387 ILN655373:ILN655387 IVJ655373:IVJ655387 JFF655373:JFF655387 JPB655373:JPB655387 JYX655373:JYX655387 KIT655373:KIT655387 KSP655373:KSP655387 LCL655373:LCL655387 LMH655373:LMH655387 LWD655373:LWD655387 MFZ655373:MFZ655387 MPV655373:MPV655387 MZR655373:MZR655387 NJN655373:NJN655387 NTJ655373:NTJ655387 ODF655373:ODF655387 ONB655373:ONB655387 OWX655373:OWX655387 PGT655373:PGT655387 PQP655373:PQP655387 QAL655373:QAL655387 QKH655373:QKH655387 QUD655373:QUD655387 RDZ655373:RDZ655387 RNV655373:RNV655387 RXR655373:RXR655387 SHN655373:SHN655387 SRJ655373:SRJ655387 TBF655373:TBF655387 TLB655373:TLB655387 TUX655373:TUX655387 UET655373:UET655387 UOP655373:UOP655387 UYL655373:UYL655387 VIH655373:VIH655387 VSD655373:VSD655387 WBZ655373:WBZ655387 WLV655373:WLV655387 WVR655373:WVR655387 J720909:J720923 JF720909:JF720923 TB720909:TB720923 ACX720909:ACX720923 AMT720909:AMT720923 AWP720909:AWP720923 BGL720909:BGL720923 BQH720909:BQH720923 CAD720909:CAD720923 CJZ720909:CJZ720923 CTV720909:CTV720923 DDR720909:DDR720923 DNN720909:DNN720923 DXJ720909:DXJ720923 EHF720909:EHF720923 ERB720909:ERB720923 FAX720909:FAX720923 FKT720909:FKT720923 FUP720909:FUP720923 GEL720909:GEL720923 GOH720909:GOH720923 GYD720909:GYD720923 HHZ720909:HHZ720923 HRV720909:HRV720923 IBR720909:IBR720923 ILN720909:ILN720923 IVJ720909:IVJ720923 JFF720909:JFF720923 JPB720909:JPB720923 JYX720909:JYX720923 KIT720909:KIT720923 KSP720909:KSP720923 LCL720909:LCL720923 LMH720909:LMH720923 LWD720909:LWD720923 MFZ720909:MFZ720923 MPV720909:MPV720923 MZR720909:MZR720923 NJN720909:NJN720923 NTJ720909:NTJ720923 ODF720909:ODF720923 ONB720909:ONB720923 OWX720909:OWX720923 PGT720909:PGT720923 PQP720909:PQP720923 QAL720909:QAL720923 QKH720909:QKH720923 QUD720909:QUD720923 RDZ720909:RDZ720923 RNV720909:RNV720923 RXR720909:RXR720923 SHN720909:SHN720923 SRJ720909:SRJ720923 TBF720909:TBF720923 TLB720909:TLB720923 TUX720909:TUX720923 UET720909:UET720923 UOP720909:UOP720923 UYL720909:UYL720923 VIH720909:VIH720923 VSD720909:VSD720923 WBZ720909:WBZ720923 WLV720909:WLV720923 WVR720909:WVR720923 J786445:J786459 JF786445:JF786459 TB786445:TB786459 ACX786445:ACX786459 AMT786445:AMT786459 AWP786445:AWP786459 BGL786445:BGL786459 BQH786445:BQH786459 CAD786445:CAD786459 CJZ786445:CJZ786459 CTV786445:CTV786459 DDR786445:DDR786459 DNN786445:DNN786459 DXJ786445:DXJ786459 EHF786445:EHF786459 ERB786445:ERB786459 FAX786445:FAX786459 FKT786445:FKT786459 FUP786445:FUP786459 GEL786445:GEL786459 GOH786445:GOH786459 GYD786445:GYD786459 HHZ786445:HHZ786459 HRV786445:HRV786459 IBR786445:IBR786459 ILN786445:ILN786459 IVJ786445:IVJ786459 JFF786445:JFF786459 JPB786445:JPB786459 JYX786445:JYX786459 KIT786445:KIT786459 KSP786445:KSP786459 LCL786445:LCL786459 LMH786445:LMH786459 LWD786445:LWD786459 MFZ786445:MFZ786459 MPV786445:MPV786459 MZR786445:MZR786459 NJN786445:NJN786459 NTJ786445:NTJ786459 ODF786445:ODF786459 ONB786445:ONB786459 OWX786445:OWX786459 PGT786445:PGT786459 PQP786445:PQP786459 QAL786445:QAL786459 QKH786445:QKH786459 QUD786445:QUD786459 RDZ786445:RDZ786459 RNV786445:RNV786459 RXR786445:RXR786459 SHN786445:SHN786459 SRJ786445:SRJ786459 TBF786445:TBF786459 TLB786445:TLB786459 TUX786445:TUX786459 UET786445:UET786459 UOP786445:UOP786459 UYL786445:UYL786459 VIH786445:VIH786459 VSD786445:VSD786459 WBZ786445:WBZ786459 WLV786445:WLV786459 WVR786445:WVR786459 J851981:J851995 JF851981:JF851995 TB851981:TB851995 ACX851981:ACX851995 AMT851981:AMT851995 AWP851981:AWP851995 BGL851981:BGL851995 BQH851981:BQH851995 CAD851981:CAD851995 CJZ851981:CJZ851995 CTV851981:CTV851995 DDR851981:DDR851995 DNN851981:DNN851995 DXJ851981:DXJ851995 EHF851981:EHF851995 ERB851981:ERB851995 FAX851981:FAX851995 FKT851981:FKT851995 FUP851981:FUP851995 GEL851981:GEL851995 GOH851981:GOH851995 GYD851981:GYD851995 HHZ851981:HHZ851995 HRV851981:HRV851995 IBR851981:IBR851995 ILN851981:ILN851995 IVJ851981:IVJ851995 JFF851981:JFF851995 JPB851981:JPB851995 JYX851981:JYX851995 KIT851981:KIT851995 KSP851981:KSP851995 LCL851981:LCL851995 LMH851981:LMH851995 LWD851981:LWD851995 MFZ851981:MFZ851995 MPV851981:MPV851995 MZR851981:MZR851995 NJN851981:NJN851995 NTJ851981:NTJ851995 ODF851981:ODF851995 ONB851981:ONB851995 OWX851981:OWX851995 PGT851981:PGT851995 PQP851981:PQP851995 QAL851981:QAL851995 QKH851981:QKH851995 QUD851981:QUD851995 RDZ851981:RDZ851995 RNV851981:RNV851995 RXR851981:RXR851995 SHN851981:SHN851995 SRJ851981:SRJ851995 TBF851981:TBF851995 TLB851981:TLB851995 TUX851981:TUX851995 UET851981:UET851995 UOP851981:UOP851995 UYL851981:UYL851995 VIH851981:VIH851995 VSD851981:VSD851995 WBZ851981:WBZ851995 WLV851981:WLV851995 WVR851981:WVR851995 J917517:J917531 JF917517:JF917531 TB917517:TB917531 ACX917517:ACX917531 AMT917517:AMT917531 AWP917517:AWP917531 BGL917517:BGL917531 BQH917517:BQH917531 CAD917517:CAD917531 CJZ917517:CJZ917531 CTV917517:CTV917531 DDR917517:DDR917531 DNN917517:DNN917531 DXJ917517:DXJ917531 EHF917517:EHF917531 ERB917517:ERB917531 FAX917517:FAX917531 FKT917517:FKT917531 FUP917517:FUP917531 GEL917517:GEL917531 GOH917517:GOH917531 GYD917517:GYD917531 HHZ917517:HHZ917531 HRV917517:HRV917531 IBR917517:IBR917531 ILN917517:ILN917531 IVJ917517:IVJ917531 JFF917517:JFF917531 JPB917517:JPB917531 JYX917517:JYX917531 KIT917517:KIT917531 KSP917517:KSP917531 LCL917517:LCL917531 LMH917517:LMH917531 LWD917517:LWD917531 MFZ917517:MFZ917531 MPV917517:MPV917531 MZR917517:MZR917531 NJN917517:NJN917531 NTJ917517:NTJ917531 ODF917517:ODF917531 ONB917517:ONB917531 OWX917517:OWX917531 PGT917517:PGT917531 PQP917517:PQP917531 QAL917517:QAL917531 QKH917517:QKH917531 QUD917517:QUD917531 RDZ917517:RDZ917531 RNV917517:RNV917531 RXR917517:RXR917531 SHN917517:SHN917531 SRJ917517:SRJ917531 TBF917517:TBF917531 TLB917517:TLB917531 TUX917517:TUX917531 UET917517:UET917531 UOP917517:UOP917531 UYL917517:UYL917531 VIH917517:VIH917531 VSD917517:VSD917531 WBZ917517:WBZ917531 WLV917517:WLV917531 WVR917517:WVR917531 J983053:J983067 JF983053:JF983067 TB983053:TB983067 ACX983053:ACX983067 AMT983053:AMT983067 AWP983053:AWP983067 BGL983053:BGL983067 BQH983053:BQH983067 CAD983053:CAD983067 CJZ983053:CJZ983067 CTV983053:CTV983067 DDR983053:DDR983067 DNN983053:DNN983067 DXJ983053:DXJ983067 EHF983053:EHF983067 ERB983053:ERB983067 FAX983053:FAX983067 FKT983053:FKT983067 FUP983053:FUP983067 GEL983053:GEL983067 GOH983053:GOH983067 GYD983053:GYD983067 HHZ983053:HHZ983067 HRV983053:HRV983067 IBR983053:IBR983067 ILN983053:ILN983067 IVJ983053:IVJ983067 JFF983053:JFF983067 JPB983053:JPB983067 JYX983053:JYX983067 KIT983053:KIT983067 KSP983053:KSP983067 LCL983053:LCL983067 LMH983053:LMH983067 LWD983053:LWD983067 MFZ983053:MFZ983067 MPV983053:MPV983067 MZR983053:MZR983067 NJN983053:NJN983067 NTJ983053:NTJ983067 ODF983053:ODF983067 ONB983053:ONB983067 OWX983053:OWX983067 PGT983053:PGT983067 PQP983053:PQP983067 QAL983053:QAL983067 QKH983053:QKH983067 QUD983053:QUD983067 RDZ983053:RDZ983067 RNV983053:RNV983067 RXR983053:RXR983067 SHN983053:SHN983067 SRJ983053:SRJ983067 TBF983053:TBF983067 TLB983053:TLB983067 TUX983053:TUX983067 UET983053:UET983067 UOP983053:UOP983067 UYL983053:UYL983067 VIH983053:VIH983067 VSD983053:VSD983067 WBZ983053:WBZ983067 WLV983053:WLV983067 J13:J27 B13:B27" xr:uid="{00000000-0002-0000-2E00-000000000000}">
      <formula1>4</formula1>
    </dataValidation>
    <dataValidation type="textLength" operator="equal" allowBlank="1" showInputMessage="1" showErrorMessage="1" errorTitle="Invalid data!" error="GASB number must be 4 digits." sqref="IZ13:IZ27 SV13:SV27 ACR13:ACR27 AMN13:AMN27 AWJ13:AWJ27 BGF13:BGF27 BQB13:BQB27 BZX13:BZX27 CJT13:CJT27 CTP13:CTP27 DDL13:DDL27 DNH13:DNH27 DXD13:DXD27 EGZ13:EGZ27 EQV13:EQV27 FAR13:FAR27 FKN13:FKN27 FUJ13:FUJ27 GEF13:GEF27 GOB13:GOB27 GXX13:GXX27 HHT13:HHT27 HRP13:HRP27 IBL13:IBL27 ILH13:ILH27 IVD13:IVD27 JEZ13:JEZ27 JOV13:JOV27 JYR13:JYR27 KIN13:KIN27 KSJ13:KSJ27 LCF13:LCF27 LMB13:LMB27 LVX13:LVX27 MFT13:MFT27 MPP13:MPP27 MZL13:MZL27 NJH13:NJH27 NTD13:NTD27 OCZ13:OCZ27 OMV13:OMV27 OWR13:OWR27 PGN13:PGN27 PQJ13:PQJ27 QAF13:QAF27 QKB13:QKB27 QTX13:QTX27 RDT13:RDT27 RNP13:RNP27 RXL13:RXL27 SHH13:SHH27 SRD13:SRD27 TAZ13:TAZ27 TKV13:TKV27 TUR13:TUR27 UEN13:UEN27 UOJ13:UOJ27 UYF13:UYF27 VIB13:VIB27 VRX13:VRX27 WBT13:WBT27 WLP13:WLP27 WVL13:WVL27 D65549:D65563 IZ65549:IZ65563 SV65549:SV65563 ACR65549:ACR65563 AMN65549:AMN65563 AWJ65549:AWJ65563 BGF65549:BGF65563 BQB65549:BQB65563 BZX65549:BZX65563 CJT65549:CJT65563 CTP65549:CTP65563 DDL65549:DDL65563 DNH65549:DNH65563 DXD65549:DXD65563 EGZ65549:EGZ65563 EQV65549:EQV65563 FAR65549:FAR65563 FKN65549:FKN65563 FUJ65549:FUJ65563 GEF65549:GEF65563 GOB65549:GOB65563 GXX65549:GXX65563 HHT65549:HHT65563 HRP65549:HRP65563 IBL65549:IBL65563 ILH65549:ILH65563 IVD65549:IVD65563 JEZ65549:JEZ65563 JOV65549:JOV65563 JYR65549:JYR65563 KIN65549:KIN65563 KSJ65549:KSJ65563 LCF65549:LCF65563 LMB65549:LMB65563 LVX65549:LVX65563 MFT65549:MFT65563 MPP65549:MPP65563 MZL65549:MZL65563 NJH65549:NJH65563 NTD65549:NTD65563 OCZ65549:OCZ65563 OMV65549:OMV65563 OWR65549:OWR65563 PGN65549:PGN65563 PQJ65549:PQJ65563 QAF65549:QAF65563 QKB65549:QKB65563 QTX65549:QTX65563 RDT65549:RDT65563 RNP65549:RNP65563 RXL65549:RXL65563 SHH65549:SHH65563 SRD65549:SRD65563 TAZ65549:TAZ65563 TKV65549:TKV65563 TUR65549:TUR65563 UEN65549:UEN65563 UOJ65549:UOJ65563 UYF65549:UYF65563 VIB65549:VIB65563 VRX65549:VRX65563 WBT65549:WBT65563 WLP65549:WLP65563 WVL65549:WVL65563 D131085:D131099 IZ131085:IZ131099 SV131085:SV131099 ACR131085:ACR131099 AMN131085:AMN131099 AWJ131085:AWJ131099 BGF131085:BGF131099 BQB131085:BQB131099 BZX131085:BZX131099 CJT131085:CJT131099 CTP131085:CTP131099 DDL131085:DDL131099 DNH131085:DNH131099 DXD131085:DXD131099 EGZ131085:EGZ131099 EQV131085:EQV131099 FAR131085:FAR131099 FKN131085:FKN131099 FUJ131085:FUJ131099 GEF131085:GEF131099 GOB131085:GOB131099 GXX131085:GXX131099 HHT131085:HHT131099 HRP131085:HRP131099 IBL131085:IBL131099 ILH131085:ILH131099 IVD131085:IVD131099 JEZ131085:JEZ131099 JOV131085:JOV131099 JYR131085:JYR131099 KIN131085:KIN131099 KSJ131085:KSJ131099 LCF131085:LCF131099 LMB131085:LMB131099 LVX131085:LVX131099 MFT131085:MFT131099 MPP131085:MPP131099 MZL131085:MZL131099 NJH131085:NJH131099 NTD131085:NTD131099 OCZ131085:OCZ131099 OMV131085:OMV131099 OWR131085:OWR131099 PGN131085:PGN131099 PQJ131085:PQJ131099 QAF131085:QAF131099 QKB131085:QKB131099 QTX131085:QTX131099 RDT131085:RDT131099 RNP131085:RNP131099 RXL131085:RXL131099 SHH131085:SHH131099 SRD131085:SRD131099 TAZ131085:TAZ131099 TKV131085:TKV131099 TUR131085:TUR131099 UEN131085:UEN131099 UOJ131085:UOJ131099 UYF131085:UYF131099 VIB131085:VIB131099 VRX131085:VRX131099 WBT131085:WBT131099 WLP131085:WLP131099 WVL131085:WVL131099 D196621:D196635 IZ196621:IZ196635 SV196621:SV196635 ACR196621:ACR196635 AMN196621:AMN196635 AWJ196621:AWJ196635 BGF196621:BGF196635 BQB196621:BQB196635 BZX196621:BZX196635 CJT196621:CJT196635 CTP196621:CTP196635 DDL196621:DDL196635 DNH196621:DNH196635 DXD196621:DXD196635 EGZ196621:EGZ196635 EQV196621:EQV196635 FAR196621:FAR196635 FKN196621:FKN196635 FUJ196621:FUJ196635 GEF196621:GEF196635 GOB196621:GOB196635 GXX196621:GXX196635 HHT196621:HHT196635 HRP196621:HRP196635 IBL196621:IBL196635 ILH196621:ILH196635 IVD196621:IVD196635 JEZ196621:JEZ196635 JOV196621:JOV196635 JYR196621:JYR196635 KIN196621:KIN196635 KSJ196621:KSJ196635 LCF196621:LCF196635 LMB196621:LMB196635 LVX196621:LVX196635 MFT196621:MFT196635 MPP196621:MPP196635 MZL196621:MZL196635 NJH196621:NJH196635 NTD196621:NTD196635 OCZ196621:OCZ196635 OMV196621:OMV196635 OWR196621:OWR196635 PGN196621:PGN196635 PQJ196621:PQJ196635 QAF196621:QAF196635 QKB196621:QKB196635 QTX196621:QTX196635 RDT196621:RDT196635 RNP196621:RNP196635 RXL196621:RXL196635 SHH196621:SHH196635 SRD196621:SRD196635 TAZ196621:TAZ196635 TKV196621:TKV196635 TUR196621:TUR196635 UEN196621:UEN196635 UOJ196621:UOJ196635 UYF196621:UYF196635 VIB196621:VIB196635 VRX196621:VRX196635 WBT196621:WBT196635 WLP196621:WLP196635 WVL196621:WVL196635 D262157:D262171 IZ262157:IZ262171 SV262157:SV262171 ACR262157:ACR262171 AMN262157:AMN262171 AWJ262157:AWJ262171 BGF262157:BGF262171 BQB262157:BQB262171 BZX262157:BZX262171 CJT262157:CJT262171 CTP262157:CTP262171 DDL262157:DDL262171 DNH262157:DNH262171 DXD262157:DXD262171 EGZ262157:EGZ262171 EQV262157:EQV262171 FAR262157:FAR262171 FKN262157:FKN262171 FUJ262157:FUJ262171 GEF262157:GEF262171 GOB262157:GOB262171 GXX262157:GXX262171 HHT262157:HHT262171 HRP262157:HRP262171 IBL262157:IBL262171 ILH262157:ILH262171 IVD262157:IVD262171 JEZ262157:JEZ262171 JOV262157:JOV262171 JYR262157:JYR262171 KIN262157:KIN262171 KSJ262157:KSJ262171 LCF262157:LCF262171 LMB262157:LMB262171 LVX262157:LVX262171 MFT262157:MFT262171 MPP262157:MPP262171 MZL262157:MZL262171 NJH262157:NJH262171 NTD262157:NTD262171 OCZ262157:OCZ262171 OMV262157:OMV262171 OWR262157:OWR262171 PGN262157:PGN262171 PQJ262157:PQJ262171 QAF262157:QAF262171 QKB262157:QKB262171 QTX262157:QTX262171 RDT262157:RDT262171 RNP262157:RNP262171 RXL262157:RXL262171 SHH262157:SHH262171 SRD262157:SRD262171 TAZ262157:TAZ262171 TKV262157:TKV262171 TUR262157:TUR262171 UEN262157:UEN262171 UOJ262157:UOJ262171 UYF262157:UYF262171 VIB262157:VIB262171 VRX262157:VRX262171 WBT262157:WBT262171 WLP262157:WLP262171 WVL262157:WVL262171 D327693:D327707 IZ327693:IZ327707 SV327693:SV327707 ACR327693:ACR327707 AMN327693:AMN327707 AWJ327693:AWJ327707 BGF327693:BGF327707 BQB327693:BQB327707 BZX327693:BZX327707 CJT327693:CJT327707 CTP327693:CTP327707 DDL327693:DDL327707 DNH327693:DNH327707 DXD327693:DXD327707 EGZ327693:EGZ327707 EQV327693:EQV327707 FAR327693:FAR327707 FKN327693:FKN327707 FUJ327693:FUJ327707 GEF327693:GEF327707 GOB327693:GOB327707 GXX327693:GXX327707 HHT327693:HHT327707 HRP327693:HRP327707 IBL327693:IBL327707 ILH327693:ILH327707 IVD327693:IVD327707 JEZ327693:JEZ327707 JOV327693:JOV327707 JYR327693:JYR327707 KIN327693:KIN327707 KSJ327693:KSJ327707 LCF327693:LCF327707 LMB327693:LMB327707 LVX327693:LVX327707 MFT327693:MFT327707 MPP327693:MPP327707 MZL327693:MZL327707 NJH327693:NJH327707 NTD327693:NTD327707 OCZ327693:OCZ327707 OMV327693:OMV327707 OWR327693:OWR327707 PGN327693:PGN327707 PQJ327693:PQJ327707 QAF327693:QAF327707 QKB327693:QKB327707 QTX327693:QTX327707 RDT327693:RDT327707 RNP327693:RNP327707 RXL327693:RXL327707 SHH327693:SHH327707 SRD327693:SRD327707 TAZ327693:TAZ327707 TKV327693:TKV327707 TUR327693:TUR327707 UEN327693:UEN327707 UOJ327693:UOJ327707 UYF327693:UYF327707 VIB327693:VIB327707 VRX327693:VRX327707 WBT327693:WBT327707 WLP327693:WLP327707 WVL327693:WVL327707 D393229:D393243 IZ393229:IZ393243 SV393229:SV393243 ACR393229:ACR393243 AMN393229:AMN393243 AWJ393229:AWJ393243 BGF393229:BGF393243 BQB393229:BQB393243 BZX393229:BZX393243 CJT393229:CJT393243 CTP393229:CTP393243 DDL393229:DDL393243 DNH393229:DNH393243 DXD393229:DXD393243 EGZ393229:EGZ393243 EQV393229:EQV393243 FAR393229:FAR393243 FKN393229:FKN393243 FUJ393229:FUJ393243 GEF393229:GEF393243 GOB393229:GOB393243 GXX393229:GXX393243 HHT393229:HHT393243 HRP393229:HRP393243 IBL393229:IBL393243 ILH393229:ILH393243 IVD393229:IVD393243 JEZ393229:JEZ393243 JOV393229:JOV393243 JYR393229:JYR393243 KIN393229:KIN393243 KSJ393229:KSJ393243 LCF393229:LCF393243 LMB393229:LMB393243 LVX393229:LVX393243 MFT393229:MFT393243 MPP393229:MPP393243 MZL393229:MZL393243 NJH393229:NJH393243 NTD393229:NTD393243 OCZ393229:OCZ393243 OMV393229:OMV393243 OWR393229:OWR393243 PGN393229:PGN393243 PQJ393229:PQJ393243 QAF393229:QAF393243 QKB393229:QKB393243 QTX393229:QTX393243 RDT393229:RDT393243 RNP393229:RNP393243 RXL393229:RXL393243 SHH393229:SHH393243 SRD393229:SRD393243 TAZ393229:TAZ393243 TKV393229:TKV393243 TUR393229:TUR393243 UEN393229:UEN393243 UOJ393229:UOJ393243 UYF393229:UYF393243 VIB393229:VIB393243 VRX393229:VRX393243 WBT393229:WBT393243 WLP393229:WLP393243 WVL393229:WVL393243 D458765:D458779 IZ458765:IZ458779 SV458765:SV458779 ACR458765:ACR458779 AMN458765:AMN458779 AWJ458765:AWJ458779 BGF458765:BGF458779 BQB458765:BQB458779 BZX458765:BZX458779 CJT458765:CJT458779 CTP458765:CTP458779 DDL458765:DDL458779 DNH458765:DNH458779 DXD458765:DXD458779 EGZ458765:EGZ458779 EQV458765:EQV458779 FAR458765:FAR458779 FKN458765:FKN458779 FUJ458765:FUJ458779 GEF458765:GEF458779 GOB458765:GOB458779 GXX458765:GXX458779 HHT458765:HHT458779 HRP458765:HRP458779 IBL458765:IBL458779 ILH458765:ILH458779 IVD458765:IVD458779 JEZ458765:JEZ458779 JOV458765:JOV458779 JYR458765:JYR458779 KIN458765:KIN458779 KSJ458765:KSJ458779 LCF458765:LCF458779 LMB458765:LMB458779 LVX458765:LVX458779 MFT458765:MFT458779 MPP458765:MPP458779 MZL458765:MZL458779 NJH458765:NJH458779 NTD458765:NTD458779 OCZ458765:OCZ458779 OMV458765:OMV458779 OWR458765:OWR458779 PGN458765:PGN458779 PQJ458765:PQJ458779 QAF458765:QAF458779 QKB458765:QKB458779 QTX458765:QTX458779 RDT458765:RDT458779 RNP458765:RNP458779 RXL458765:RXL458779 SHH458765:SHH458779 SRD458765:SRD458779 TAZ458765:TAZ458779 TKV458765:TKV458779 TUR458765:TUR458779 UEN458765:UEN458779 UOJ458765:UOJ458779 UYF458765:UYF458779 VIB458765:VIB458779 VRX458765:VRX458779 WBT458765:WBT458779 WLP458765:WLP458779 WVL458765:WVL458779 D524301:D524315 IZ524301:IZ524315 SV524301:SV524315 ACR524301:ACR524315 AMN524301:AMN524315 AWJ524301:AWJ524315 BGF524301:BGF524315 BQB524301:BQB524315 BZX524301:BZX524315 CJT524301:CJT524315 CTP524301:CTP524315 DDL524301:DDL524315 DNH524301:DNH524315 DXD524301:DXD524315 EGZ524301:EGZ524315 EQV524301:EQV524315 FAR524301:FAR524315 FKN524301:FKN524315 FUJ524301:FUJ524315 GEF524301:GEF524315 GOB524301:GOB524315 GXX524301:GXX524315 HHT524301:HHT524315 HRP524301:HRP524315 IBL524301:IBL524315 ILH524301:ILH524315 IVD524301:IVD524315 JEZ524301:JEZ524315 JOV524301:JOV524315 JYR524301:JYR524315 KIN524301:KIN524315 KSJ524301:KSJ524315 LCF524301:LCF524315 LMB524301:LMB524315 LVX524301:LVX524315 MFT524301:MFT524315 MPP524301:MPP524315 MZL524301:MZL524315 NJH524301:NJH524315 NTD524301:NTD524315 OCZ524301:OCZ524315 OMV524301:OMV524315 OWR524301:OWR524315 PGN524301:PGN524315 PQJ524301:PQJ524315 QAF524301:QAF524315 QKB524301:QKB524315 QTX524301:QTX524315 RDT524301:RDT524315 RNP524301:RNP524315 RXL524301:RXL524315 SHH524301:SHH524315 SRD524301:SRD524315 TAZ524301:TAZ524315 TKV524301:TKV524315 TUR524301:TUR524315 UEN524301:UEN524315 UOJ524301:UOJ524315 UYF524301:UYF524315 VIB524301:VIB524315 VRX524301:VRX524315 WBT524301:WBT524315 WLP524301:WLP524315 WVL524301:WVL524315 D589837:D589851 IZ589837:IZ589851 SV589837:SV589851 ACR589837:ACR589851 AMN589837:AMN589851 AWJ589837:AWJ589851 BGF589837:BGF589851 BQB589837:BQB589851 BZX589837:BZX589851 CJT589837:CJT589851 CTP589837:CTP589851 DDL589837:DDL589851 DNH589837:DNH589851 DXD589837:DXD589851 EGZ589837:EGZ589851 EQV589837:EQV589851 FAR589837:FAR589851 FKN589837:FKN589851 FUJ589837:FUJ589851 GEF589837:GEF589851 GOB589837:GOB589851 GXX589837:GXX589851 HHT589837:HHT589851 HRP589837:HRP589851 IBL589837:IBL589851 ILH589837:ILH589851 IVD589837:IVD589851 JEZ589837:JEZ589851 JOV589837:JOV589851 JYR589837:JYR589851 KIN589837:KIN589851 KSJ589837:KSJ589851 LCF589837:LCF589851 LMB589837:LMB589851 LVX589837:LVX589851 MFT589837:MFT589851 MPP589837:MPP589851 MZL589837:MZL589851 NJH589837:NJH589851 NTD589837:NTD589851 OCZ589837:OCZ589851 OMV589837:OMV589851 OWR589837:OWR589851 PGN589837:PGN589851 PQJ589837:PQJ589851 QAF589837:QAF589851 QKB589837:QKB589851 QTX589837:QTX589851 RDT589837:RDT589851 RNP589837:RNP589851 RXL589837:RXL589851 SHH589837:SHH589851 SRD589837:SRD589851 TAZ589837:TAZ589851 TKV589837:TKV589851 TUR589837:TUR589851 UEN589837:UEN589851 UOJ589837:UOJ589851 UYF589837:UYF589851 VIB589837:VIB589851 VRX589837:VRX589851 WBT589837:WBT589851 WLP589837:WLP589851 WVL589837:WVL589851 D655373:D655387 IZ655373:IZ655387 SV655373:SV655387 ACR655373:ACR655387 AMN655373:AMN655387 AWJ655373:AWJ655387 BGF655373:BGF655387 BQB655373:BQB655387 BZX655373:BZX655387 CJT655373:CJT655387 CTP655373:CTP655387 DDL655373:DDL655387 DNH655373:DNH655387 DXD655373:DXD655387 EGZ655373:EGZ655387 EQV655373:EQV655387 FAR655373:FAR655387 FKN655373:FKN655387 FUJ655373:FUJ655387 GEF655373:GEF655387 GOB655373:GOB655387 GXX655373:GXX655387 HHT655373:HHT655387 HRP655373:HRP655387 IBL655373:IBL655387 ILH655373:ILH655387 IVD655373:IVD655387 JEZ655373:JEZ655387 JOV655373:JOV655387 JYR655373:JYR655387 KIN655373:KIN655387 KSJ655373:KSJ655387 LCF655373:LCF655387 LMB655373:LMB655387 LVX655373:LVX655387 MFT655373:MFT655387 MPP655373:MPP655387 MZL655373:MZL655387 NJH655373:NJH655387 NTD655373:NTD655387 OCZ655373:OCZ655387 OMV655373:OMV655387 OWR655373:OWR655387 PGN655373:PGN655387 PQJ655373:PQJ655387 QAF655373:QAF655387 QKB655373:QKB655387 QTX655373:QTX655387 RDT655373:RDT655387 RNP655373:RNP655387 RXL655373:RXL655387 SHH655373:SHH655387 SRD655373:SRD655387 TAZ655373:TAZ655387 TKV655373:TKV655387 TUR655373:TUR655387 UEN655373:UEN655387 UOJ655373:UOJ655387 UYF655373:UYF655387 VIB655373:VIB655387 VRX655373:VRX655387 WBT655373:WBT655387 WLP655373:WLP655387 WVL655373:WVL655387 D720909:D720923 IZ720909:IZ720923 SV720909:SV720923 ACR720909:ACR720923 AMN720909:AMN720923 AWJ720909:AWJ720923 BGF720909:BGF720923 BQB720909:BQB720923 BZX720909:BZX720923 CJT720909:CJT720923 CTP720909:CTP720923 DDL720909:DDL720923 DNH720909:DNH720923 DXD720909:DXD720923 EGZ720909:EGZ720923 EQV720909:EQV720923 FAR720909:FAR720923 FKN720909:FKN720923 FUJ720909:FUJ720923 GEF720909:GEF720923 GOB720909:GOB720923 GXX720909:GXX720923 HHT720909:HHT720923 HRP720909:HRP720923 IBL720909:IBL720923 ILH720909:ILH720923 IVD720909:IVD720923 JEZ720909:JEZ720923 JOV720909:JOV720923 JYR720909:JYR720923 KIN720909:KIN720923 KSJ720909:KSJ720923 LCF720909:LCF720923 LMB720909:LMB720923 LVX720909:LVX720923 MFT720909:MFT720923 MPP720909:MPP720923 MZL720909:MZL720923 NJH720909:NJH720923 NTD720909:NTD720923 OCZ720909:OCZ720923 OMV720909:OMV720923 OWR720909:OWR720923 PGN720909:PGN720923 PQJ720909:PQJ720923 QAF720909:QAF720923 QKB720909:QKB720923 QTX720909:QTX720923 RDT720909:RDT720923 RNP720909:RNP720923 RXL720909:RXL720923 SHH720909:SHH720923 SRD720909:SRD720923 TAZ720909:TAZ720923 TKV720909:TKV720923 TUR720909:TUR720923 UEN720909:UEN720923 UOJ720909:UOJ720923 UYF720909:UYF720923 VIB720909:VIB720923 VRX720909:VRX720923 WBT720909:WBT720923 WLP720909:WLP720923 WVL720909:WVL720923 D786445:D786459 IZ786445:IZ786459 SV786445:SV786459 ACR786445:ACR786459 AMN786445:AMN786459 AWJ786445:AWJ786459 BGF786445:BGF786459 BQB786445:BQB786459 BZX786445:BZX786459 CJT786445:CJT786459 CTP786445:CTP786459 DDL786445:DDL786459 DNH786445:DNH786459 DXD786445:DXD786459 EGZ786445:EGZ786459 EQV786445:EQV786459 FAR786445:FAR786459 FKN786445:FKN786459 FUJ786445:FUJ786459 GEF786445:GEF786459 GOB786445:GOB786459 GXX786445:GXX786459 HHT786445:HHT786459 HRP786445:HRP786459 IBL786445:IBL786459 ILH786445:ILH786459 IVD786445:IVD786459 JEZ786445:JEZ786459 JOV786445:JOV786459 JYR786445:JYR786459 KIN786445:KIN786459 KSJ786445:KSJ786459 LCF786445:LCF786459 LMB786445:LMB786459 LVX786445:LVX786459 MFT786445:MFT786459 MPP786445:MPP786459 MZL786445:MZL786459 NJH786445:NJH786459 NTD786445:NTD786459 OCZ786445:OCZ786459 OMV786445:OMV786459 OWR786445:OWR786459 PGN786445:PGN786459 PQJ786445:PQJ786459 QAF786445:QAF786459 QKB786445:QKB786459 QTX786445:QTX786459 RDT786445:RDT786459 RNP786445:RNP786459 RXL786445:RXL786459 SHH786445:SHH786459 SRD786445:SRD786459 TAZ786445:TAZ786459 TKV786445:TKV786459 TUR786445:TUR786459 UEN786445:UEN786459 UOJ786445:UOJ786459 UYF786445:UYF786459 VIB786445:VIB786459 VRX786445:VRX786459 WBT786445:WBT786459 WLP786445:WLP786459 WVL786445:WVL786459 D851981:D851995 IZ851981:IZ851995 SV851981:SV851995 ACR851981:ACR851995 AMN851981:AMN851995 AWJ851981:AWJ851995 BGF851981:BGF851995 BQB851981:BQB851995 BZX851981:BZX851995 CJT851981:CJT851995 CTP851981:CTP851995 DDL851981:DDL851995 DNH851981:DNH851995 DXD851981:DXD851995 EGZ851981:EGZ851995 EQV851981:EQV851995 FAR851981:FAR851995 FKN851981:FKN851995 FUJ851981:FUJ851995 GEF851981:GEF851995 GOB851981:GOB851995 GXX851981:GXX851995 HHT851981:HHT851995 HRP851981:HRP851995 IBL851981:IBL851995 ILH851981:ILH851995 IVD851981:IVD851995 JEZ851981:JEZ851995 JOV851981:JOV851995 JYR851981:JYR851995 KIN851981:KIN851995 KSJ851981:KSJ851995 LCF851981:LCF851995 LMB851981:LMB851995 LVX851981:LVX851995 MFT851981:MFT851995 MPP851981:MPP851995 MZL851981:MZL851995 NJH851981:NJH851995 NTD851981:NTD851995 OCZ851981:OCZ851995 OMV851981:OMV851995 OWR851981:OWR851995 PGN851981:PGN851995 PQJ851981:PQJ851995 QAF851981:QAF851995 QKB851981:QKB851995 QTX851981:QTX851995 RDT851981:RDT851995 RNP851981:RNP851995 RXL851981:RXL851995 SHH851981:SHH851995 SRD851981:SRD851995 TAZ851981:TAZ851995 TKV851981:TKV851995 TUR851981:TUR851995 UEN851981:UEN851995 UOJ851981:UOJ851995 UYF851981:UYF851995 VIB851981:VIB851995 VRX851981:VRX851995 WBT851981:WBT851995 WLP851981:WLP851995 WVL851981:WVL851995 D917517:D917531 IZ917517:IZ917531 SV917517:SV917531 ACR917517:ACR917531 AMN917517:AMN917531 AWJ917517:AWJ917531 BGF917517:BGF917531 BQB917517:BQB917531 BZX917517:BZX917531 CJT917517:CJT917531 CTP917517:CTP917531 DDL917517:DDL917531 DNH917517:DNH917531 DXD917517:DXD917531 EGZ917517:EGZ917531 EQV917517:EQV917531 FAR917517:FAR917531 FKN917517:FKN917531 FUJ917517:FUJ917531 GEF917517:GEF917531 GOB917517:GOB917531 GXX917517:GXX917531 HHT917517:HHT917531 HRP917517:HRP917531 IBL917517:IBL917531 ILH917517:ILH917531 IVD917517:IVD917531 JEZ917517:JEZ917531 JOV917517:JOV917531 JYR917517:JYR917531 KIN917517:KIN917531 KSJ917517:KSJ917531 LCF917517:LCF917531 LMB917517:LMB917531 LVX917517:LVX917531 MFT917517:MFT917531 MPP917517:MPP917531 MZL917517:MZL917531 NJH917517:NJH917531 NTD917517:NTD917531 OCZ917517:OCZ917531 OMV917517:OMV917531 OWR917517:OWR917531 PGN917517:PGN917531 PQJ917517:PQJ917531 QAF917517:QAF917531 QKB917517:QKB917531 QTX917517:QTX917531 RDT917517:RDT917531 RNP917517:RNP917531 RXL917517:RXL917531 SHH917517:SHH917531 SRD917517:SRD917531 TAZ917517:TAZ917531 TKV917517:TKV917531 TUR917517:TUR917531 UEN917517:UEN917531 UOJ917517:UOJ917531 UYF917517:UYF917531 VIB917517:VIB917531 VRX917517:VRX917531 WBT917517:WBT917531 WLP917517:WLP917531 WVL917517:WVL917531 D983053:D983067 IZ983053:IZ983067 SV983053:SV983067 ACR983053:ACR983067 AMN983053:AMN983067 AWJ983053:AWJ983067 BGF983053:BGF983067 BQB983053:BQB983067 BZX983053:BZX983067 CJT983053:CJT983067 CTP983053:CTP983067 DDL983053:DDL983067 DNH983053:DNH983067 DXD983053:DXD983067 EGZ983053:EGZ983067 EQV983053:EQV983067 FAR983053:FAR983067 FKN983053:FKN983067 FUJ983053:FUJ983067 GEF983053:GEF983067 GOB983053:GOB983067 GXX983053:GXX983067 HHT983053:HHT983067 HRP983053:HRP983067 IBL983053:IBL983067 ILH983053:ILH983067 IVD983053:IVD983067 JEZ983053:JEZ983067 JOV983053:JOV983067 JYR983053:JYR983067 KIN983053:KIN983067 KSJ983053:KSJ983067 LCF983053:LCF983067 LMB983053:LMB983067 LVX983053:LVX983067 MFT983053:MFT983067 MPP983053:MPP983067 MZL983053:MZL983067 NJH983053:NJH983067 NTD983053:NTD983067 OCZ983053:OCZ983067 OMV983053:OMV983067 OWR983053:OWR983067 PGN983053:PGN983067 PQJ983053:PQJ983067 QAF983053:QAF983067 QKB983053:QKB983067 QTX983053:QTX983067 RDT983053:RDT983067 RNP983053:RNP983067 RXL983053:RXL983067 SHH983053:SHH983067 SRD983053:SRD983067 TAZ983053:TAZ983067 TKV983053:TKV983067 TUR983053:TUR983067 UEN983053:UEN983067 UOJ983053:UOJ983067 UYF983053:UYF983067 VIB983053:VIB983067 VRX983053:VRX983067 WBT983053:WBT983067 WLP983053:WLP983067 WVL983053:WVL983067 WVS983053:WVT983067 JG13:JH27 TC13:TD27 ACY13:ACZ27 AMU13:AMV27 AWQ13:AWR27 BGM13:BGN27 BQI13:BQJ27 CAE13:CAF27 CKA13:CKB27 CTW13:CTX27 DDS13:DDT27 DNO13:DNP27 DXK13:DXL27 EHG13:EHH27 ERC13:ERD27 FAY13:FAZ27 FKU13:FKV27 FUQ13:FUR27 GEM13:GEN27 GOI13:GOJ27 GYE13:GYF27 HIA13:HIB27 HRW13:HRX27 IBS13:IBT27 ILO13:ILP27 IVK13:IVL27 JFG13:JFH27 JPC13:JPD27 JYY13:JYZ27 KIU13:KIV27 KSQ13:KSR27 LCM13:LCN27 LMI13:LMJ27 LWE13:LWF27 MGA13:MGB27 MPW13:MPX27 MZS13:MZT27 NJO13:NJP27 NTK13:NTL27 ODG13:ODH27 ONC13:OND27 OWY13:OWZ27 PGU13:PGV27 PQQ13:PQR27 QAM13:QAN27 QKI13:QKJ27 QUE13:QUF27 REA13:REB27 RNW13:RNX27 RXS13:RXT27 SHO13:SHP27 SRK13:SRL27 TBG13:TBH27 TLC13:TLD27 TUY13:TUZ27 UEU13:UEV27 UOQ13:UOR27 UYM13:UYN27 VII13:VIJ27 VSE13:VSF27 WCA13:WCB27 WLW13:WLX27 WVS13:WVT27 K65549:L65563 JG65549:JH65563 TC65549:TD65563 ACY65549:ACZ65563 AMU65549:AMV65563 AWQ65549:AWR65563 BGM65549:BGN65563 BQI65549:BQJ65563 CAE65549:CAF65563 CKA65549:CKB65563 CTW65549:CTX65563 DDS65549:DDT65563 DNO65549:DNP65563 DXK65549:DXL65563 EHG65549:EHH65563 ERC65549:ERD65563 FAY65549:FAZ65563 FKU65549:FKV65563 FUQ65549:FUR65563 GEM65549:GEN65563 GOI65549:GOJ65563 GYE65549:GYF65563 HIA65549:HIB65563 HRW65549:HRX65563 IBS65549:IBT65563 ILO65549:ILP65563 IVK65549:IVL65563 JFG65549:JFH65563 JPC65549:JPD65563 JYY65549:JYZ65563 KIU65549:KIV65563 KSQ65549:KSR65563 LCM65549:LCN65563 LMI65549:LMJ65563 LWE65549:LWF65563 MGA65549:MGB65563 MPW65549:MPX65563 MZS65549:MZT65563 NJO65549:NJP65563 NTK65549:NTL65563 ODG65549:ODH65563 ONC65549:OND65563 OWY65549:OWZ65563 PGU65549:PGV65563 PQQ65549:PQR65563 QAM65549:QAN65563 QKI65549:QKJ65563 QUE65549:QUF65563 REA65549:REB65563 RNW65549:RNX65563 RXS65549:RXT65563 SHO65549:SHP65563 SRK65549:SRL65563 TBG65549:TBH65563 TLC65549:TLD65563 TUY65549:TUZ65563 UEU65549:UEV65563 UOQ65549:UOR65563 UYM65549:UYN65563 VII65549:VIJ65563 VSE65549:VSF65563 WCA65549:WCB65563 WLW65549:WLX65563 WVS65549:WVT65563 K131085:L131099 JG131085:JH131099 TC131085:TD131099 ACY131085:ACZ131099 AMU131085:AMV131099 AWQ131085:AWR131099 BGM131085:BGN131099 BQI131085:BQJ131099 CAE131085:CAF131099 CKA131085:CKB131099 CTW131085:CTX131099 DDS131085:DDT131099 DNO131085:DNP131099 DXK131085:DXL131099 EHG131085:EHH131099 ERC131085:ERD131099 FAY131085:FAZ131099 FKU131085:FKV131099 FUQ131085:FUR131099 GEM131085:GEN131099 GOI131085:GOJ131099 GYE131085:GYF131099 HIA131085:HIB131099 HRW131085:HRX131099 IBS131085:IBT131099 ILO131085:ILP131099 IVK131085:IVL131099 JFG131085:JFH131099 JPC131085:JPD131099 JYY131085:JYZ131099 KIU131085:KIV131099 KSQ131085:KSR131099 LCM131085:LCN131099 LMI131085:LMJ131099 LWE131085:LWF131099 MGA131085:MGB131099 MPW131085:MPX131099 MZS131085:MZT131099 NJO131085:NJP131099 NTK131085:NTL131099 ODG131085:ODH131099 ONC131085:OND131099 OWY131085:OWZ131099 PGU131085:PGV131099 PQQ131085:PQR131099 QAM131085:QAN131099 QKI131085:QKJ131099 QUE131085:QUF131099 REA131085:REB131099 RNW131085:RNX131099 RXS131085:RXT131099 SHO131085:SHP131099 SRK131085:SRL131099 TBG131085:TBH131099 TLC131085:TLD131099 TUY131085:TUZ131099 UEU131085:UEV131099 UOQ131085:UOR131099 UYM131085:UYN131099 VII131085:VIJ131099 VSE131085:VSF131099 WCA131085:WCB131099 WLW131085:WLX131099 WVS131085:WVT131099 K196621:L196635 JG196621:JH196635 TC196621:TD196635 ACY196621:ACZ196635 AMU196621:AMV196635 AWQ196621:AWR196635 BGM196621:BGN196635 BQI196621:BQJ196635 CAE196621:CAF196635 CKA196621:CKB196635 CTW196621:CTX196635 DDS196621:DDT196635 DNO196621:DNP196635 DXK196621:DXL196635 EHG196621:EHH196635 ERC196621:ERD196635 FAY196621:FAZ196635 FKU196621:FKV196635 FUQ196621:FUR196635 GEM196621:GEN196635 GOI196621:GOJ196635 GYE196621:GYF196635 HIA196621:HIB196635 HRW196621:HRX196635 IBS196621:IBT196635 ILO196621:ILP196635 IVK196621:IVL196635 JFG196621:JFH196635 JPC196621:JPD196635 JYY196621:JYZ196635 KIU196621:KIV196635 KSQ196621:KSR196635 LCM196621:LCN196635 LMI196621:LMJ196635 LWE196621:LWF196635 MGA196621:MGB196635 MPW196621:MPX196635 MZS196621:MZT196635 NJO196621:NJP196635 NTK196621:NTL196635 ODG196621:ODH196635 ONC196621:OND196635 OWY196621:OWZ196635 PGU196621:PGV196635 PQQ196621:PQR196635 QAM196621:QAN196635 QKI196621:QKJ196635 QUE196621:QUF196635 REA196621:REB196635 RNW196621:RNX196635 RXS196621:RXT196635 SHO196621:SHP196635 SRK196621:SRL196635 TBG196621:TBH196635 TLC196621:TLD196635 TUY196621:TUZ196635 UEU196621:UEV196635 UOQ196621:UOR196635 UYM196621:UYN196635 VII196621:VIJ196635 VSE196621:VSF196635 WCA196621:WCB196635 WLW196621:WLX196635 WVS196621:WVT196635 K262157:L262171 JG262157:JH262171 TC262157:TD262171 ACY262157:ACZ262171 AMU262157:AMV262171 AWQ262157:AWR262171 BGM262157:BGN262171 BQI262157:BQJ262171 CAE262157:CAF262171 CKA262157:CKB262171 CTW262157:CTX262171 DDS262157:DDT262171 DNO262157:DNP262171 DXK262157:DXL262171 EHG262157:EHH262171 ERC262157:ERD262171 FAY262157:FAZ262171 FKU262157:FKV262171 FUQ262157:FUR262171 GEM262157:GEN262171 GOI262157:GOJ262171 GYE262157:GYF262171 HIA262157:HIB262171 HRW262157:HRX262171 IBS262157:IBT262171 ILO262157:ILP262171 IVK262157:IVL262171 JFG262157:JFH262171 JPC262157:JPD262171 JYY262157:JYZ262171 KIU262157:KIV262171 KSQ262157:KSR262171 LCM262157:LCN262171 LMI262157:LMJ262171 LWE262157:LWF262171 MGA262157:MGB262171 MPW262157:MPX262171 MZS262157:MZT262171 NJO262157:NJP262171 NTK262157:NTL262171 ODG262157:ODH262171 ONC262157:OND262171 OWY262157:OWZ262171 PGU262157:PGV262171 PQQ262157:PQR262171 QAM262157:QAN262171 QKI262157:QKJ262171 QUE262157:QUF262171 REA262157:REB262171 RNW262157:RNX262171 RXS262157:RXT262171 SHO262157:SHP262171 SRK262157:SRL262171 TBG262157:TBH262171 TLC262157:TLD262171 TUY262157:TUZ262171 UEU262157:UEV262171 UOQ262157:UOR262171 UYM262157:UYN262171 VII262157:VIJ262171 VSE262157:VSF262171 WCA262157:WCB262171 WLW262157:WLX262171 WVS262157:WVT262171 K327693:L327707 JG327693:JH327707 TC327693:TD327707 ACY327693:ACZ327707 AMU327693:AMV327707 AWQ327693:AWR327707 BGM327693:BGN327707 BQI327693:BQJ327707 CAE327693:CAF327707 CKA327693:CKB327707 CTW327693:CTX327707 DDS327693:DDT327707 DNO327693:DNP327707 DXK327693:DXL327707 EHG327693:EHH327707 ERC327693:ERD327707 FAY327693:FAZ327707 FKU327693:FKV327707 FUQ327693:FUR327707 GEM327693:GEN327707 GOI327693:GOJ327707 GYE327693:GYF327707 HIA327693:HIB327707 HRW327693:HRX327707 IBS327693:IBT327707 ILO327693:ILP327707 IVK327693:IVL327707 JFG327693:JFH327707 JPC327693:JPD327707 JYY327693:JYZ327707 KIU327693:KIV327707 KSQ327693:KSR327707 LCM327693:LCN327707 LMI327693:LMJ327707 LWE327693:LWF327707 MGA327693:MGB327707 MPW327693:MPX327707 MZS327693:MZT327707 NJO327693:NJP327707 NTK327693:NTL327707 ODG327693:ODH327707 ONC327693:OND327707 OWY327693:OWZ327707 PGU327693:PGV327707 PQQ327693:PQR327707 QAM327693:QAN327707 QKI327693:QKJ327707 QUE327693:QUF327707 REA327693:REB327707 RNW327693:RNX327707 RXS327693:RXT327707 SHO327693:SHP327707 SRK327693:SRL327707 TBG327693:TBH327707 TLC327693:TLD327707 TUY327693:TUZ327707 UEU327693:UEV327707 UOQ327693:UOR327707 UYM327693:UYN327707 VII327693:VIJ327707 VSE327693:VSF327707 WCA327693:WCB327707 WLW327693:WLX327707 WVS327693:WVT327707 K393229:L393243 JG393229:JH393243 TC393229:TD393243 ACY393229:ACZ393243 AMU393229:AMV393243 AWQ393229:AWR393243 BGM393229:BGN393243 BQI393229:BQJ393243 CAE393229:CAF393243 CKA393229:CKB393243 CTW393229:CTX393243 DDS393229:DDT393243 DNO393229:DNP393243 DXK393229:DXL393243 EHG393229:EHH393243 ERC393229:ERD393243 FAY393229:FAZ393243 FKU393229:FKV393243 FUQ393229:FUR393243 GEM393229:GEN393243 GOI393229:GOJ393243 GYE393229:GYF393243 HIA393229:HIB393243 HRW393229:HRX393243 IBS393229:IBT393243 ILO393229:ILP393243 IVK393229:IVL393243 JFG393229:JFH393243 JPC393229:JPD393243 JYY393229:JYZ393243 KIU393229:KIV393243 KSQ393229:KSR393243 LCM393229:LCN393243 LMI393229:LMJ393243 LWE393229:LWF393243 MGA393229:MGB393243 MPW393229:MPX393243 MZS393229:MZT393243 NJO393229:NJP393243 NTK393229:NTL393243 ODG393229:ODH393243 ONC393229:OND393243 OWY393229:OWZ393243 PGU393229:PGV393243 PQQ393229:PQR393243 QAM393229:QAN393243 QKI393229:QKJ393243 QUE393229:QUF393243 REA393229:REB393243 RNW393229:RNX393243 RXS393229:RXT393243 SHO393229:SHP393243 SRK393229:SRL393243 TBG393229:TBH393243 TLC393229:TLD393243 TUY393229:TUZ393243 UEU393229:UEV393243 UOQ393229:UOR393243 UYM393229:UYN393243 VII393229:VIJ393243 VSE393229:VSF393243 WCA393229:WCB393243 WLW393229:WLX393243 WVS393229:WVT393243 K458765:L458779 JG458765:JH458779 TC458765:TD458779 ACY458765:ACZ458779 AMU458765:AMV458779 AWQ458765:AWR458779 BGM458765:BGN458779 BQI458765:BQJ458779 CAE458765:CAF458779 CKA458765:CKB458779 CTW458765:CTX458779 DDS458765:DDT458779 DNO458765:DNP458779 DXK458765:DXL458779 EHG458765:EHH458779 ERC458765:ERD458779 FAY458765:FAZ458779 FKU458765:FKV458779 FUQ458765:FUR458779 GEM458765:GEN458779 GOI458765:GOJ458779 GYE458765:GYF458779 HIA458765:HIB458779 HRW458765:HRX458779 IBS458765:IBT458779 ILO458765:ILP458779 IVK458765:IVL458779 JFG458765:JFH458779 JPC458765:JPD458779 JYY458765:JYZ458779 KIU458765:KIV458779 KSQ458765:KSR458779 LCM458765:LCN458779 LMI458765:LMJ458779 LWE458765:LWF458779 MGA458765:MGB458779 MPW458765:MPX458779 MZS458765:MZT458779 NJO458765:NJP458779 NTK458765:NTL458779 ODG458765:ODH458779 ONC458765:OND458779 OWY458765:OWZ458779 PGU458765:PGV458779 PQQ458765:PQR458779 QAM458765:QAN458779 QKI458765:QKJ458779 QUE458765:QUF458779 REA458765:REB458779 RNW458765:RNX458779 RXS458765:RXT458779 SHO458765:SHP458779 SRK458765:SRL458779 TBG458765:TBH458779 TLC458765:TLD458779 TUY458765:TUZ458779 UEU458765:UEV458779 UOQ458765:UOR458779 UYM458765:UYN458779 VII458765:VIJ458779 VSE458765:VSF458779 WCA458765:WCB458779 WLW458765:WLX458779 WVS458765:WVT458779 K524301:L524315 JG524301:JH524315 TC524301:TD524315 ACY524301:ACZ524315 AMU524301:AMV524315 AWQ524301:AWR524315 BGM524301:BGN524315 BQI524301:BQJ524315 CAE524301:CAF524315 CKA524301:CKB524315 CTW524301:CTX524315 DDS524301:DDT524315 DNO524301:DNP524315 DXK524301:DXL524315 EHG524301:EHH524315 ERC524301:ERD524315 FAY524301:FAZ524315 FKU524301:FKV524315 FUQ524301:FUR524315 GEM524301:GEN524315 GOI524301:GOJ524315 GYE524301:GYF524315 HIA524301:HIB524315 HRW524301:HRX524315 IBS524301:IBT524315 ILO524301:ILP524315 IVK524301:IVL524315 JFG524301:JFH524315 JPC524301:JPD524315 JYY524301:JYZ524315 KIU524301:KIV524315 KSQ524301:KSR524315 LCM524301:LCN524315 LMI524301:LMJ524315 LWE524301:LWF524315 MGA524301:MGB524315 MPW524301:MPX524315 MZS524301:MZT524315 NJO524301:NJP524315 NTK524301:NTL524315 ODG524301:ODH524315 ONC524301:OND524315 OWY524301:OWZ524315 PGU524301:PGV524315 PQQ524301:PQR524315 QAM524301:QAN524315 QKI524301:QKJ524315 QUE524301:QUF524315 REA524301:REB524315 RNW524301:RNX524315 RXS524301:RXT524315 SHO524301:SHP524315 SRK524301:SRL524315 TBG524301:TBH524315 TLC524301:TLD524315 TUY524301:TUZ524315 UEU524301:UEV524315 UOQ524301:UOR524315 UYM524301:UYN524315 VII524301:VIJ524315 VSE524301:VSF524315 WCA524301:WCB524315 WLW524301:WLX524315 WVS524301:WVT524315 K589837:L589851 JG589837:JH589851 TC589837:TD589851 ACY589837:ACZ589851 AMU589837:AMV589851 AWQ589837:AWR589851 BGM589837:BGN589851 BQI589837:BQJ589851 CAE589837:CAF589851 CKA589837:CKB589851 CTW589837:CTX589851 DDS589837:DDT589851 DNO589837:DNP589851 DXK589837:DXL589851 EHG589837:EHH589851 ERC589837:ERD589851 FAY589837:FAZ589851 FKU589837:FKV589851 FUQ589837:FUR589851 GEM589837:GEN589851 GOI589837:GOJ589851 GYE589837:GYF589851 HIA589837:HIB589851 HRW589837:HRX589851 IBS589837:IBT589851 ILO589837:ILP589851 IVK589837:IVL589851 JFG589837:JFH589851 JPC589837:JPD589851 JYY589837:JYZ589851 KIU589837:KIV589851 KSQ589837:KSR589851 LCM589837:LCN589851 LMI589837:LMJ589851 LWE589837:LWF589851 MGA589837:MGB589851 MPW589837:MPX589851 MZS589837:MZT589851 NJO589837:NJP589851 NTK589837:NTL589851 ODG589837:ODH589851 ONC589837:OND589851 OWY589837:OWZ589851 PGU589837:PGV589851 PQQ589837:PQR589851 QAM589837:QAN589851 QKI589837:QKJ589851 QUE589837:QUF589851 REA589837:REB589851 RNW589837:RNX589851 RXS589837:RXT589851 SHO589837:SHP589851 SRK589837:SRL589851 TBG589837:TBH589851 TLC589837:TLD589851 TUY589837:TUZ589851 UEU589837:UEV589851 UOQ589837:UOR589851 UYM589837:UYN589851 VII589837:VIJ589851 VSE589837:VSF589851 WCA589837:WCB589851 WLW589837:WLX589851 WVS589837:WVT589851 K655373:L655387 JG655373:JH655387 TC655373:TD655387 ACY655373:ACZ655387 AMU655373:AMV655387 AWQ655373:AWR655387 BGM655373:BGN655387 BQI655373:BQJ655387 CAE655373:CAF655387 CKA655373:CKB655387 CTW655373:CTX655387 DDS655373:DDT655387 DNO655373:DNP655387 DXK655373:DXL655387 EHG655373:EHH655387 ERC655373:ERD655387 FAY655373:FAZ655387 FKU655373:FKV655387 FUQ655373:FUR655387 GEM655373:GEN655387 GOI655373:GOJ655387 GYE655373:GYF655387 HIA655373:HIB655387 HRW655373:HRX655387 IBS655373:IBT655387 ILO655373:ILP655387 IVK655373:IVL655387 JFG655373:JFH655387 JPC655373:JPD655387 JYY655373:JYZ655387 KIU655373:KIV655387 KSQ655373:KSR655387 LCM655373:LCN655387 LMI655373:LMJ655387 LWE655373:LWF655387 MGA655373:MGB655387 MPW655373:MPX655387 MZS655373:MZT655387 NJO655373:NJP655387 NTK655373:NTL655387 ODG655373:ODH655387 ONC655373:OND655387 OWY655373:OWZ655387 PGU655373:PGV655387 PQQ655373:PQR655387 QAM655373:QAN655387 QKI655373:QKJ655387 QUE655373:QUF655387 REA655373:REB655387 RNW655373:RNX655387 RXS655373:RXT655387 SHO655373:SHP655387 SRK655373:SRL655387 TBG655373:TBH655387 TLC655373:TLD655387 TUY655373:TUZ655387 UEU655373:UEV655387 UOQ655373:UOR655387 UYM655373:UYN655387 VII655373:VIJ655387 VSE655373:VSF655387 WCA655373:WCB655387 WLW655373:WLX655387 WVS655373:WVT655387 K720909:L720923 JG720909:JH720923 TC720909:TD720923 ACY720909:ACZ720923 AMU720909:AMV720923 AWQ720909:AWR720923 BGM720909:BGN720923 BQI720909:BQJ720923 CAE720909:CAF720923 CKA720909:CKB720923 CTW720909:CTX720923 DDS720909:DDT720923 DNO720909:DNP720923 DXK720909:DXL720923 EHG720909:EHH720923 ERC720909:ERD720923 FAY720909:FAZ720923 FKU720909:FKV720923 FUQ720909:FUR720923 GEM720909:GEN720923 GOI720909:GOJ720923 GYE720909:GYF720923 HIA720909:HIB720923 HRW720909:HRX720923 IBS720909:IBT720923 ILO720909:ILP720923 IVK720909:IVL720923 JFG720909:JFH720923 JPC720909:JPD720923 JYY720909:JYZ720923 KIU720909:KIV720923 KSQ720909:KSR720923 LCM720909:LCN720923 LMI720909:LMJ720923 LWE720909:LWF720923 MGA720909:MGB720923 MPW720909:MPX720923 MZS720909:MZT720923 NJO720909:NJP720923 NTK720909:NTL720923 ODG720909:ODH720923 ONC720909:OND720923 OWY720909:OWZ720923 PGU720909:PGV720923 PQQ720909:PQR720923 QAM720909:QAN720923 QKI720909:QKJ720923 QUE720909:QUF720923 REA720909:REB720923 RNW720909:RNX720923 RXS720909:RXT720923 SHO720909:SHP720923 SRK720909:SRL720923 TBG720909:TBH720923 TLC720909:TLD720923 TUY720909:TUZ720923 UEU720909:UEV720923 UOQ720909:UOR720923 UYM720909:UYN720923 VII720909:VIJ720923 VSE720909:VSF720923 WCA720909:WCB720923 WLW720909:WLX720923 WVS720909:WVT720923 K786445:L786459 JG786445:JH786459 TC786445:TD786459 ACY786445:ACZ786459 AMU786445:AMV786459 AWQ786445:AWR786459 BGM786445:BGN786459 BQI786445:BQJ786459 CAE786445:CAF786459 CKA786445:CKB786459 CTW786445:CTX786459 DDS786445:DDT786459 DNO786445:DNP786459 DXK786445:DXL786459 EHG786445:EHH786459 ERC786445:ERD786459 FAY786445:FAZ786459 FKU786445:FKV786459 FUQ786445:FUR786459 GEM786445:GEN786459 GOI786445:GOJ786459 GYE786445:GYF786459 HIA786445:HIB786459 HRW786445:HRX786459 IBS786445:IBT786459 ILO786445:ILP786459 IVK786445:IVL786459 JFG786445:JFH786459 JPC786445:JPD786459 JYY786445:JYZ786459 KIU786445:KIV786459 KSQ786445:KSR786459 LCM786445:LCN786459 LMI786445:LMJ786459 LWE786445:LWF786459 MGA786445:MGB786459 MPW786445:MPX786459 MZS786445:MZT786459 NJO786445:NJP786459 NTK786445:NTL786459 ODG786445:ODH786459 ONC786445:OND786459 OWY786445:OWZ786459 PGU786445:PGV786459 PQQ786445:PQR786459 QAM786445:QAN786459 QKI786445:QKJ786459 QUE786445:QUF786459 REA786445:REB786459 RNW786445:RNX786459 RXS786445:RXT786459 SHO786445:SHP786459 SRK786445:SRL786459 TBG786445:TBH786459 TLC786445:TLD786459 TUY786445:TUZ786459 UEU786445:UEV786459 UOQ786445:UOR786459 UYM786445:UYN786459 VII786445:VIJ786459 VSE786445:VSF786459 WCA786445:WCB786459 WLW786445:WLX786459 WVS786445:WVT786459 K851981:L851995 JG851981:JH851995 TC851981:TD851995 ACY851981:ACZ851995 AMU851981:AMV851995 AWQ851981:AWR851995 BGM851981:BGN851995 BQI851981:BQJ851995 CAE851981:CAF851995 CKA851981:CKB851995 CTW851981:CTX851995 DDS851981:DDT851995 DNO851981:DNP851995 DXK851981:DXL851995 EHG851981:EHH851995 ERC851981:ERD851995 FAY851981:FAZ851995 FKU851981:FKV851995 FUQ851981:FUR851995 GEM851981:GEN851995 GOI851981:GOJ851995 GYE851981:GYF851995 HIA851981:HIB851995 HRW851981:HRX851995 IBS851981:IBT851995 ILO851981:ILP851995 IVK851981:IVL851995 JFG851981:JFH851995 JPC851981:JPD851995 JYY851981:JYZ851995 KIU851981:KIV851995 KSQ851981:KSR851995 LCM851981:LCN851995 LMI851981:LMJ851995 LWE851981:LWF851995 MGA851981:MGB851995 MPW851981:MPX851995 MZS851981:MZT851995 NJO851981:NJP851995 NTK851981:NTL851995 ODG851981:ODH851995 ONC851981:OND851995 OWY851981:OWZ851995 PGU851981:PGV851995 PQQ851981:PQR851995 QAM851981:QAN851995 QKI851981:QKJ851995 QUE851981:QUF851995 REA851981:REB851995 RNW851981:RNX851995 RXS851981:RXT851995 SHO851981:SHP851995 SRK851981:SRL851995 TBG851981:TBH851995 TLC851981:TLD851995 TUY851981:TUZ851995 UEU851981:UEV851995 UOQ851981:UOR851995 UYM851981:UYN851995 VII851981:VIJ851995 VSE851981:VSF851995 WCA851981:WCB851995 WLW851981:WLX851995 WVS851981:WVT851995 K917517:L917531 JG917517:JH917531 TC917517:TD917531 ACY917517:ACZ917531 AMU917517:AMV917531 AWQ917517:AWR917531 BGM917517:BGN917531 BQI917517:BQJ917531 CAE917517:CAF917531 CKA917517:CKB917531 CTW917517:CTX917531 DDS917517:DDT917531 DNO917517:DNP917531 DXK917517:DXL917531 EHG917517:EHH917531 ERC917517:ERD917531 FAY917517:FAZ917531 FKU917517:FKV917531 FUQ917517:FUR917531 GEM917517:GEN917531 GOI917517:GOJ917531 GYE917517:GYF917531 HIA917517:HIB917531 HRW917517:HRX917531 IBS917517:IBT917531 ILO917517:ILP917531 IVK917517:IVL917531 JFG917517:JFH917531 JPC917517:JPD917531 JYY917517:JYZ917531 KIU917517:KIV917531 KSQ917517:KSR917531 LCM917517:LCN917531 LMI917517:LMJ917531 LWE917517:LWF917531 MGA917517:MGB917531 MPW917517:MPX917531 MZS917517:MZT917531 NJO917517:NJP917531 NTK917517:NTL917531 ODG917517:ODH917531 ONC917517:OND917531 OWY917517:OWZ917531 PGU917517:PGV917531 PQQ917517:PQR917531 QAM917517:QAN917531 QKI917517:QKJ917531 QUE917517:QUF917531 REA917517:REB917531 RNW917517:RNX917531 RXS917517:RXT917531 SHO917517:SHP917531 SRK917517:SRL917531 TBG917517:TBH917531 TLC917517:TLD917531 TUY917517:TUZ917531 UEU917517:UEV917531 UOQ917517:UOR917531 UYM917517:UYN917531 VII917517:VIJ917531 VSE917517:VSF917531 WCA917517:WCB917531 WLW917517:WLX917531 WVS917517:WVT917531 K983053:L983067 JG983053:JH983067 TC983053:TD983067 ACY983053:ACZ983067 AMU983053:AMV983067 AWQ983053:AWR983067 BGM983053:BGN983067 BQI983053:BQJ983067 CAE983053:CAF983067 CKA983053:CKB983067 CTW983053:CTX983067 DDS983053:DDT983067 DNO983053:DNP983067 DXK983053:DXL983067 EHG983053:EHH983067 ERC983053:ERD983067 FAY983053:FAZ983067 FKU983053:FKV983067 FUQ983053:FUR983067 GEM983053:GEN983067 GOI983053:GOJ983067 GYE983053:GYF983067 HIA983053:HIB983067 HRW983053:HRX983067 IBS983053:IBT983067 ILO983053:ILP983067 IVK983053:IVL983067 JFG983053:JFH983067 JPC983053:JPD983067 JYY983053:JYZ983067 KIU983053:KIV983067 KSQ983053:KSR983067 LCM983053:LCN983067 LMI983053:LMJ983067 LWE983053:LWF983067 MGA983053:MGB983067 MPW983053:MPX983067 MZS983053:MZT983067 NJO983053:NJP983067 NTK983053:NTL983067 ODG983053:ODH983067 ONC983053:OND983067 OWY983053:OWZ983067 PGU983053:PGV983067 PQQ983053:PQR983067 QAM983053:QAN983067 QKI983053:QKJ983067 QUE983053:QUF983067 REA983053:REB983067 RNW983053:RNX983067 RXS983053:RXT983067 SHO983053:SHP983067 SRK983053:SRL983067 TBG983053:TBH983067 TLC983053:TLD983067 TUY983053:TUZ983067 UEU983053:UEV983067 UOQ983053:UOR983067 UYM983053:UYN983067 VII983053:VIJ983067 VSE983053:VSF983067 WCA983053:WCB983067 WLW983053:WLX983067 K13:L27 D13:D27" xr:uid="{00000000-0002-0000-2E00-000001000000}">
      <formula1>4</formula1>
    </dataValidation>
    <dataValidation operator="notEqual" allowBlank="1" showInputMessage="1" showErrorMessage="1" errorTitle="Wrong Account" error="NCAS Accounts 438030 and 538030 are NOT transfer accounts. Please contact your OSC analyst before proceeding." sqref="N14:N27 F14:F27" xr:uid="{A5E0F620-47AC-41F8-A512-1A8D9EC1A449}"/>
  </dataValidations>
  <hyperlinks>
    <hyperlink ref="B1:P1" location="Index!A1" display="Index!A1" xr:uid="{00000000-0004-0000-2E00-000000000000}"/>
  </hyperlinks>
  <pageMargins left="0.6" right="0.6" top="0.5" bottom="0.5" header="0.3" footer="0.3"/>
  <pageSetup scale="95" orientation="landscape" r:id="rId1"/>
  <ignoredErrors>
    <ignoredError sqref="B13 J13" numberStoredAsText="1"/>
    <ignoredError sqref="H28 P28" formulaRange="1"/>
    <ignoredError sqref="L5:P6" unlockedFormula="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7">
    <pageSetUpPr fitToPage="1"/>
  </sheetPr>
  <dimension ref="A1:AF127"/>
  <sheetViews>
    <sheetView showGridLines="0" topLeftCell="B1" zoomScaleNormal="100" workbookViewId="0">
      <selection activeCell="A2" sqref="A2"/>
    </sheetView>
  </sheetViews>
  <sheetFormatPr defaultRowHeight="15.75" x14ac:dyDescent="0.25"/>
  <cols>
    <col min="1" max="1" width="0" style="1158" hidden="1" customWidth="1"/>
    <col min="2" max="2" width="11.5703125" style="1158" customWidth="1"/>
    <col min="3" max="3" width="1.5703125" style="1158" customWidth="1"/>
    <col min="4" max="4" width="7" style="1158" customWidth="1"/>
    <col min="5" max="5" width="1.5703125" style="1158" customWidth="1"/>
    <col min="6" max="6" width="12.5703125" style="1158" customWidth="1"/>
    <col min="7" max="7" width="1.5703125" style="1158" customWidth="1"/>
    <col min="8" max="8" width="19.5703125" style="1158" customWidth="1"/>
    <col min="9" max="9" width="2.5703125" style="1158" customWidth="1"/>
    <col min="10" max="10" width="11.5703125" style="1158" customWidth="1"/>
    <col min="11" max="11" width="1.5703125" style="1158" customWidth="1"/>
    <col min="12" max="12" width="6.42578125" style="1158" customWidth="1"/>
    <col min="13" max="13" width="1.5703125" style="1158" customWidth="1"/>
    <col min="14" max="14" width="12.5703125" style="1158" customWidth="1"/>
    <col min="15" max="15" width="1.5703125" style="1158" customWidth="1"/>
    <col min="16" max="16" width="21.42578125" style="1158" customWidth="1"/>
    <col min="17" max="17" width="3" style="1158" customWidth="1"/>
    <col min="18" max="18" width="5.5703125" style="1158" hidden="1" customWidth="1"/>
    <col min="19" max="19" width="2" style="1158" hidden="1" customWidth="1"/>
    <col min="20" max="24" width="5.5703125" style="1158" hidden="1" customWidth="1"/>
    <col min="25" max="25" width="2" style="1158" hidden="1" customWidth="1"/>
    <col min="26" max="29" width="5.5703125" style="1158" hidden="1" customWidth="1"/>
    <col min="30" max="31" width="6.42578125" style="1158" hidden="1" customWidth="1"/>
    <col min="32" max="256" width="9.42578125" style="1158"/>
    <col min="257" max="257" width="0" style="1158" hidden="1" customWidth="1"/>
    <col min="258" max="258" width="10.42578125" style="1158" customWidth="1"/>
    <col min="259" max="259" width="1.42578125" style="1158" customWidth="1"/>
    <col min="260" max="260" width="6.5703125" style="1158" customWidth="1"/>
    <col min="261" max="261" width="1.5703125" style="1158" customWidth="1"/>
    <col min="262" max="262" width="12.5703125" style="1158" customWidth="1"/>
    <col min="263" max="263" width="1.5703125" style="1158" customWidth="1"/>
    <col min="264" max="264" width="19.5703125" style="1158" customWidth="1"/>
    <col min="265" max="265" width="2.5703125" style="1158" customWidth="1"/>
    <col min="266" max="266" width="10.5703125" style="1158" customWidth="1"/>
    <col min="267" max="267" width="0.5703125" style="1158" customWidth="1"/>
    <col min="268" max="268" width="6.42578125" style="1158" customWidth="1"/>
    <col min="269" max="269" width="1.5703125" style="1158" customWidth="1"/>
    <col min="270" max="270" width="12.5703125" style="1158" customWidth="1"/>
    <col min="271" max="271" width="1.5703125" style="1158" customWidth="1"/>
    <col min="272" max="272" width="21" style="1158" customWidth="1"/>
    <col min="273" max="273" width="4.5703125" style="1158" customWidth="1"/>
    <col min="274" max="287" width="0" style="1158" hidden="1" customWidth="1"/>
    <col min="288" max="512" width="9.42578125" style="1158"/>
    <col min="513" max="513" width="0" style="1158" hidden="1" customWidth="1"/>
    <col min="514" max="514" width="10.42578125" style="1158" customWidth="1"/>
    <col min="515" max="515" width="1.42578125" style="1158" customWidth="1"/>
    <col min="516" max="516" width="6.5703125" style="1158" customWidth="1"/>
    <col min="517" max="517" width="1.5703125" style="1158" customWidth="1"/>
    <col min="518" max="518" width="12.5703125" style="1158" customWidth="1"/>
    <col min="519" max="519" width="1.5703125" style="1158" customWidth="1"/>
    <col min="520" max="520" width="19.5703125" style="1158" customWidth="1"/>
    <col min="521" max="521" width="2.5703125" style="1158" customWidth="1"/>
    <col min="522" max="522" width="10.5703125" style="1158" customWidth="1"/>
    <col min="523" max="523" width="0.5703125" style="1158" customWidth="1"/>
    <col min="524" max="524" width="6.42578125" style="1158" customWidth="1"/>
    <col min="525" max="525" width="1.5703125" style="1158" customWidth="1"/>
    <col min="526" max="526" width="12.5703125" style="1158" customWidth="1"/>
    <col min="527" max="527" width="1.5703125" style="1158" customWidth="1"/>
    <col min="528" max="528" width="21" style="1158" customWidth="1"/>
    <col min="529" max="529" width="4.5703125" style="1158" customWidth="1"/>
    <col min="530" max="543" width="0" style="1158" hidden="1" customWidth="1"/>
    <col min="544" max="768" width="9.42578125" style="1158"/>
    <col min="769" max="769" width="0" style="1158" hidden="1" customWidth="1"/>
    <col min="770" max="770" width="10.42578125" style="1158" customWidth="1"/>
    <col min="771" max="771" width="1.42578125" style="1158" customWidth="1"/>
    <col min="772" max="772" width="6.5703125" style="1158" customWidth="1"/>
    <col min="773" max="773" width="1.5703125" style="1158" customWidth="1"/>
    <col min="774" max="774" width="12.5703125" style="1158" customWidth="1"/>
    <col min="775" max="775" width="1.5703125" style="1158" customWidth="1"/>
    <col min="776" max="776" width="19.5703125" style="1158" customWidth="1"/>
    <col min="777" max="777" width="2.5703125" style="1158" customWidth="1"/>
    <col min="778" max="778" width="10.5703125" style="1158" customWidth="1"/>
    <col min="779" max="779" width="0.5703125" style="1158" customWidth="1"/>
    <col min="780" max="780" width="6.42578125" style="1158" customWidth="1"/>
    <col min="781" max="781" width="1.5703125" style="1158" customWidth="1"/>
    <col min="782" max="782" width="12.5703125" style="1158" customWidth="1"/>
    <col min="783" max="783" width="1.5703125" style="1158" customWidth="1"/>
    <col min="784" max="784" width="21" style="1158" customWidth="1"/>
    <col min="785" max="785" width="4.5703125" style="1158" customWidth="1"/>
    <col min="786" max="799" width="0" style="1158" hidden="1" customWidth="1"/>
    <col min="800" max="1024" width="9.42578125" style="1158"/>
    <col min="1025" max="1025" width="0" style="1158" hidden="1" customWidth="1"/>
    <col min="1026" max="1026" width="10.42578125" style="1158" customWidth="1"/>
    <col min="1027" max="1027" width="1.42578125" style="1158" customWidth="1"/>
    <col min="1028" max="1028" width="6.5703125" style="1158" customWidth="1"/>
    <col min="1029" max="1029" width="1.5703125" style="1158" customWidth="1"/>
    <col min="1030" max="1030" width="12.5703125" style="1158" customWidth="1"/>
    <col min="1031" max="1031" width="1.5703125" style="1158" customWidth="1"/>
    <col min="1032" max="1032" width="19.5703125" style="1158" customWidth="1"/>
    <col min="1033" max="1033" width="2.5703125" style="1158" customWidth="1"/>
    <col min="1034" max="1034" width="10.5703125" style="1158" customWidth="1"/>
    <col min="1035" max="1035" width="0.5703125" style="1158" customWidth="1"/>
    <col min="1036" max="1036" width="6.42578125" style="1158" customWidth="1"/>
    <col min="1037" max="1037" width="1.5703125" style="1158" customWidth="1"/>
    <col min="1038" max="1038" width="12.5703125" style="1158" customWidth="1"/>
    <col min="1039" max="1039" width="1.5703125" style="1158" customWidth="1"/>
    <col min="1040" max="1040" width="21" style="1158" customWidth="1"/>
    <col min="1041" max="1041" width="4.5703125" style="1158" customWidth="1"/>
    <col min="1042" max="1055" width="0" style="1158" hidden="1" customWidth="1"/>
    <col min="1056" max="1280" width="9.42578125" style="1158"/>
    <col min="1281" max="1281" width="0" style="1158" hidden="1" customWidth="1"/>
    <col min="1282" max="1282" width="10.42578125" style="1158" customWidth="1"/>
    <col min="1283" max="1283" width="1.42578125" style="1158" customWidth="1"/>
    <col min="1284" max="1284" width="6.5703125" style="1158" customWidth="1"/>
    <col min="1285" max="1285" width="1.5703125" style="1158" customWidth="1"/>
    <col min="1286" max="1286" width="12.5703125" style="1158" customWidth="1"/>
    <col min="1287" max="1287" width="1.5703125" style="1158" customWidth="1"/>
    <col min="1288" max="1288" width="19.5703125" style="1158" customWidth="1"/>
    <col min="1289" max="1289" width="2.5703125" style="1158" customWidth="1"/>
    <col min="1290" max="1290" width="10.5703125" style="1158" customWidth="1"/>
    <col min="1291" max="1291" width="0.5703125" style="1158" customWidth="1"/>
    <col min="1292" max="1292" width="6.42578125" style="1158" customWidth="1"/>
    <col min="1293" max="1293" width="1.5703125" style="1158" customWidth="1"/>
    <col min="1294" max="1294" width="12.5703125" style="1158" customWidth="1"/>
    <col min="1295" max="1295" width="1.5703125" style="1158" customWidth="1"/>
    <col min="1296" max="1296" width="21" style="1158" customWidth="1"/>
    <col min="1297" max="1297" width="4.5703125" style="1158" customWidth="1"/>
    <col min="1298" max="1311" width="0" style="1158" hidden="1" customWidth="1"/>
    <col min="1312" max="1536" width="9.42578125" style="1158"/>
    <col min="1537" max="1537" width="0" style="1158" hidden="1" customWidth="1"/>
    <col min="1538" max="1538" width="10.42578125" style="1158" customWidth="1"/>
    <col min="1539" max="1539" width="1.42578125" style="1158" customWidth="1"/>
    <col min="1540" max="1540" width="6.5703125" style="1158" customWidth="1"/>
    <col min="1541" max="1541" width="1.5703125" style="1158" customWidth="1"/>
    <col min="1542" max="1542" width="12.5703125" style="1158" customWidth="1"/>
    <col min="1543" max="1543" width="1.5703125" style="1158" customWidth="1"/>
    <col min="1544" max="1544" width="19.5703125" style="1158" customWidth="1"/>
    <col min="1545" max="1545" width="2.5703125" style="1158" customWidth="1"/>
    <col min="1546" max="1546" width="10.5703125" style="1158" customWidth="1"/>
    <col min="1547" max="1547" width="0.5703125" style="1158" customWidth="1"/>
    <col min="1548" max="1548" width="6.42578125" style="1158" customWidth="1"/>
    <col min="1549" max="1549" width="1.5703125" style="1158" customWidth="1"/>
    <col min="1550" max="1550" width="12.5703125" style="1158" customWidth="1"/>
    <col min="1551" max="1551" width="1.5703125" style="1158" customWidth="1"/>
    <col min="1552" max="1552" width="21" style="1158" customWidth="1"/>
    <col min="1553" max="1553" width="4.5703125" style="1158" customWidth="1"/>
    <col min="1554" max="1567" width="0" style="1158" hidden="1" customWidth="1"/>
    <col min="1568" max="1792" width="9.42578125" style="1158"/>
    <col min="1793" max="1793" width="0" style="1158" hidden="1" customWidth="1"/>
    <col min="1794" max="1794" width="10.42578125" style="1158" customWidth="1"/>
    <col min="1795" max="1795" width="1.42578125" style="1158" customWidth="1"/>
    <col min="1796" max="1796" width="6.5703125" style="1158" customWidth="1"/>
    <col min="1797" max="1797" width="1.5703125" style="1158" customWidth="1"/>
    <col min="1798" max="1798" width="12.5703125" style="1158" customWidth="1"/>
    <col min="1799" max="1799" width="1.5703125" style="1158" customWidth="1"/>
    <col min="1800" max="1800" width="19.5703125" style="1158" customWidth="1"/>
    <col min="1801" max="1801" width="2.5703125" style="1158" customWidth="1"/>
    <col min="1802" max="1802" width="10.5703125" style="1158" customWidth="1"/>
    <col min="1803" max="1803" width="0.5703125" style="1158" customWidth="1"/>
    <col min="1804" max="1804" width="6.42578125" style="1158" customWidth="1"/>
    <col min="1805" max="1805" width="1.5703125" style="1158" customWidth="1"/>
    <col min="1806" max="1806" width="12.5703125" style="1158" customWidth="1"/>
    <col min="1807" max="1807" width="1.5703125" style="1158" customWidth="1"/>
    <col min="1808" max="1808" width="21" style="1158" customWidth="1"/>
    <col min="1809" max="1809" width="4.5703125" style="1158" customWidth="1"/>
    <col min="1810" max="1823" width="0" style="1158" hidden="1" customWidth="1"/>
    <col min="1824" max="2048" width="9.42578125" style="1158"/>
    <col min="2049" max="2049" width="0" style="1158" hidden="1" customWidth="1"/>
    <col min="2050" max="2050" width="10.42578125" style="1158" customWidth="1"/>
    <col min="2051" max="2051" width="1.42578125" style="1158" customWidth="1"/>
    <col min="2052" max="2052" width="6.5703125" style="1158" customWidth="1"/>
    <col min="2053" max="2053" width="1.5703125" style="1158" customWidth="1"/>
    <col min="2054" max="2054" width="12.5703125" style="1158" customWidth="1"/>
    <col min="2055" max="2055" width="1.5703125" style="1158" customWidth="1"/>
    <col min="2056" max="2056" width="19.5703125" style="1158" customWidth="1"/>
    <col min="2057" max="2057" width="2.5703125" style="1158" customWidth="1"/>
    <col min="2058" max="2058" width="10.5703125" style="1158" customWidth="1"/>
    <col min="2059" max="2059" width="0.5703125" style="1158" customWidth="1"/>
    <col min="2060" max="2060" width="6.42578125" style="1158" customWidth="1"/>
    <col min="2061" max="2061" width="1.5703125" style="1158" customWidth="1"/>
    <col min="2062" max="2062" width="12.5703125" style="1158" customWidth="1"/>
    <col min="2063" max="2063" width="1.5703125" style="1158" customWidth="1"/>
    <col min="2064" max="2064" width="21" style="1158" customWidth="1"/>
    <col min="2065" max="2065" width="4.5703125" style="1158" customWidth="1"/>
    <col min="2066" max="2079" width="0" style="1158" hidden="1" customWidth="1"/>
    <col min="2080" max="2304" width="9.42578125" style="1158"/>
    <col min="2305" max="2305" width="0" style="1158" hidden="1" customWidth="1"/>
    <col min="2306" max="2306" width="10.42578125" style="1158" customWidth="1"/>
    <col min="2307" max="2307" width="1.42578125" style="1158" customWidth="1"/>
    <col min="2308" max="2308" width="6.5703125" style="1158" customWidth="1"/>
    <col min="2309" max="2309" width="1.5703125" style="1158" customWidth="1"/>
    <col min="2310" max="2310" width="12.5703125" style="1158" customWidth="1"/>
    <col min="2311" max="2311" width="1.5703125" style="1158" customWidth="1"/>
    <col min="2312" max="2312" width="19.5703125" style="1158" customWidth="1"/>
    <col min="2313" max="2313" width="2.5703125" style="1158" customWidth="1"/>
    <col min="2314" max="2314" width="10.5703125" style="1158" customWidth="1"/>
    <col min="2315" max="2315" width="0.5703125" style="1158" customWidth="1"/>
    <col min="2316" max="2316" width="6.42578125" style="1158" customWidth="1"/>
    <col min="2317" max="2317" width="1.5703125" style="1158" customWidth="1"/>
    <col min="2318" max="2318" width="12.5703125" style="1158" customWidth="1"/>
    <col min="2319" max="2319" width="1.5703125" style="1158" customWidth="1"/>
    <col min="2320" max="2320" width="21" style="1158" customWidth="1"/>
    <col min="2321" max="2321" width="4.5703125" style="1158" customWidth="1"/>
    <col min="2322" max="2335" width="0" style="1158" hidden="1" customWidth="1"/>
    <col min="2336" max="2560" width="9.42578125" style="1158"/>
    <col min="2561" max="2561" width="0" style="1158" hidden="1" customWidth="1"/>
    <col min="2562" max="2562" width="10.42578125" style="1158" customWidth="1"/>
    <col min="2563" max="2563" width="1.42578125" style="1158" customWidth="1"/>
    <col min="2564" max="2564" width="6.5703125" style="1158" customWidth="1"/>
    <col min="2565" max="2565" width="1.5703125" style="1158" customWidth="1"/>
    <col min="2566" max="2566" width="12.5703125" style="1158" customWidth="1"/>
    <col min="2567" max="2567" width="1.5703125" style="1158" customWidth="1"/>
    <col min="2568" max="2568" width="19.5703125" style="1158" customWidth="1"/>
    <col min="2569" max="2569" width="2.5703125" style="1158" customWidth="1"/>
    <col min="2570" max="2570" width="10.5703125" style="1158" customWidth="1"/>
    <col min="2571" max="2571" width="0.5703125" style="1158" customWidth="1"/>
    <col min="2572" max="2572" width="6.42578125" style="1158" customWidth="1"/>
    <col min="2573" max="2573" width="1.5703125" style="1158" customWidth="1"/>
    <col min="2574" max="2574" width="12.5703125" style="1158" customWidth="1"/>
    <col min="2575" max="2575" width="1.5703125" style="1158" customWidth="1"/>
    <col min="2576" max="2576" width="21" style="1158" customWidth="1"/>
    <col min="2577" max="2577" width="4.5703125" style="1158" customWidth="1"/>
    <col min="2578" max="2591" width="0" style="1158" hidden="1" customWidth="1"/>
    <col min="2592" max="2816" width="9.42578125" style="1158"/>
    <col min="2817" max="2817" width="0" style="1158" hidden="1" customWidth="1"/>
    <col min="2818" max="2818" width="10.42578125" style="1158" customWidth="1"/>
    <col min="2819" max="2819" width="1.42578125" style="1158" customWidth="1"/>
    <col min="2820" max="2820" width="6.5703125" style="1158" customWidth="1"/>
    <col min="2821" max="2821" width="1.5703125" style="1158" customWidth="1"/>
    <col min="2822" max="2822" width="12.5703125" style="1158" customWidth="1"/>
    <col min="2823" max="2823" width="1.5703125" style="1158" customWidth="1"/>
    <col min="2824" max="2824" width="19.5703125" style="1158" customWidth="1"/>
    <col min="2825" max="2825" width="2.5703125" style="1158" customWidth="1"/>
    <col min="2826" max="2826" width="10.5703125" style="1158" customWidth="1"/>
    <col min="2827" max="2827" width="0.5703125" style="1158" customWidth="1"/>
    <col min="2828" max="2828" width="6.42578125" style="1158" customWidth="1"/>
    <col min="2829" max="2829" width="1.5703125" style="1158" customWidth="1"/>
    <col min="2830" max="2830" width="12.5703125" style="1158" customWidth="1"/>
    <col min="2831" max="2831" width="1.5703125" style="1158" customWidth="1"/>
    <col min="2832" max="2832" width="21" style="1158" customWidth="1"/>
    <col min="2833" max="2833" width="4.5703125" style="1158" customWidth="1"/>
    <col min="2834" max="2847" width="0" style="1158" hidden="1" customWidth="1"/>
    <col min="2848" max="3072" width="9.42578125" style="1158"/>
    <col min="3073" max="3073" width="0" style="1158" hidden="1" customWidth="1"/>
    <col min="3074" max="3074" width="10.42578125" style="1158" customWidth="1"/>
    <col min="3075" max="3075" width="1.42578125" style="1158" customWidth="1"/>
    <col min="3076" max="3076" width="6.5703125" style="1158" customWidth="1"/>
    <col min="3077" max="3077" width="1.5703125" style="1158" customWidth="1"/>
    <col min="3078" max="3078" width="12.5703125" style="1158" customWidth="1"/>
    <col min="3079" max="3079" width="1.5703125" style="1158" customWidth="1"/>
    <col min="3080" max="3080" width="19.5703125" style="1158" customWidth="1"/>
    <col min="3081" max="3081" width="2.5703125" style="1158" customWidth="1"/>
    <col min="3082" max="3082" width="10.5703125" style="1158" customWidth="1"/>
    <col min="3083" max="3083" width="0.5703125" style="1158" customWidth="1"/>
    <col min="3084" max="3084" width="6.42578125" style="1158" customWidth="1"/>
    <col min="3085" max="3085" width="1.5703125" style="1158" customWidth="1"/>
    <col min="3086" max="3086" width="12.5703125" style="1158" customWidth="1"/>
    <col min="3087" max="3087" width="1.5703125" style="1158" customWidth="1"/>
    <col min="3088" max="3088" width="21" style="1158" customWidth="1"/>
    <col min="3089" max="3089" width="4.5703125" style="1158" customWidth="1"/>
    <col min="3090" max="3103" width="0" style="1158" hidden="1" customWidth="1"/>
    <col min="3104" max="3328" width="9.42578125" style="1158"/>
    <col min="3329" max="3329" width="0" style="1158" hidden="1" customWidth="1"/>
    <col min="3330" max="3330" width="10.42578125" style="1158" customWidth="1"/>
    <col min="3331" max="3331" width="1.42578125" style="1158" customWidth="1"/>
    <col min="3332" max="3332" width="6.5703125" style="1158" customWidth="1"/>
    <col min="3333" max="3333" width="1.5703125" style="1158" customWidth="1"/>
    <col min="3334" max="3334" width="12.5703125" style="1158" customWidth="1"/>
    <col min="3335" max="3335" width="1.5703125" style="1158" customWidth="1"/>
    <col min="3336" max="3336" width="19.5703125" style="1158" customWidth="1"/>
    <col min="3337" max="3337" width="2.5703125" style="1158" customWidth="1"/>
    <col min="3338" max="3338" width="10.5703125" style="1158" customWidth="1"/>
    <col min="3339" max="3339" width="0.5703125" style="1158" customWidth="1"/>
    <col min="3340" max="3340" width="6.42578125" style="1158" customWidth="1"/>
    <col min="3341" max="3341" width="1.5703125" style="1158" customWidth="1"/>
    <col min="3342" max="3342" width="12.5703125" style="1158" customWidth="1"/>
    <col min="3343" max="3343" width="1.5703125" style="1158" customWidth="1"/>
    <col min="3344" max="3344" width="21" style="1158" customWidth="1"/>
    <col min="3345" max="3345" width="4.5703125" style="1158" customWidth="1"/>
    <col min="3346" max="3359" width="0" style="1158" hidden="1" customWidth="1"/>
    <col min="3360" max="3584" width="9.42578125" style="1158"/>
    <col min="3585" max="3585" width="0" style="1158" hidden="1" customWidth="1"/>
    <col min="3586" max="3586" width="10.42578125" style="1158" customWidth="1"/>
    <col min="3587" max="3587" width="1.42578125" style="1158" customWidth="1"/>
    <col min="3588" max="3588" width="6.5703125" style="1158" customWidth="1"/>
    <col min="3589" max="3589" width="1.5703125" style="1158" customWidth="1"/>
    <col min="3590" max="3590" width="12.5703125" style="1158" customWidth="1"/>
    <col min="3591" max="3591" width="1.5703125" style="1158" customWidth="1"/>
    <col min="3592" max="3592" width="19.5703125" style="1158" customWidth="1"/>
    <col min="3593" max="3593" width="2.5703125" style="1158" customWidth="1"/>
    <col min="3594" max="3594" width="10.5703125" style="1158" customWidth="1"/>
    <col min="3595" max="3595" width="0.5703125" style="1158" customWidth="1"/>
    <col min="3596" max="3596" width="6.42578125" style="1158" customWidth="1"/>
    <col min="3597" max="3597" width="1.5703125" style="1158" customWidth="1"/>
    <col min="3598" max="3598" width="12.5703125" style="1158" customWidth="1"/>
    <col min="3599" max="3599" width="1.5703125" style="1158" customWidth="1"/>
    <col min="3600" max="3600" width="21" style="1158" customWidth="1"/>
    <col min="3601" max="3601" width="4.5703125" style="1158" customWidth="1"/>
    <col min="3602" max="3615" width="0" style="1158" hidden="1" customWidth="1"/>
    <col min="3616" max="3840" width="9.42578125" style="1158"/>
    <col min="3841" max="3841" width="0" style="1158" hidden="1" customWidth="1"/>
    <col min="3842" max="3842" width="10.42578125" style="1158" customWidth="1"/>
    <col min="3843" max="3843" width="1.42578125" style="1158" customWidth="1"/>
    <col min="3844" max="3844" width="6.5703125" style="1158" customWidth="1"/>
    <col min="3845" max="3845" width="1.5703125" style="1158" customWidth="1"/>
    <col min="3846" max="3846" width="12.5703125" style="1158" customWidth="1"/>
    <col min="3847" max="3847" width="1.5703125" style="1158" customWidth="1"/>
    <col min="3848" max="3848" width="19.5703125" style="1158" customWidth="1"/>
    <col min="3849" max="3849" width="2.5703125" style="1158" customWidth="1"/>
    <col min="3850" max="3850" width="10.5703125" style="1158" customWidth="1"/>
    <col min="3851" max="3851" width="0.5703125" style="1158" customWidth="1"/>
    <col min="3852" max="3852" width="6.42578125" style="1158" customWidth="1"/>
    <col min="3853" max="3853" width="1.5703125" style="1158" customWidth="1"/>
    <col min="3854" max="3854" width="12.5703125" style="1158" customWidth="1"/>
    <col min="3855" max="3855" width="1.5703125" style="1158" customWidth="1"/>
    <col min="3856" max="3856" width="21" style="1158" customWidth="1"/>
    <col min="3857" max="3857" width="4.5703125" style="1158" customWidth="1"/>
    <col min="3858" max="3871" width="0" style="1158" hidden="1" customWidth="1"/>
    <col min="3872" max="4096" width="9.42578125" style="1158"/>
    <col min="4097" max="4097" width="0" style="1158" hidden="1" customWidth="1"/>
    <col min="4098" max="4098" width="10.42578125" style="1158" customWidth="1"/>
    <col min="4099" max="4099" width="1.42578125" style="1158" customWidth="1"/>
    <col min="4100" max="4100" width="6.5703125" style="1158" customWidth="1"/>
    <col min="4101" max="4101" width="1.5703125" style="1158" customWidth="1"/>
    <col min="4102" max="4102" width="12.5703125" style="1158" customWidth="1"/>
    <col min="4103" max="4103" width="1.5703125" style="1158" customWidth="1"/>
    <col min="4104" max="4104" width="19.5703125" style="1158" customWidth="1"/>
    <col min="4105" max="4105" width="2.5703125" style="1158" customWidth="1"/>
    <col min="4106" max="4106" width="10.5703125" style="1158" customWidth="1"/>
    <col min="4107" max="4107" width="0.5703125" style="1158" customWidth="1"/>
    <col min="4108" max="4108" width="6.42578125" style="1158" customWidth="1"/>
    <col min="4109" max="4109" width="1.5703125" style="1158" customWidth="1"/>
    <col min="4110" max="4110" width="12.5703125" style="1158" customWidth="1"/>
    <col min="4111" max="4111" width="1.5703125" style="1158" customWidth="1"/>
    <col min="4112" max="4112" width="21" style="1158" customWidth="1"/>
    <col min="4113" max="4113" width="4.5703125" style="1158" customWidth="1"/>
    <col min="4114" max="4127" width="0" style="1158" hidden="1" customWidth="1"/>
    <col min="4128" max="4352" width="9.42578125" style="1158"/>
    <col min="4353" max="4353" width="0" style="1158" hidden="1" customWidth="1"/>
    <col min="4354" max="4354" width="10.42578125" style="1158" customWidth="1"/>
    <col min="4355" max="4355" width="1.42578125" style="1158" customWidth="1"/>
    <col min="4356" max="4356" width="6.5703125" style="1158" customWidth="1"/>
    <col min="4357" max="4357" width="1.5703125" style="1158" customWidth="1"/>
    <col min="4358" max="4358" width="12.5703125" style="1158" customWidth="1"/>
    <col min="4359" max="4359" width="1.5703125" style="1158" customWidth="1"/>
    <col min="4360" max="4360" width="19.5703125" style="1158" customWidth="1"/>
    <col min="4361" max="4361" width="2.5703125" style="1158" customWidth="1"/>
    <col min="4362" max="4362" width="10.5703125" style="1158" customWidth="1"/>
    <col min="4363" max="4363" width="0.5703125" style="1158" customWidth="1"/>
    <col min="4364" max="4364" width="6.42578125" style="1158" customWidth="1"/>
    <col min="4365" max="4365" width="1.5703125" style="1158" customWidth="1"/>
    <col min="4366" max="4366" width="12.5703125" style="1158" customWidth="1"/>
    <col min="4367" max="4367" width="1.5703125" style="1158" customWidth="1"/>
    <col min="4368" max="4368" width="21" style="1158" customWidth="1"/>
    <col min="4369" max="4369" width="4.5703125" style="1158" customWidth="1"/>
    <col min="4370" max="4383" width="0" style="1158" hidden="1" customWidth="1"/>
    <col min="4384" max="4608" width="9.42578125" style="1158"/>
    <col min="4609" max="4609" width="0" style="1158" hidden="1" customWidth="1"/>
    <col min="4610" max="4610" width="10.42578125" style="1158" customWidth="1"/>
    <col min="4611" max="4611" width="1.42578125" style="1158" customWidth="1"/>
    <col min="4612" max="4612" width="6.5703125" style="1158" customWidth="1"/>
    <col min="4613" max="4613" width="1.5703125" style="1158" customWidth="1"/>
    <col min="4614" max="4614" width="12.5703125" style="1158" customWidth="1"/>
    <col min="4615" max="4615" width="1.5703125" style="1158" customWidth="1"/>
    <col min="4616" max="4616" width="19.5703125" style="1158" customWidth="1"/>
    <col min="4617" max="4617" width="2.5703125" style="1158" customWidth="1"/>
    <col min="4618" max="4618" width="10.5703125" style="1158" customWidth="1"/>
    <col min="4619" max="4619" width="0.5703125" style="1158" customWidth="1"/>
    <col min="4620" max="4620" width="6.42578125" style="1158" customWidth="1"/>
    <col min="4621" max="4621" width="1.5703125" style="1158" customWidth="1"/>
    <col min="4622" max="4622" width="12.5703125" style="1158" customWidth="1"/>
    <col min="4623" max="4623" width="1.5703125" style="1158" customWidth="1"/>
    <col min="4624" max="4624" width="21" style="1158" customWidth="1"/>
    <col min="4625" max="4625" width="4.5703125" style="1158" customWidth="1"/>
    <col min="4626" max="4639" width="0" style="1158" hidden="1" customWidth="1"/>
    <col min="4640" max="4864" width="9.42578125" style="1158"/>
    <col min="4865" max="4865" width="0" style="1158" hidden="1" customWidth="1"/>
    <col min="4866" max="4866" width="10.42578125" style="1158" customWidth="1"/>
    <col min="4867" max="4867" width="1.42578125" style="1158" customWidth="1"/>
    <col min="4868" max="4868" width="6.5703125" style="1158" customWidth="1"/>
    <col min="4869" max="4869" width="1.5703125" style="1158" customWidth="1"/>
    <col min="4870" max="4870" width="12.5703125" style="1158" customWidth="1"/>
    <col min="4871" max="4871" width="1.5703125" style="1158" customWidth="1"/>
    <col min="4872" max="4872" width="19.5703125" style="1158" customWidth="1"/>
    <col min="4873" max="4873" width="2.5703125" style="1158" customWidth="1"/>
    <col min="4874" max="4874" width="10.5703125" style="1158" customWidth="1"/>
    <col min="4875" max="4875" width="0.5703125" style="1158" customWidth="1"/>
    <col min="4876" max="4876" width="6.42578125" style="1158" customWidth="1"/>
    <col min="4877" max="4877" width="1.5703125" style="1158" customWidth="1"/>
    <col min="4878" max="4878" width="12.5703125" style="1158" customWidth="1"/>
    <col min="4879" max="4879" width="1.5703125" style="1158" customWidth="1"/>
    <col min="4880" max="4880" width="21" style="1158" customWidth="1"/>
    <col min="4881" max="4881" width="4.5703125" style="1158" customWidth="1"/>
    <col min="4882" max="4895" width="0" style="1158" hidden="1" customWidth="1"/>
    <col min="4896" max="5120" width="9.42578125" style="1158"/>
    <col min="5121" max="5121" width="0" style="1158" hidden="1" customWidth="1"/>
    <col min="5122" max="5122" width="10.42578125" style="1158" customWidth="1"/>
    <col min="5123" max="5123" width="1.42578125" style="1158" customWidth="1"/>
    <col min="5124" max="5124" width="6.5703125" style="1158" customWidth="1"/>
    <col min="5125" max="5125" width="1.5703125" style="1158" customWidth="1"/>
    <col min="5126" max="5126" width="12.5703125" style="1158" customWidth="1"/>
    <col min="5127" max="5127" width="1.5703125" style="1158" customWidth="1"/>
    <col min="5128" max="5128" width="19.5703125" style="1158" customWidth="1"/>
    <col min="5129" max="5129" width="2.5703125" style="1158" customWidth="1"/>
    <col min="5130" max="5130" width="10.5703125" style="1158" customWidth="1"/>
    <col min="5131" max="5131" width="0.5703125" style="1158" customWidth="1"/>
    <col min="5132" max="5132" width="6.42578125" style="1158" customWidth="1"/>
    <col min="5133" max="5133" width="1.5703125" style="1158" customWidth="1"/>
    <col min="5134" max="5134" width="12.5703125" style="1158" customWidth="1"/>
    <col min="5135" max="5135" width="1.5703125" style="1158" customWidth="1"/>
    <col min="5136" max="5136" width="21" style="1158" customWidth="1"/>
    <col min="5137" max="5137" width="4.5703125" style="1158" customWidth="1"/>
    <col min="5138" max="5151" width="0" style="1158" hidden="1" customWidth="1"/>
    <col min="5152" max="5376" width="9.42578125" style="1158"/>
    <col min="5377" max="5377" width="0" style="1158" hidden="1" customWidth="1"/>
    <col min="5378" max="5378" width="10.42578125" style="1158" customWidth="1"/>
    <col min="5379" max="5379" width="1.42578125" style="1158" customWidth="1"/>
    <col min="5380" max="5380" width="6.5703125" style="1158" customWidth="1"/>
    <col min="5381" max="5381" width="1.5703125" style="1158" customWidth="1"/>
    <col min="5382" max="5382" width="12.5703125" style="1158" customWidth="1"/>
    <col min="5383" max="5383" width="1.5703125" style="1158" customWidth="1"/>
    <col min="5384" max="5384" width="19.5703125" style="1158" customWidth="1"/>
    <col min="5385" max="5385" width="2.5703125" style="1158" customWidth="1"/>
    <col min="5386" max="5386" width="10.5703125" style="1158" customWidth="1"/>
    <col min="5387" max="5387" width="0.5703125" style="1158" customWidth="1"/>
    <col min="5388" max="5388" width="6.42578125" style="1158" customWidth="1"/>
    <col min="5389" max="5389" width="1.5703125" style="1158" customWidth="1"/>
    <col min="5390" max="5390" width="12.5703125" style="1158" customWidth="1"/>
    <col min="5391" max="5391" width="1.5703125" style="1158" customWidth="1"/>
    <col min="5392" max="5392" width="21" style="1158" customWidth="1"/>
    <col min="5393" max="5393" width="4.5703125" style="1158" customWidth="1"/>
    <col min="5394" max="5407" width="0" style="1158" hidden="1" customWidth="1"/>
    <col min="5408" max="5632" width="9.42578125" style="1158"/>
    <col min="5633" max="5633" width="0" style="1158" hidden="1" customWidth="1"/>
    <col min="5634" max="5634" width="10.42578125" style="1158" customWidth="1"/>
    <col min="5635" max="5635" width="1.42578125" style="1158" customWidth="1"/>
    <col min="5636" max="5636" width="6.5703125" style="1158" customWidth="1"/>
    <col min="5637" max="5637" width="1.5703125" style="1158" customWidth="1"/>
    <col min="5638" max="5638" width="12.5703125" style="1158" customWidth="1"/>
    <col min="5639" max="5639" width="1.5703125" style="1158" customWidth="1"/>
    <col min="5640" max="5640" width="19.5703125" style="1158" customWidth="1"/>
    <col min="5641" max="5641" width="2.5703125" style="1158" customWidth="1"/>
    <col min="5642" max="5642" width="10.5703125" style="1158" customWidth="1"/>
    <col min="5643" max="5643" width="0.5703125" style="1158" customWidth="1"/>
    <col min="5644" max="5644" width="6.42578125" style="1158" customWidth="1"/>
    <col min="5645" max="5645" width="1.5703125" style="1158" customWidth="1"/>
    <col min="5646" max="5646" width="12.5703125" style="1158" customWidth="1"/>
    <col min="5647" max="5647" width="1.5703125" style="1158" customWidth="1"/>
    <col min="5648" max="5648" width="21" style="1158" customWidth="1"/>
    <col min="5649" max="5649" width="4.5703125" style="1158" customWidth="1"/>
    <col min="5650" max="5663" width="0" style="1158" hidden="1" customWidth="1"/>
    <col min="5664" max="5888" width="9.42578125" style="1158"/>
    <col min="5889" max="5889" width="0" style="1158" hidden="1" customWidth="1"/>
    <col min="5890" max="5890" width="10.42578125" style="1158" customWidth="1"/>
    <col min="5891" max="5891" width="1.42578125" style="1158" customWidth="1"/>
    <col min="5892" max="5892" width="6.5703125" style="1158" customWidth="1"/>
    <col min="5893" max="5893" width="1.5703125" style="1158" customWidth="1"/>
    <col min="5894" max="5894" width="12.5703125" style="1158" customWidth="1"/>
    <col min="5895" max="5895" width="1.5703125" style="1158" customWidth="1"/>
    <col min="5896" max="5896" width="19.5703125" style="1158" customWidth="1"/>
    <col min="5897" max="5897" width="2.5703125" style="1158" customWidth="1"/>
    <col min="5898" max="5898" width="10.5703125" style="1158" customWidth="1"/>
    <col min="5899" max="5899" width="0.5703125" style="1158" customWidth="1"/>
    <col min="5900" max="5900" width="6.42578125" style="1158" customWidth="1"/>
    <col min="5901" max="5901" width="1.5703125" style="1158" customWidth="1"/>
    <col min="5902" max="5902" width="12.5703125" style="1158" customWidth="1"/>
    <col min="5903" max="5903" width="1.5703125" style="1158" customWidth="1"/>
    <col min="5904" max="5904" width="21" style="1158" customWidth="1"/>
    <col min="5905" max="5905" width="4.5703125" style="1158" customWidth="1"/>
    <col min="5906" max="5919" width="0" style="1158" hidden="1" customWidth="1"/>
    <col min="5920" max="6144" width="9.42578125" style="1158"/>
    <col min="6145" max="6145" width="0" style="1158" hidden="1" customWidth="1"/>
    <col min="6146" max="6146" width="10.42578125" style="1158" customWidth="1"/>
    <col min="6147" max="6147" width="1.42578125" style="1158" customWidth="1"/>
    <col min="6148" max="6148" width="6.5703125" style="1158" customWidth="1"/>
    <col min="6149" max="6149" width="1.5703125" style="1158" customWidth="1"/>
    <col min="6150" max="6150" width="12.5703125" style="1158" customWidth="1"/>
    <col min="6151" max="6151" width="1.5703125" style="1158" customWidth="1"/>
    <col min="6152" max="6152" width="19.5703125" style="1158" customWidth="1"/>
    <col min="6153" max="6153" width="2.5703125" style="1158" customWidth="1"/>
    <col min="6154" max="6154" width="10.5703125" style="1158" customWidth="1"/>
    <col min="6155" max="6155" width="0.5703125" style="1158" customWidth="1"/>
    <col min="6156" max="6156" width="6.42578125" style="1158" customWidth="1"/>
    <col min="6157" max="6157" width="1.5703125" style="1158" customWidth="1"/>
    <col min="6158" max="6158" width="12.5703125" style="1158" customWidth="1"/>
    <col min="6159" max="6159" width="1.5703125" style="1158" customWidth="1"/>
    <col min="6160" max="6160" width="21" style="1158" customWidth="1"/>
    <col min="6161" max="6161" width="4.5703125" style="1158" customWidth="1"/>
    <col min="6162" max="6175" width="0" style="1158" hidden="1" customWidth="1"/>
    <col min="6176" max="6400" width="9.42578125" style="1158"/>
    <col min="6401" max="6401" width="0" style="1158" hidden="1" customWidth="1"/>
    <col min="6402" max="6402" width="10.42578125" style="1158" customWidth="1"/>
    <col min="6403" max="6403" width="1.42578125" style="1158" customWidth="1"/>
    <col min="6404" max="6404" width="6.5703125" style="1158" customWidth="1"/>
    <col min="6405" max="6405" width="1.5703125" style="1158" customWidth="1"/>
    <col min="6406" max="6406" width="12.5703125" style="1158" customWidth="1"/>
    <col min="6407" max="6407" width="1.5703125" style="1158" customWidth="1"/>
    <col min="6408" max="6408" width="19.5703125" style="1158" customWidth="1"/>
    <col min="6409" max="6409" width="2.5703125" style="1158" customWidth="1"/>
    <col min="6410" max="6410" width="10.5703125" style="1158" customWidth="1"/>
    <col min="6411" max="6411" width="0.5703125" style="1158" customWidth="1"/>
    <col min="6412" max="6412" width="6.42578125" style="1158" customWidth="1"/>
    <col min="6413" max="6413" width="1.5703125" style="1158" customWidth="1"/>
    <col min="6414" max="6414" width="12.5703125" style="1158" customWidth="1"/>
    <col min="6415" max="6415" width="1.5703125" style="1158" customWidth="1"/>
    <col min="6416" max="6416" width="21" style="1158" customWidth="1"/>
    <col min="6417" max="6417" width="4.5703125" style="1158" customWidth="1"/>
    <col min="6418" max="6431" width="0" style="1158" hidden="1" customWidth="1"/>
    <col min="6432" max="6656" width="9.42578125" style="1158"/>
    <col min="6657" max="6657" width="0" style="1158" hidden="1" customWidth="1"/>
    <col min="6658" max="6658" width="10.42578125" style="1158" customWidth="1"/>
    <col min="6659" max="6659" width="1.42578125" style="1158" customWidth="1"/>
    <col min="6660" max="6660" width="6.5703125" style="1158" customWidth="1"/>
    <col min="6661" max="6661" width="1.5703125" style="1158" customWidth="1"/>
    <col min="6662" max="6662" width="12.5703125" style="1158" customWidth="1"/>
    <col min="6663" max="6663" width="1.5703125" style="1158" customWidth="1"/>
    <col min="6664" max="6664" width="19.5703125" style="1158" customWidth="1"/>
    <col min="6665" max="6665" width="2.5703125" style="1158" customWidth="1"/>
    <col min="6666" max="6666" width="10.5703125" style="1158" customWidth="1"/>
    <col min="6667" max="6667" width="0.5703125" style="1158" customWidth="1"/>
    <col min="6668" max="6668" width="6.42578125" style="1158" customWidth="1"/>
    <col min="6669" max="6669" width="1.5703125" style="1158" customWidth="1"/>
    <col min="6670" max="6670" width="12.5703125" style="1158" customWidth="1"/>
    <col min="6671" max="6671" width="1.5703125" style="1158" customWidth="1"/>
    <col min="6672" max="6672" width="21" style="1158" customWidth="1"/>
    <col min="6673" max="6673" width="4.5703125" style="1158" customWidth="1"/>
    <col min="6674" max="6687" width="0" style="1158" hidden="1" customWidth="1"/>
    <col min="6688" max="6912" width="9.42578125" style="1158"/>
    <col min="6913" max="6913" width="0" style="1158" hidden="1" customWidth="1"/>
    <col min="6914" max="6914" width="10.42578125" style="1158" customWidth="1"/>
    <col min="6915" max="6915" width="1.42578125" style="1158" customWidth="1"/>
    <col min="6916" max="6916" width="6.5703125" style="1158" customWidth="1"/>
    <col min="6917" max="6917" width="1.5703125" style="1158" customWidth="1"/>
    <col min="6918" max="6918" width="12.5703125" style="1158" customWidth="1"/>
    <col min="6919" max="6919" width="1.5703125" style="1158" customWidth="1"/>
    <col min="6920" max="6920" width="19.5703125" style="1158" customWidth="1"/>
    <col min="6921" max="6921" width="2.5703125" style="1158" customWidth="1"/>
    <col min="6922" max="6922" width="10.5703125" style="1158" customWidth="1"/>
    <col min="6923" max="6923" width="0.5703125" style="1158" customWidth="1"/>
    <col min="6924" max="6924" width="6.42578125" style="1158" customWidth="1"/>
    <col min="6925" max="6925" width="1.5703125" style="1158" customWidth="1"/>
    <col min="6926" max="6926" width="12.5703125" style="1158" customWidth="1"/>
    <col min="6927" max="6927" width="1.5703125" style="1158" customWidth="1"/>
    <col min="6928" max="6928" width="21" style="1158" customWidth="1"/>
    <col min="6929" max="6929" width="4.5703125" style="1158" customWidth="1"/>
    <col min="6930" max="6943" width="0" style="1158" hidden="1" customWidth="1"/>
    <col min="6944" max="7168" width="9.42578125" style="1158"/>
    <col min="7169" max="7169" width="0" style="1158" hidden="1" customWidth="1"/>
    <col min="7170" max="7170" width="10.42578125" style="1158" customWidth="1"/>
    <col min="7171" max="7171" width="1.42578125" style="1158" customWidth="1"/>
    <col min="7172" max="7172" width="6.5703125" style="1158" customWidth="1"/>
    <col min="7173" max="7173" width="1.5703125" style="1158" customWidth="1"/>
    <col min="7174" max="7174" width="12.5703125" style="1158" customWidth="1"/>
    <col min="7175" max="7175" width="1.5703125" style="1158" customWidth="1"/>
    <col min="7176" max="7176" width="19.5703125" style="1158" customWidth="1"/>
    <col min="7177" max="7177" width="2.5703125" style="1158" customWidth="1"/>
    <col min="7178" max="7178" width="10.5703125" style="1158" customWidth="1"/>
    <col min="7179" max="7179" width="0.5703125" style="1158" customWidth="1"/>
    <col min="7180" max="7180" width="6.42578125" style="1158" customWidth="1"/>
    <col min="7181" max="7181" width="1.5703125" style="1158" customWidth="1"/>
    <col min="7182" max="7182" width="12.5703125" style="1158" customWidth="1"/>
    <col min="7183" max="7183" width="1.5703125" style="1158" customWidth="1"/>
    <col min="7184" max="7184" width="21" style="1158" customWidth="1"/>
    <col min="7185" max="7185" width="4.5703125" style="1158" customWidth="1"/>
    <col min="7186" max="7199" width="0" style="1158" hidden="1" customWidth="1"/>
    <col min="7200" max="7424" width="9.42578125" style="1158"/>
    <col min="7425" max="7425" width="0" style="1158" hidden="1" customWidth="1"/>
    <col min="7426" max="7426" width="10.42578125" style="1158" customWidth="1"/>
    <col min="7427" max="7427" width="1.42578125" style="1158" customWidth="1"/>
    <col min="7428" max="7428" width="6.5703125" style="1158" customWidth="1"/>
    <col min="7429" max="7429" width="1.5703125" style="1158" customWidth="1"/>
    <col min="7430" max="7430" width="12.5703125" style="1158" customWidth="1"/>
    <col min="7431" max="7431" width="1.5703125" style="1158" customWidth="1"/>
    <col min="7432" max="7432" width="19.5703125" style="1158" customWidth="1"/>
    <col min="7433" max="7433" width="2.5703125" style="1158" customWidth="1"/>
    <col min="7434" max="7434" width="10.5703125" style="1158" customWidth="1"/>
    <col min="7435" max="7435" width="0.5703125" style="1158" customWidth="1"/>
    <col min="7436" max="7436" width="6.42578125" style="1158" customWidth="1"/>
    <col min="7437" max="7437" width="1.5703125" style="1158" customWidth="1"/>
    <col min="7438" max="7438" width="12.5703125" style="1158" customWidth="1"/>
    <col min="7439" max="7439" width="1.5703125" style="1158" customWidth="1"/>
    <col min="7440" max="7440" width="21" style="1158" customWidth="1"/>
    <col min="7441" max="7441" width="4.5703125" style="1158" customWidth="1"/>
    <col min="7442" max="7455" width="0" style="1158" hidden="1" customWidth="1"/>
    <col min="7456" max="7680" width="9.42578125" style="1158"/>
    <col min="7681" max="7681" width="0" style="1158" hidden="1" customWidth="1"/>
    <col min="7682" max="7682" width="10.42578125" style="1158" customWidth="1"/>
    <col min="7683" max="7683" width="1.42578125" style="1158" customWidth="1"/>
    <col min="7684" max="7684" width="6.5703125" style="1158" customWidth="1"/>
    <col min="7685" max="7685" width="1.5703125" style="1158" customWidth="1"/>
    <col min="7686" max="7686" width="12.5703125" style="1158" customWidth="1"/>
    <col min="7687" max="7687" width="1.5703125" style="1158" customWidth="1"/>
    <col min="7688" max="7688" width="19.5703125" style="1158" customWidth="1"/>
    <col min="7689" max="7689" width="2.5703125" style="1158" customWidth="1"/>
    <col min="7690" max="7690" width="10.5703125" style="1158" customWidth="1"/>
    <col min="7691" max="7691" width="0.5703125" style="1158" customWidth="1"/>
    <col min="7692" max="7692" width="6.42578125" style="1158" customWidth="1"/>
    <col min="7693" max="7693" width="1.5703125" style="1158" customWidth="1"/>
    <col min="7694" max="7694" width="12.5703125" style="1158" customWidth="1"/>
    <col min="7695" max="7695" width="1.5703125" style="1158" customWidth="1"/>
    <col min="7696" max="7696" width="21" style="1158" customWidth="1"/>
    <col min="7697" max="7697" width="4.5703125" style="1158" customWidth="1"/>
    <col min="7698" max="7711" width="0" style="1158" hidden="1" customWidth="1"/>
    <col min="7712" max="7936" width="9.42578125" style="1158"/>
    <col min="7937" max="7937" width="0" style="1158" hidden="1" customWidth="1"/>
    <col min="7938" max="7938" width="10.42578125" style="1158" customWidth="1"/>
    <col min="7939" max="7939" width="1.42578125" style="1158" customWidth="1"/>
    <col min="7940" max="7940" width="6.5703125" style="1158" customWidth="1"/>
    <col min="7941" max="7941" width="1.5703125" style="1158" customWidth="1"/>
    <col min="7942" max="7942" width="12.5703125" style="1158" customWidth="1"/>
    <col min="7943" max="7943" width="1.5703125" style="1158" customWidth="1"/>
    <col min="7944" max="7944" width="19.5703125" style="1158" customWidth="1"/>
    <col min="7945" max="7945" width="2.5703125" style="1158" customWidth="1"/>
    <col min="7946" max="7946" width="10.5703125" style="1158" customWidth="1"/>
    <col min="7947" max="7947" width="0.5703125" style="1158" customWidth="1"/>
    <col min="7948" max="7948" width="6.42578125" style="1158" customWidth="1"/>
    <col min="7949" max="7949" width="1.5703125" style="1158" customWidth="1"/>
    <col min="7950" max="7950" width="12.5703125" style="1158" customWidth="1"/>
    <col min="7951" max="7951" width="1.5703125" style="1158" customWidth="1"/>
    <col min="7952" max="7952" width="21" style="1158" customWidth="1"/>
    <col min="7953" max="7953" width="4.5703125" style="1158" customWidth="1"/>
    <col min="7954" max="7967" width="0" style="1158" hidden="1" customWidth="1"/>
    <col min="7968" max="8192" width="9.42578125" style="1158"/>
    <col min="8193" max="8193" width="0" style="1158" hidden="1" customWidth="1"/>
    <col min="8194" max="8194" width="10.42578125" style="1158" customWidth="1"/>
    <col min="8195" max="8195" width="1.42578125" style="1158" customWidth="1"/>
    <col min="8196" max="8196" width="6.5703125" style="1158" customWidth="1"/>
    <col min="8197" max="8197" width="1.5703125" style="1158" customWidth="1"/>
    <col min="8198" max="8198" width="12.5703125" style="1158" customWidth="1"/>
    <col min="8199" max="8199" width="1.5703125" style="1158" customWidth="1"/>
    <col min="8200" max="8200" width="19.5703125" style="1158" customWidth="1"/>
    <col min="8201" max="8201" width="2.5703125" style="1158" customWidth="1"/>
    <col min="8202" max="8202" width="10.5703125" style="1158" customWidth="1"/>
    <col min="8203" max="8203" width="0.5703125" style="1158" customWidth="1"/>
    <col min="8204" max="8204" width="6.42578125" style="1158" customWidth="1"/>
    <col min="8205" max="8205" width="1.5703125" style="1158" customWidth="1"/>
    <col min="8206" max="8206" width="12.5703125" style="1158" customWidth="1"/>
    <col min="8207" max="8207" width="1.5703125" style="1158" customWidth="1"/>
    <col min="8208" max="8208" width="21" style="1158" customWidth="1"/>
    <col min="8209" max="8209" width="4.5703125" style="1158" customWidth="1"/>
    <col min="8210" max="8223" width="0" style="1158" hidden="1" customWidth="1"/>
    <col min="8224" max="8448" width="9.42578125" style="1158"/>
    <col min="8449" max="8449" width="0" style="1158" hidden="1" customWidth="1"/>
    <col min="8450" max="8450" width="10.42578125" style="1158" customWidth="1"/>
    <col min="8451" max="8451" width="1.42578125" style="1158" customWidth="1"/>
    <col min="8452" max="8452" width="6.5703125" style="1158" customWidth="1"/>
    <col min="8453" max="8453" width="1.5703125" style="1158" customWidth="1"/>
    <col min="8454" max="8454" width="12.5703125" style="1158" customWidth="1"/>
    <col min="8455" max="8455" width="1.5703125" style="1158" customWidth="1"/>
    <col min="8456" max="8456" width="19.5703125" style="1158" customWidth="1"/>
    <col min="8457" max="8457" width="2.5703125" style="1158" customWidth="1"/>
    <col min="8458" max="8458" width="10.5703125" style="1158" customWidth="1"/>
    <col min="8459" max="8459" width="0.5703125" style="1158" customWidth="1"/>
    <col min="8460" max="8460" width="6.42578125" style="1158" customWidth="1"/>
    <col min="8461" max="8461" width="1.5703125" style="1158" customWidth="1"/>
    <col min="8462" max="8462" width="12.5703125" style="1158" customWidth="1"/>
    <col min="8463" max="8463" width="1.5703125" style="1158" customWidth="1"/>
    <col min="8464" max="8464" width="21" style="1158" customWidth="1"/>
    <col min="8465" max="8465" width="4.5703125" style="1158" customWidth="1"/>
    <col min="8466" max="8479" width="0" style="1158" hidden="1" customWidth="1"/>
    <col min="8480" max="8704" width="9.42578125" style="1158"/>
    <col min="8705" max="8705" width="0" style="1158" hidden="1" customWidth="1"/>
    <col min="8706" max="8706" width="10.42578125" style="1158" customWidth="1"/>
    <col min="8707" max="8707" width="1.42578125" style="1158" customWidth="1"/>
    <col min="8708" max="8708" width="6.5703125" style="1158" customWidth="1"/>
    <col min="8709" max="8709" width="1.5703125" style="1158" customWidth="1"/>
    <col min="8710" max="8710" width="12.5703125" style="1158" customWidth="1"/>
    <col min="8711" max="8711" width="1.5703125" style="1158" customWidth="1"/>
    <col min="8712" max="8712" width="19.5703125" style="1158" customWidth="1"/>
    <col min="8713" max="8713" width="2.5703125" style="1158" customWidth="1"/>
    <col min="8714" max="8714" width="10.5703125" style="1158" customWidth="1"/>
    <col min="8715" max="8715" width="0.5703125" style="1158" customWidth="1"/>
    <col min="8716" max="8716" width="6.42578125" style="1158" customWidth="1"/>
    <col min="8717" max="8717" width="1.5703125" style="1158" customWidth="1"/>
    <col min="8718" max="8718" width="12.5703125" style="1158" customWidth="1"/>
    <col min="8719" max="8719" width="1.5703125" style="1158" customWidth="1"/>
    <col min="8720" max="8720" width="21" style="1158" customWidth="1"/>
    <col min="8721" max="8721" width="4.5703125" style="1158" customWidth="1"/>
    <col min="8722" max="8735" width="0" style="1158" hidden="1" customWidth="1"/>
    <col min="8736" max="8960" width="9.42578125" style="1158"/>
    <col min="8961" max="8961" width="0" style="1158" hidden="1" customWidth="1"/>
    <col min="8962" max="8962" width="10.42578125" style="1158" customWidth="1"/>
    <col min="8963" max="8963" width="1.42578125" style="1158" customWidth="1"/>
    <col min="8964" max="8964" width="6.5703125" style="1158" customWidth="1"/>
    <col min="8965" max="8965" width="1.5703125" style="1158" customWidth="1"/>
    <col min="8966" max="8966" width="12.5703125" style="1158" customWidth="1"/>
    <col min="8967" max="8967" width="1.5703125" style="1158" customWidth="1"/>
    <col min="8968" max="8968" width="19.5703125" style="1158" customWidth="1"/>
    <col min="8969" max="8969" width="2.5703125" style="1158" customWidth="1"/>
    <col min="8970" max="8970" width="10.5703125" style="1158" customWidth="1"/>
    <col min="8971" max="8971" width="0.5703125" style="1158" customWidth="1"/>
    <col min="8972" max="8972" width="6.42578125" style="1158" customWidth="1"/>
    <col min="8973" max="8973" width="1.5703125" style="1158" customWidth="1"/>
    <col min="8974" max="8974" width="12.5703125" style="1158" customWidth="1"/>
    <col min="8975" max="8975" width="1.5703125" style="1158" customWidth="1"/>
    <col min="8976" max="8976" width="21" style="1158" customWidth="1"/>
    <col min="8977" max="8977" width="4.5703125" style="1158" customWidth="1"/>
    <col min="8978" max="8991" width="0" style="1158" hidden="1" customWidth="1"/>
    <col min="8992" max="9216" width="9.42578125" style="1158"/>
    <col min="9217" max="9217" width="0" style="1158" hidden="1" customWidth="1"/>
    <col min="9218" max="9218" width="10.42578125" style="1158" customWidth="1"/>
    <col min="9219" max="9219" width="1.42578125" style="1158" customWidth="1"/>
    <col min="9220" max="9220" width="6.5703125" style="1158" customWidth="1"/>
    <col min="9221" max="9221" width="1.5703125" style="1158" customWidth="1"/>
    <col min="9222" max="9222" width="12.5703125" style="1158" customWidth="1"/>
    <col min="9223" max="9223" width="1.5703125" style="1158" customWidth="1"/>
    <col min="9224" max="9224" width="19.5703125" style="1158" customWidth="1"/>
    <col min="9225" max="9225" width="2.5703125" style="1158" customWidth="1"/>
    <col min="9226" max="9226" width="10.5703125" style="1158" customWidth="1"/>
    <col min="9227" max="9227" width="0.5703125" style="1158" customWidth="1"/>
    <col min="9228" max="9228" width="6.42578125" style="1158" customWidth="1"/>
    <col min="9229" max="9229" width="1.5703125" style="1158" customWidth="1"/>
    <col min="9230" max="9230" width="12.5703125" style="1158" customWidth="1"/>
    <col min="9231" max="9231" width="1.5703125" style="1158" customWidth="1"/>
    <col min="9232" max="9232" width="21" style="1158" customWidth="1"/>
    <col min="9233" max="9233" width="4.5703125" style="1158" customWidth="1"/>
    <col min="9234" max="9247" width="0" style="1158" hidden="1" customWidth="1"/>
    <col min="9248" max="9472" width="9.42578125" style="1158"/>
    <col min="9473" max="9473" width="0" style="1158" hidden="1" customWidth="1"/>
    <col min="9474" max="9474" width="10.42578125" style="1158" customWidth="1"/>
    <col min="9475" max="9475" width="1.42578125" style="1158" customWidth="1"/>
    <col min="9476" max="9476" width="6.5703125" style="1158" customWidth="1"/>
    <col min="9477" max="9477" width="1.5703125" style="1158" customWidth="1"/>
    <col min="9478" max="9478" width="12.5703125" style="1158" customWidth="1"/>
    <col min="9479" max="9479" width="1.5703125" style="1158" customWidth="1"/>
    <col min="9480" max="9480" width="19.5703125" style="1158" customWidth="1"/>
    <col min="9481" max="9481" width="2.5703125" style="1158" customWidth="1"/>
    <col min="9482" max="9482" width="10.5703125" style="1158" customWidth="1"/>
    <col min="9483" max="9483" width="0.5703125" style="1158" customWidth="1"/>
    <col min="9484" max="9484" width="6.42578125" style="1158" customWidth="1"/>
    <col min="9485" max="9485" width="1.5703125" style="1158" customWidth="1"/>
    <col min="9486" max="9486" width="12.5703125" style="1158" customWidth="1"/>
    <col min="9487" max="9487" width="1.5703125" style="1158" customWidth="1"/>
    <col min="9488" max="9488" width="21" style="1158" customWidth="1"/>
    <col min="9489" max="9489" width="4.5703125" style="1158" customWidth="1"/>
    <col min="9490" max="9503" width="0" style="1158" hidden="1" customWidth="1"/>
    <col min="9504" max="9728" width="9.42578125" style="1158"/>
    <col min="9729" max="9729" width="0" style="1158" hidden="1" customWidth="1"/>
    <col min="9730" max="9730" width="10.42578125" style="1158" customWidth="1"/>
    <col min="9731" max="9731" width="1.42578125" style="1158" customWidth="1"/>
    <col min="9732" max="9732" width="6.5703125" style="1158" customWidth="1"/>
    <col min="9733" max="9733" width="1.5703125" style="1158" customWidth="1"/>
    <col min="9734" max="9734" width="12.5703125" style="1158" customWidth="1"/>
    <col min="9735" max="9735" width="1.5703125" style="1158" customWidth="1"/>
    <col min="9736" max="9736" width="19.5703125" style="1158" customWidth="1"/>
    <col min="9737" max="9737" width="2.5703125" style="1158" customWidth="1"/>
    <col min="9738" max="9738" width="10.5703125" style="1158" customWidth="1"/>
    <col min="9739" max="9739" width="0.5703125" style="1158" customWidth="1"/>
    <col min="9740" max="9740" width="6.42578125" style="1158" customWidth="1"/>
    <col min="9741" max="9741" width="1.5703125" style="1158" customWidth="1"/>
    <col min="9742" max="9742" width="12.5703125" style="1158" customWidth="1"/>
    <col min="9743" max="9743" width="1.5703125" style="1158" customWidth="1"/>
    <col min="9744" max="9744" width="21" style="1158" customWidth="1"/>
    <col min="9745" max="9745" width="4.5703125" style="1158" customWidth="1"/>
    <col min="9746" max="9759" width="0" style="1158" hidden="1" customWidth="1"/>
    <col min="9760" max="9984" width="9.42578125" style="1158"/>
    <col min="9985" max="9985" width="0" style="1158" hidden="1" customWidth="1"/>
    <col min="9986" max="9986" width="10.42578125" style="1158" customWidth="1"/>
    <col min="9987" max="9987" width="1.42578125" style="1158" customWidth="1"/>
    <col min="9988" max="9988" width="6.5703125" style="1158" customWidth="1"/>
    <col min="9989" max="9989" width="1.5703125" style="1158" customWidth="1"/>
    <col min="9990" max="9990" width="12.5703125" style="1158" customWidth="1"/>
    <col min="9991" max="9991" width="1.5703125" style="1158" customWidth="1"/>
    <col min="9992" max="9992" width="19.5703125" style="1158" customWidth="1"/>
    <col min="9993" max="9993" width="2.5703125" style="1158" customWidth="1"/>
    <col min="9994" max="9994" width="10.5703125" style="1158" customWidth="1"/>
    <col min="9995" max="9995" width="0.5703125" style="1158" customWidth="1"/>
    <col min="9996" max="9996" width="6.42578125" style="1158" customWidth="1"/>
    <col min="9997" max="9997" width="1.5703125" style="1158" customWidth="1"/>
    <col min="9998" max="9998" width="12.5703125" style="1158" customWidth="1"/>
    <col min="9999" max="9999" width="1.5703125" style="1158" customWidth="1"/>
    <col min="10000" max="10000" width="21" style="1158" customWidth="1"/>
    <col min="10001" max="10001" width="4.5703125" style="1158" customWidth="1"/>
    <col min="10002" max="10015" width="0" style="1158" hidden="1" customWidth="1"/>
    <col min="10016" max="10240" width="9.42578125" style="1158"/>
    <col min="10241" max="10241" width="0" style="1158" hidden="1" customWidth="1"/>
    <col min="10242" max="10242" width="10.42578125" style="1158" customWidth="1"/>
    <col min="10243" max="10243" width="1.42578125" style="1158" customWidth="1"/>
    <col min="10244" max="10244" width="6.5703125" style="1158" customWidth="1"/>
    <col min="10245" max="10245" width="1.5703125" style="1158" customWidth="1"/>
    <col min="10246" max="10246" width="12.5703125" style="1158" customWidth="1"/>
    <col min="10247" max="10247" width="1.5703125" style="1158" customWidth="1"/>
    <col min="10248" max="10248" width="19.5703125" style="1158" customWidth="1"/>
    <col min="10249" max="10249" width="2.5703125" style="1158" customWidth="1"/>
    <col min="10250" max="10250" width="10.5703125" style="1158" customWidth="1"/>
    <col min="10251" max="10251" width="0.5703125" style="1158" customWidth="1"/>
    <col min="10252" max="10252" width="6.42578125" style="1158" customWidth="1"/>
    <col min="10253" max="10253" width="1.5703125" style="1158" customWidth="1"/>
    <col min="10254" max="10254" width="12.5703125" style="1158" customWidth="1"/>
    <col min="10255" max="10255" width="1.5703125" style="1158" customWidth="1"/>
    <col min="10256" max="10256" width="21" style="1158" customWidth="1"/>
    <col min="10257" max="10257" width="4.5703125" style="1158" customWidth="1"/>
    <col min="10258" max="10271" width="0" style="1158" hidden="1" customWidth="1"/>
    <col min="10272" max="10496" width="9.42578125" style="1158"/>
    <col min="10497" max="10497" width="0" style="1158" hidden="1" customWidth="1"/>
    <col min="10498" max="10498" width="10.42578125" style="1158" customWidth="1"/>
    <col min="10499" max="10499" width="1.42578125" style="1158" customWidth="1"/>
    <col min="10500" max="10500" width="6.5703125" style="1158" customWidth="1"/>
    <col min="10501" max="10501" width="1.5703125" style="1158" customWidth="1"/>
    <col min="10502" max="10502" width="12.5703125" style="1158" customWidth="1"/>
    <col min="10503" max="10503" width="1.5703125" style="1158" customWidth="1"/>
    <col min="10504" max="10504" width="19.5703125" style="1158" customWidth="1"/>
    <col min="10505" max="10505" width="2.5703125" style="1158" customWidth="1"/>
    <col min="10506" max="10506" width="10.5703125" style="1158" customWidth="1"/>
    <col min="10507" max="10507" width="0.5703125" style="1158" customWidth="1"/>
    <col min="10508" max="10508" width="6.42578125" style="1158" customWidth="1"/>
    <col min="10509" max="10509" width="1.5703125" style="1158" customWidth="1"/>
    <col min="10510" max="10510" width="12.5703125" style="1158" customWidth="1"/>
    <col min="10511" max="10511" width="1.5703125" style="1158" customWidth="1"/>
    <col min="10512" max="10512" width="21" style="1158" customWidth="1"/>
    <col min="10513" max="10513" width="4.5703125" style="1158" customWidth="1"/>
    <col min="10514" max="10527" width="0" style="1158" hidden="1" customWidth="1"/>
    <col min="10528" max="10752" width="9.42578125" style="1158"/>
    <col min="10753" max="10753" width="0" style="1158" hidden="1" customWidth="1"/>
    <col min="10754" max="10754" width="10.42578125" style="1158" customWidth="1"/>
    <col min="10755" max="10755" width="1.42578125" style="1158" customWidth="1"/>
    <col min="10756" max="10756" width="6.5703125" style="1158" customWidth="1"/>
    <col min="10757" max="10757" width="1.5703125" style="1158" customWidth="1"/>
    <col min="10758" max="10758" width="12.5703125" style="1158" customWidth="1"/>
    <col min="10759" max="10759" width="1.5703125" style="1158" customWidth="1"/>
    <col min="10760" max="10760" width="19.5703125" style="1158" customWidth="1"/>
    <col min="10761" max="10761" width="2.5703125" style="1158" customWidth="1"/>
    <col min="10762" max="10762" width="10.5703125" style="1158" customWidth="1"/>
    <col min="10763" max="10763" width="0.5703125" style="1158" customWidth="1"/>
    <col min="10764" max="10764" width="6.42578125" style="1158" customWidth="1"/>
    <col min="10765" max="10765" width="1.5703125" style="1158" customWidth="1"/>
    <col min="10766" max="10766" width="12.5703125" style="1158" customWidth="1"/>
    <col min="10767" max="10767" width="1.5703125" style="1158" customWidth="1"/>
    <col min="10768" max="10768" width="21" style="1158" customWidth="1"/>
    <col min="10769" max="10769" width="4.5703125" style="1158" customWidth="1"/>
    <col min="10770" max="10783" width="0" style="1158" hidden="1" customWidth="1"/>
    <col min="10784" max="11008" width="9.42578125" style="1158"/>
    <col min="11009" max="11009" width="0" style="1158" hidden="1" customWidth="1"/>
    <col min="11010" max="11010" width="10.42578125" style="1158" customWidth="1"/>
    <col min="11011" max="11011" width="1.42578125" style="1158" customWidth="1"/>
    <col min="11012" max="11012" width="6.5703125" style="1158" customWidth="1"/>
    <col min="11013" max="11013" width="1.5703125" style="1158" customWidth="1"/>
    <col min="11014" max="11014" width="12.5703125" style="1158" customWidth="1"/>
    <col min="11015" max="11015" width="1.5703125" style="1158" customWidth="1"/>
    <col min="11016" max="11016" width="19.5703125" style="1158" customWidth="1"/>
    <col min="11017" max="11017" width="2.5703125" style="1158" customWidth="1"/>
    <col min="11018" max="11018" width="10.5703125" style="1158" customWidth="1"/>
    <col min="11019" max="11019" width="0.5703125" style="1158" customWidth="1"/>
    <col min="11020" max="11020" width="6.42578125" style="1158" customWidth="1"/>
    <col min="11021" max="11021" width="1.5703125" style="1158" customWidth="1"/>
    <col min="11022" max="11022" width="12.5703125" style="1158" customWidth="1"/>
    <col min="11023" max="11023" width="1.5703125" style="1158" customWidth="1"/>
    <col min="11024" max="11024" width="21" style="1158" customWidth="1"/>
    <col min="11025" max="11025" width="4.5703125" style="1158" customWidth="1"/>
    <col min="11026" max="11039" width="0" style="1158" hidden="1" customWidth="1"/>
    <col min="11040" max="11264" width="9.42578125" style="1158"/>
    <col min="11265" max="11265" width="0" style="1158" hidden="1" customWidth="1"/>
    <col min="11266" max="11266" width="10.42578125" style="1158" customWidth="1"/>
    <col min="11267" max="11267" width="1.42578125" style="1158" customWidth="1"/>
    <col min="11268" max="11268" width="6.5703125" style="1158" customWidth="1"/>
    <col min="11269" max="11269" width="1.5703125" style="1158" customWidth="1"/>
    <col min="11270" max="11270" width="12.5703125" style="1158" customWidth="1"/>
    <col min="11271" max="11271" width="1.5703125" style="1158" customWidth="1"/>
    <col min="11272" max="11272" width="19.5703125" style="1158" customWidth="1"/>
    <col min="11273" max="11273" width="2.5703125" style="1158" customWidth="1"/>
    <col min="11274" max="11274" width="10.5703125" style="1158" customWidth="1"/>
    <col min="11275" max="11275" width="0.5703125" style="1158" customWidth="1"/>
    <col min="11276" max="11276" width="6.42578125" style="1158" customWidth="1"/>
    <col min="11277" max="11277" width="1.5703125" style="1158" customWidth="1"/>
    <col min="11278" max="11278" width="12.5703125" style="1158" customWidth="1"/>
    <col min="11279" max="11279" width="1.5703125" style="1158" customWidth="1"/>
    <col min="11280" max="11280" width="21" style="1158" customWidth="1"/>
    <col min="11281" max="11281" width="4.5703125" style="1158" customWidth="1"/>
    <col min="11282" max="11295" width="0" style="1158" hidden="1" customWidth="1"/>
    <col min="11296" max="11520" width="9.42578125" style="1158"/>
    <col min="11521" max="11521" width="0" style="1158" hidden="1" customWidth="1"/>
    <col min="11522" max="11522" width="10.42578125" style="1158" customWidth="1"/>
    <col min="11523" max="11523" width="1.42578125" style="1158" customWidth="1"/>
    <col min="11524" max="11524" width="6.5703125" style="1158" customWidth="1"/>
    <col min="11525" max="11525" width="1.5703125" style="1158" customWidth="1"/>
    <col min="11526" max="11526" width="12.5703125" style="1158" customWidth="1"/>
    <col min="11527" max="11527" width="1.5703125" style="1158" customWidth="1"/>
    <col min="11528" max="11528" width="19.5703125" style="1158" customWidth="1"/>
    <col min="11529" max="11529" width="2.5703125" style="1158" customWidth="1"/>
    <col min="11530" max="11530" width="10.5703125" style="1158" customWidth="1"/>
    <col min="11531" max="11531" width="0.5703125" style="1158" customWidth="1"/>
    <col min="11532" max="11532" width="6.42578125" style="1158" customWidth="1"/>
    <col min="11533" max="11533" width="1.5703125" style="1158" customWidth="1"/>
    <col min="11534" max="11534" width="12.5703125" style="1158" customWidth="1"/>
    <col min="11535" max="11535" width="1.5703125" style="1158" customWidth="1"/>
    <col min="11536" max="11536" width="21" style="1158" customWidth="1"/>
    <col min="11537" max="11537" width="4.5703125" style="1158" customWidth="1"/>
    <col min="11538" max="11551" width="0" style="1158" hidden="1" customWidth="1"/>
    <col min="11552" max="11776" width="9.42578125" style="1158"/>
    <col min="11777" max="11777" width="0" style="1158" hidden="1" customWidth="1"/>
    <col min="11778" max="11778" width="10.42578125" style="1158" customWidth="1"/>
    <col min="11779" max="11779" width="1.42578125" style="1158" customWidth="1"/>
    <col min="11780" max="11780" width="6.5703125" style="1158" customWidth="1"/>
    <col min="11781" max="11781" width="1.5703125" style="1158" customWidth="1"/>
    <col min="11782" max="11782" width="12.5703125" style="1158" customWidth="1"/>
    <col min="11783" max="11783" width="1.5703125" style="1158" customWidth="1"/>
    <col min="11784" max="11784" width="19.5703125" style="1158" customWidth="1"/>
    <col min="11785" max="11785" width="2.5703125" style="1158" customWidth="1"/>
    <col min="11786" max="11786" width="10.5703125" style="1158" customWidth="1"/>
    <col min="11787" max="11787" width="0.5703125" style="1158" customWidth="1"/>
    <col min="11788" max="11788" width="6.42578125" style="1158" customWidth="1"/>
    <col min="11789" max="11789" width="1.5703125" style="1158" customWidth="1"/>
    <col min="11790" max="11790" width="12.5703125" style="1158" customWidth="1"/>
    <col min="11791" max="11791" width="1.5703125" style="1158" customWidth="1"/>
    <col min="11792" max="11792" width="21" style="1158" customWidth="1"/>
    <col min="11793" max="11793" width="4.5703125" style="1158" customWidth="1"/>
    <col min="11794" max="11807" width="0" style="1158" hidden="1" customWidth="1"/>
    <col min="11808" max="12032" width="9.42578125" style="1158"/>
    <col min="12033" max="12033" width="0" style="1158" hidden="1" customWidth="1"/>
    <col min="12034" max="12034" width="10.42578125" style="1158" customWidth="1"/>
    <col min="12035" max="12035" width="1.42578125" style="1158" customWidth="1"/>
    <col min="12036" max="12036" width="6.5703125" style="1158" customWidth="1"/>
    <col min="12037" max="12037" width="1.5703125" style="1158" customWidth="1"/>
    <col min="12038" max="12038" width="12.5703125" style="1158" customWidth="1"/>
    <col min="12039" max="12039" width="1.5703125" style="1158" customWidth="1"/>
    <col min="12040" max="12040" width="19.5703125" style="1158" customWidth="1"/>
    <col min="12041" max="12041" width="2.5703125" style="1158" customWidth="1"/>
    <col min="12042" max="12042" width="10.5703125" style="1158" customWidth="1"/>
    <col min="12043" max="12043" width="0.5703125" style="1158" customWidth="1"/>
    <col min="12044" max="12044" width="6.42578125" style="1158" customWidth="1"/>
    <col min="12045" max="12045" width="1.5703125" style="1158" customWidth="1"/>
    <col min="12046" max="12046" width="12.5703125" style="1158" customWidth="1"/>
    <col min="12047" max="12047" width="1.5703125" style="1158" customWidth="1"/>
    <col min="12048" max="12048" width="21" style="1158" customWidth="1"/>
    <col min="12049" max="12049" width="4.5703125" style="1158" customWidth="1"/>
    <col min="12050" max="12063" width="0" style="1158" hidden="1" customWidth="1"/>
    <col min="12064" max="12288" width="9.42578125" style="1158"/>
    <col min="12289" max="12289" width="0" style="1158" hidden="1" customWidth="1"/>
    <col min="12290" max="12290" width="10.42578125" style="1158" customWidth="1"/>
    <col min="12291" max="12291" width="1.42578125" style="1158" customWidth="1"/>
    <col min="12292" max="12292" width="6.5703125" style="1158" customWidth="1"/>
    <col min="12293" max="12293" width="1.5703125" style="1158" customWidth="1"/>
    <col min="12294" max="12294" width="12.5703125" style="1158" customWidth="1"/>
    <col min="12295" max="12295" width="1.5703125" style="1158" customWidth="1"/>
    <col min="12296" max="12296" width="19.5703125" style="1158" customWidth="1"/>
    <col min="12297" max="12297" width="2.5703125" style="1158" customWidth="1"/>
    <col min="12298" max="12298" width="10.5703125" style="1158" customWidth="1"/>
    <col min="12299" max="12299" width="0.5703125" style="1158" customWidth="1"/>
    <col min="12300" max="12300" width="6.42578125" style="1158" customWidth="1"/>
    <col min="12301" max="12301" width="1.5703125" style="1158" customWidth="1"/>
    <col min="12302" max="12302" width="12.5703125" style="1158" customWidth="1"/>
    <col min="12303" max="12303" width="1.5703125" style="1158" customWidth="1"/>
    <col min="12304" max="12304" width="21" style="1158" customWidth="1"/>
    <col min="12305" max="12305" width="4.5703125" style="1158" customWidth="1"/>
    <col min="12306" max="12319" width="0" style="1158" hidden="1" customWidth="1"/>
    <col min="12320" max="12544" width="9.42578125" style="1158"/>
    <col min="12545" max="12545" width="0" style="1158" hidden="1" customWidth="1"/>
    <col min="12546" max="12546" width="10.42578125" style="1158" customWidth="1"/>
    <col min="12547" max="12547" width="1.42578125" style="1158" customWidth="1"/>
    <col min="12548" max="12548" width="6.5703125" style="1158" customWidth="1"/>
    <col min="12549" max="12549" width="1.5703125" style="1158" customWidth="1"/>
    <col min="12550" max="12550" width="12.5703125" style="1158" customWidth="1"/>
    <col min="12551" max="12551" width="1.5703125" style="1158" customWidth="1"/>
    <col min="12552" max="12552" width="19.5703125" style="1158" customWidth="1"/>
    <col min="12553" max="12553" width="2.5703125" style="1158" customWidth="1"/>
    <col min="12554" max="12554" width="10.5703125" style="1158" customWidth="1"/>
    <col min="12555" max="12555" width="0.5703125" style="1158" customWidth="1"/>
    <col min="12556" max="12556" width="6.42578125" style="1158" customWidth="1"/>
    <col min="12557" max="12557" width="1.5703125" style="1158" customWidth="1"/>
    <col min="12558" max="12558" width="12.5703125" style="1158" customWidth="1"/>
    <col min="12559" max="12559" width="1.5703125" style="1158" customWidth="1"/>
    <col min="12560" max="12560" width="21" style="1158" customWidth="1"/>
    <col min="12561" max="12561" width="4.5703125" style="1158" customWidth="1"/>
    <col min="12562" max="12575" width="0" style="1158" hidden="1" customWidth="1"/>
    <col min="12576" max="12800" width="9.42578125" style="1158"/>
    <col min="12801" max="12801" width="0" style="1158" hidden="1" customWidth="1"/>
    <col min="12802" max="12802" width="10.42578125" style="1158" customWidth="1"/>
    <col min="12803" max="12803" width="1.42578125" style="1158" customWidth="1"/>
    <col min="12804" max="12804" width="6.5703125" style="1158" customWidth="1"/>
    <col min="12805" max="12805" width="1.5703125" style="1158" customWidth="1"/>
    <col min="12806" max="12806" width="12.5703125" style="1158" customWidth="1"/>
    <col min="12807" max="12807" width="1.5703125" style="1158" customWidth="1"/>
    <col min="12808" max="12808" width="19.5703125" style="1158" customWidth="1"/>
    <col min="12809" max="12809" width="2.5703125" style="1158" customWidth="1"/>
    <col min="12810" max="12810" width="10.5703125" style="1158" customWidth="1"/>
    <col min="12811" max="12811" width="0.5703125" style="1158" customWidth="1"/>
    <col min="12812" max="12812" width="6.42578125" style="1158" customWidth="1"/>
    <col min="12813" max="12813" width="1.5703125" style="1158" customWidth="1"/>
    <col min="12814" max="12814" width="12.5703125" style="1158" customWidth="1"/>
    <col min="12815" max="12815" width="1.5703125" style="1158" customWidth="1"/>
    <col min="12816" max="12816" width="21" style="1158" customWidth="1"/>
    <col min="12817" max="12817" width="4.5703125" style="1158" customWidth="1"/>
    <col min="12818" max="12831" width="0" style="1158" hidden="1" customWidth="1"/>
    <col min="12832" max="13056" width="9.42578125" style="1158"/>
    <col min="13057" max="13057" width="0" style="1158" hidden="1" customWidth="1"/>
    <col min="13058" max="13058" width="10.42578125" style="1158" customWidth="1"/>
    <col min="13059" max="13059" width="1.42578125" style="1158" customWidth="1"/>
    <col min="13060" max="13060" width="6.5703125" style="1158" customWidth="1"/>
    <col min="13061" max="13061" width="1.5703125" style="1158" customWidth="1"/>
    <col min="13062" max="13062" width="12.5703125" style="1158" customWidth="1"/>
    <col min="13063" max="13063" width="1.5703125" style="1158" customWidth="1"/>
    <col min="13064" max="13064" width="19.5703125" style="1158" customWidth="1"/>
    <col min="13065" max="13065" width="2.5703125" style="1158" customWidth="1"/>
    <col min="13066" max="13066" width="10.5703125" style="1158" customWidth="1"/>
    <col min="13067" max="13067" width="0.5703125" style="1158" customWidth="1"/>
    <col min="13068" max="13068" width="6.42578125" style="1158" customWidth="1"/>
    <col min="13069" max="13069" width="1.5703125" style="1158" customWidth="1"/>
    <col min="13070" max="13070" width="12.5703125" style="1158" customWidth="1"/>
    <col min="13071" max="13071" width="1.5703125" style="1158" customWidth="1"/>
    <col min="13072" max="13072" width="21" style="1158" customWidth="1"/>
    <col min="13073" max="13073" width="4.5703125" style="1158" customWidth="1"/>
    <col min="13074" max="13087" width="0" style="1158" hidden="1" customWidth="1"/>
    <col min="13088" max="13312" width="9.42578125" style="1158"/>
    <col min="13313" max="13313" width="0" style="1158" hidden="1" customWidth="1"/>
    <col min="13314" max="13314" width="10.42578125" style="1158" customWidth="1"/>
    <col min="13315" max="13315" width="1.42578125" style="1158" customWidth="1"/>
    <col min="13316" max="13316" width="6.5703125" style="1158" customWidth="1"/>
    <col min="13317" max="13317" width="1.5703125" style="1158" customWidth="1"/>
    <col min="13318" max="13318" width="12.5703125" style="1158" customWidth="1"/>
    <col min="13319" max="13319" width="1.5703125" style="1158" customWidth="1"/>
    <col min="13320" max="13320" width="19.5703125" style="1158" customWidth="1"/>
    <col min="13321" max="13321" width="2.5703125" style="1158" customWidth="1"/>
    <col min="13322" max="13322" width="10.5703125" style="1158" customWidth="1"/>
    <col min="13323" max="13323" width="0.5703125" style="1158" customWidth="1"/>
    <col min="13324" max="13324" width="6.42578125" style="1158" customWidth="1"/>
    <col min="13325" max="13325" width="1.5703125" style="1158" customWidth="1"/>
    <col min="13326" max="13326" width="12.5703125" style="1158" customWidth="1"/>
    <col min="13327" max="13327" width="1.5703125" style="1158" customWidth="1"/>
    <col min="13328" max="13328" width="21" style="1158" customWidth="1"/>
    <col min="13329" max="13329" width="4.5703125" style="1158" customWidth="1"/>
    <col min="13330" max="13343" width="0" style="1158" hidden="1" customWidth="1"/>
    <col min="13344" max="13568" width="9.42578125" style="1158"/>
    <col min="13569" max="13569" width="0" style="1158" hidden="1" customWidth="1"/>
    <col min="13570" max="13570" width="10.42578125" style="1158" customWidth="1"/>
    <col min="13571" max="13571" width="1.42578125" style="1158" customWidth="1"/>
    <col min="13572" max="13572" width="6.5703125" style="1158" customWidth="1"/>
    <col min="13573" max="13573" width="1.5703125" style="1158" customWidth="1"/>
    <col min="13574" max="13574" width="12.5703125" style="1158" customWidth="1"/>
    <col min="13575" max="13575" width="1.5703125" style="1158" customWidth="1"/>
    <col min="13576" max="13576" width="19.5703125" style="1158" customWidth="1"/>
    <col min="13577" max="13577" width="2.5703125" style="1158" customWidth="1"/>
    <col min="13578" max="13578" width="10.5703125" style="1158" customWidth="1"/>
    <col min="13579" max="13579" width="0.5703125" style="1158" customWidth="1"/>
    <col min="13580" max="13580" width="6.42578125" style="1158" customWidth="1"/>
    <col min="13581" max="13581" width="1.5703125" style="1158" customWidth="1"/>
    <col min="13582" max="13582" width="12.5703125" style="1158" customWidth="1"/>
    <col min="13583" max="13583" width="1.5703125" style="1158" customWidth="1"/>
    <col min="13584" max="13584" width="21" style="1158" customWidth="1"/>
    <col min="13585" max="13585" width="4.5703125" style="1158" customWidth="1"/>
    <col min="13586" max="13599" width="0" style="1158" hidden="1" customWidth="1"/>
    <col min="13600" max="13824" width="9.42578125" style="1158"/>
    <col min="13825" max="13825" width="0" style="1158" hidden="1" customWidth="1"/>
    <col min="13826" max="13826" width="10.42578125" style="1158" customWidth="1"/>
    <col min="13827" max="13827" width="1.42578125" style="1158" customWidth="1"/>
    <col min="13828" max="13828" width="6.5703125" style="1158" customWidth="1"/>
    <col min="13829" max="13829" width="1.5703125" style="1158" customWidth="1"/>
    <col min="13830" max="13830" width="12.5703125" style="1158" customWidth="1"/>
    <col min="13831" max="13831" width="1.5703125" style="1158" customWidth="1"/>
    <col min="13832" max="13832" width="19.5703125" style="1158" customWidth="1"/>
    <col min="13833" max="13833" width="2.5703125" style="1158" customWidth="1"/>
    <col min="13834" max="13834" width="10.5703125" style="1158" customWidth="1"/>
    <col min="13835" max="13835" width="0.5703125" style="1158" customWidth="1"/>
    <col min="13836" max="13836" width="6.42578125" style="1158" customWidth="1"/>
    <col min="13837" max="13837" width="1.5703125" style="1158" customWidth="1"/>
    <col min="13838" max="13838" width="12.5703125" style="1158" customWidth="1"/>
    <col min="13839" max="13839" width="1.5703125" style="1158" customWidth="1"/>
    <col min="13840" max="13840" width="21" style="1158" customWidth="1"/>
    <col min="13841" max="13841" width="4.5703125" style="1158" customWidth="1"/>
    <col min="13842" max="13855" width="0" style="1158" hidden="1" customWidth="1"/>
    <col min="13856" max="14080" width="9.42578125" style="1158"/>
    <col min="14081" max="14081" width="0" style="1158" hidden="1" customWidth="1"/>
    <col min="14082" max="14082" width="10.42578125" style="1158" customWidth="1"/>
    <col min="14083" max="14083" width="1.42578125" style="1158" customWidth="1"/>
    <col min="14084" max="14084" width="6.5703125" style="1158" customWidth="1"/>
    <col min="14085" max="14085" width="1.5703125" style="1158" customWidth="1"/>
    <col min="14086" max="14086" width="12.5703125" style="1158" customWidth="1"/>
    <col min="14087" max="14087" width="1.5703125" style="1158" customWidth="1"/>
    <col min="14088" max="14088" width="19.5703125" style="1158" customWidth="1"/>
    <col min="14089" max="14089" width="2.5703125" style="1158" customWidth="1"/>
    <col min="14090" max="14090" width="10.5703125" style="1158" customWidth="1"/>
    <col min="14091" max="14091" width="0.5703125" style="1158" customWidth="1"/>
    <col min="14092" max="14092" width="6.42578125" style="1158" customWidth="1"/>
    <col min="14093" max="14093" width="1.5703125" style="1158" customWidth="1"/>
    <col min="14094" max="14094" width="12.5703125" style="1158" customWidth="1"/>
    <col min="14095" max="14095" width="1.5703125" style="1158" customWidth="1"/>
    <col min="14096" max="14096" width="21" style="1158" customWidth="1"/>
    <col min="14097" max="14097" width="4.5703125" style="1158" customWidth="1"/>
    <col min="14098" max="14111" width="0" style="1158" hidden="1" customWidth="1"/>
    <col min="14112" max="14336" width="9.42578125" style="1158"/>
    <col min="14337" max="14337" width="0" style="1158" hidden="1" customWidth="1"/>
    <col min="14338" max="14338" width="10.42578125" style="1158" customWidth="1"/>
    <col min="14339" max="14339" width="1.42578125" style="1158" customWidth="1"/>
    <col min="14340" max="14340" width="6.5703125" style="1158" customWidth="1"/>
    <col min="14341" max="14341" width="1.5703125" style="1158" customWidth="1"/>
    <col min="14342" max="14342" width="12.5703125" style="1158" customWidth="1"/>
    <col min="14343" max="14343" width="1.5703125" style="1158" customWidth="1"/>
    <col min="14344" max="14344" width="19.5703125" style="1158" customWidth="1"/>
    <col min="14345" max="14345" width="2.5703125" style="1158" customWidth="1"/>
    <col min="14346" max="14346" width="10.5703125" style="1158" customWidth="1"/>
    <col min="14347" max="14347" width="0.5703125" style="1158" customWidth="1"/>
    <col min="14348" max="14348" width="6.42578125" style="1158" customWidth="1"/>
    <col min="14349" max="14349" width="1.5703125" style="1158" customWidth="1"/>
    <col min="14350" max="14350" width="12.5703125" style="1158" customWidth="1"/>
    <col min="14351" max="14351" width="1.5703125" style="1158" customWidth="1"/>
    <col min="14352" max="14352" width="21" style="1158" customWidth="1"/>
    <col min="14353" max="14353" width="4.5703125" style="1158" customWidth="1"/>
    <col min="14354" max="14367" width="0" style="1158" hidden="1" customWidth="1"/>
    <col min="14368" max="14592" width="9.42578125" style="1158"/>
    <col min="14593" max="14593" width="0" style="1158" hidden="1" customWidth="1"/>
    <col min="14594" max="14594" width="10.42578125" style="1158" customWidth="1"/>
    <col min="14595" max="14595" width="1.42578125" style="1158" customWidth="1"/>
    <col min="14596" max="14596" width="6.5703125" style="1158" customWidth="1"/>
    <col min="14597" max="14597" width="1.5703125" style="1158" customWidth="1"/>
    <col min="14598" max="14598" width="12.5703125" style="1158" customWidth="1"/>
    <col min="14599" max="14599" width="1.5703125" style="1158" customWidth="1"/>
    <col min="14600" max="14600" width="19.5703125" style="1158" customWidth="1"/>
    <col min="14601" max="14601" width="2.5703125" style="1158" customWidth="1"/>
    <col min="14602" max="14602" width="10.5703125" style="1158" customWidth="1"/>
    <col min="14603" max="14603" width="0.5703125" style="1158" customWidth="1"/>
    <col min="14604" max="14604" width="6.42578125" style="1158" customWidth="1"/>
    <col min="14605" max="14605" width="1.5703125" style="1158" customWidth="1"/>
    <col min="14606" max="14606" width="12.5703125" style="1158" customWidth="1"/>
    <col min="14607" max="14607" width="1.5703125" style="1158" customWidth="1"/>
    <col min="14608" max="14608" width="21" style="1158" customWidth="1"/>
    <col min="14609" max="14609" width="4.5703125" style="1158" customWidth="1"/>
    <col min="14610" max="14623" width="0" style="1158" hidden="1" customWidth="1"/>
    <col min="14624" max="14848" width="9.42578125" style="1158"/>
    <col min="14849" max="14849" width="0" style="1158" hidden="1" customWidth="1"/>
    <col min="14850" max="14850" width="10.42578125" style="1158" customWidth="1"/>
    <col min="14851" max="14851" width="1.42578125" style="1158" customWidth="1"/>
    <col min="14852" max="14852" width="6.5703125" style="1158" customWidth="1"/>
    <col min="14853" max="14853" width="1.5703125" style="1158" customWidth="1"/>
    <col min="14854" max="14854" width="12.5703125" style="1158" customWidth="1"/>
    <col min="14855" max="14855" width="1.5703125" style="1158" customWidth="1"/>
    <col min="14856" max="14856" width="19.5703125" style="1158" customWidth="1"/>
    <col min="14857" max="14857" width="2.5703125" style="1158" customWidth="1"/>
    <col min="14858" max="14858" width="10.5703125" style="1158" customWidth="1"/>
    <col min="14859" max="14859" width="0.5703125" style="1158" customWidth="1"/>
    <col min="14860" max="14860" width="6.42578125" style="1158" customWidth="1"/>
    <col min="14861" max="14861" width="1.5703125" style="1158" customWidth="1"/>
    <col min="14862" max="14862" width="12.5703125" style="1158" customWidth="1"/>
    <col min="14863" max="14863" width="1.5703125" style="1158" customWidth="1"/>
    <col min="14864" max="14864" width="21" style="1158" customWidth="1"/>
    <col min="14865" max="14865" width="4.5703125" style="1158" customWidth="1"/>
    <col min="14866" max="14879" width="0" style="1158" hidden="1" customWidth="1"/>
    <col min="14880" max="15104" width="9.42578125" style="1158"/>
    <col min="15105" max="15105" width="0" style="1158" hidden="1" customWidth="1"/>
    <col min="15106" max="15106" width="10.42578125" style="1158" customWidth="1"/>
    <col min="15107" max="15107" width="1.42578125" style="1158" customWidth="1"/>
    <col min="15108" max="15108" width="6.5703125" style="1158" customWidth="1"/>
    <col min="15109" max="15109" width="1.5703125" style="1158" customWidth="1"/>
    <col min="15110" max="15110" width="12.5703125" style="1158" customWidth="1"/>
    <col min="15111" max="15111" width="1.5703125" style="1158" customWidth="1"/>
    <col min="15112" max="15112" width="19.5703125" style="1158" customWidth="1"/>
    <col min="15113" max="15113" width="2.5703125" style="1158" customWidth="1"/>
    <col min="15114" max="15114" width="10.5703125" style="1158" customWidth="1"/>
    <col min="15115" max="15115" width="0.5703125" style="1158" customWidth="1"/>
    <col min="15116" max="15116" width="6.42578125" style="1158" customWidth="1"/>
    <col min="15117" max="15117" width="1.5703125" style="1158" customWidth="1"/>
    <col min="15118" max="15118" width="12.5703125" style="1158" customWidth="1"/>
    <col min="15119" max="15119" width="1.5703125" style="1158" customWidth="1"/>
    <col min="15120" max="15120" width="21" style="1158" customWidth="1"/>
    <col min="15121" max="15121" width="4.5703125" style="1158" customWidth="1"/>
    <col min="15122" max="15135" width="0" style="1158" hidden="1" customWidth="1"/>
    <col min="15136" max="15360" width="9.42578125" style="1158"/>
    <col min="15361" max="15361" width="0" style="1158" hidden="1" customWidth="1"/>
    <col min="15362" max="15362" width="10.42578125" style="1158" customWidth="1"/>
    <col min="15363" max="15363" width="1.42578125" style="1158" customWidth="1"/>
    <col min="15364" max="15364" width="6.5703125" style="1158" customWidth="1"/>
    <col min="15365" max="15365" width="1.5703125" style="1158" customWidth="1"/>
    <col min="15366" max="15366" width="12.5703125" style="1158" customWidth="1"/>
    <col min="15367" max="15367" width="1.5703125" style="1158" customWidth="1"/>
    <col min="15368" max="15368" width="19.5703125" style="1158" customWidth="1"/>
    <col min="15369" max="15369" width="2.5703125" style="1158" customWidth="1"/>
    <col min="15370" max="15370" width="10.5703125" style="1158" customWidth="1"/>
    <col min="15371" max="15371" width="0.5703125" style="1158" customWidth="1"/>
    <col min="15372" max="15372" width="6.42578125" style="1158" customWidth="1"/>
    <col min="15373" max="15373" width="1.5703125" style="1158" customWidth="1"/>
    <col min="15374" max="15374" width="12.5703125" style="1158" customWidth="1"/>
    <col min="15375" max="15375" width="1.5703125" style="1158" customWidth="1"/>
    <col min="15376" max="15376" width="21" style="1158" customWidth="1"/>
    <col min="15377" max="15377" width="4.5703125" style="1158" customWidth="1"/>
    <col min="15378" max="15391" width="0" style="1158" hidden="1" customWidth="1"/>
    <col min="15392" max="15616" width="9.42578125" style="1158"/>
    <col min="15617" max="15617" width="0" style="1158" hidden="1" customWidth="1"/>
    <col min="15618" max="15618" width="10.42578125" style="1158" customWidth="1"/>
    <col min="15619" max="15619" width="1.42578125" style="1158" customWidth="1"/>
    <col min="15620" max="15620" width="6.5703125" style="1158" customWidth="1"/>
    <col min="15621" max="15621" width="1.5703125" style="1158" customWidth="1"/>
    <col min="15622" max="15622" width="12.5703125" style="1158" customWidth="1"/>
    <col min="15623" max="15623" width="1.5703125" style="1158" customWidth="1"/>
    <col min="15624" max="15624" width="19.5703125" style="1158" customWidth="1"/>
    <col min="15625" max="15625" width="2.5703125" style="1158" customWidth="1"/>
    <col min="15626" max="15626" width="10.5703125" style="1158" customWidth="1"/>
    <col min="15627" max="15627" width="0.5703125" style="1158" customWidth="1"/>
    <col min="15628" max="15628" width="6.42578125" style="1158" customWidth="1"/>
    <col min="15629" max="15629" width="1.5703125" style="1158" customWidth="1"/>
    <col min="15630" max="15630" width="12.5703125" style="1158" customWidth="1"/>
    <col min="15631" max="15631" width="1.5703125" style="1158" customWidth="1"/>
    <col min="15632" max="15632" width="21" style="1158" customWidth="1"/>
    <col min="15633" max="15633" width="4.5703125" style="1158" customWidth="1"/>
    <col min="15634" max="15647" width="0" style="1158" hidden="1" customWidth="1"/>
    <col min="15648" max="15872" width="9.42578125" style="1158"/>
    <col min="15873" max="15873" width="0" style="1158" hidden="1" customWidth="1"/>
    <col min="15874" max="15874" width="10.42578125" style="1158" customWidth="1"/>
    <col min="15875" max="15875" width="1.42578125" style="1158" customWidth="1"/>
    <col min="15876" max="15876" width="6.5703125" style="1158" customWidth="1"/>
    <col min="15877" max="15877" width="1.5703125" style="1158" customWidth="1"/>
    <col min="15878" max="15878" width="12.5703125" style="1158" customWidth="1"/>
    <col min="15879" max="15879" width="1.5703125" style="1158" customWidth="1"/>
    <col min="15880" max="15880" width="19.5703125" style="1158" customWidth="1"/>
    <col min="15881" max="15881" width="2.5703125" style="1158" customWidth="1"/>
    <col min="15882" max="15882" width="10.5703125" style="1158" customWidth="1"/>
    <col min="15883" max="15883" width="0.5703125" style="1158" customWidth="1"/>
    <col min="15884" max="15884" width="6.42578125" style="1158" customWidth="1"/>
    <col min="15885" max="15885" width="1.5703125" style="1158" customWidth="1"/>
    <col min="15886" max="15886" width="12.5703125" style="1158" customWidth="1"/>
    <col min="15887" max="15887" width="1.5703125" style="1158" customWidth="1"/>
    <col min="15888" max="15888" width="21" style="1158" customWidth="1"/>
    <col min="15889" max="15889" width="4.5703125" style="1158" customWidth="1"/>
    <col min="15890" max="15903" width="0" style="1158" hidden="1" customWidth="1"/>
    <col min="15904" max="16128" width="9.42578125" style="1158"/>
    <col min="16129" max="16129" width="0" style="1158" hidden="1" customWidth="1"/>
    <col min="16130" max="16130" width="10.42578125" style="1158" customWidth="1"/>
    <col min="16131" max="16131" width="1.42578125" style="1158" customWidth="1"/>
    <col min="16132" max="16132" width="6.5703125" style="1158" customWidth="1"/>
    <col min="16133" max="16133" width="1.5703125" style="1158" customWidth="1"/>
    <col min="16134" max="16134" width="12.5703125" style="1158" customWidth="1"/>
    <col min="16135" max="16135" width="1.5703125" style="1158" customWidth="1"/>
    <col min="16136" max="16136" width="19.5703125" style="1158" customWidth="1"/>
    <col min="16137" max="16137" width="2.5703125" style="1158" customWidth="1"/>
    <col min="16138" max="16138" width="10.5703125" style="1158" customWidth="1"/>
    <col min="16139" max="16139" width="0.5703125" style="1158" customWidth="1"/>
    <col min="16140" max="16140" width="6.42578125" style="1158" customWidth="1"/>
    <col min="16141" max="16141" width="1.5703125" style="1158" customWidth="1"/>
    <col min="16142" max="16142" width="12.5703125" style="1158" customWidth="1"/>
    <col min="16143" max="16143" width="1.5703125" style="1158" customWidth="1"/>
    <col min="16144" max="16144" width="21" style="1158" customWidth="1"/>
    <col min="16145" max="16145" width="4.5703125" style="1158" customWidth="1"/>
    <col min="16146" max="16159" width="0" style="1158" hidden="1" customWidth="1"/>
    <col min="16160" max="16384" width="9.42578125" style="1158"/>
  </cols>
  <sheetData>
    <row r="1" spans="2:32" ht="25.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520" t="s">
        <v>535</v>
      </c>
      <c r="AF1" s="2241" t="str">
        <f>IF(Index!$B$74="na","NA","")</f>
        <v/>
      </c>
    </row>
    <row r="2" spans="2:32" ht="15" customHeight="1" x14ac:dyDescent="0.25">
      <c r="B2" s="2754" t="str">
        <f>Index!A2</f>
        <v>2023 ACFR Worksheets</v>
      </c>
      <c r="C2" s="2754"/>
      <c r="D2" s="2754"/>
      <c r="E2" s="2754"/>
      <c r="F2" s="2754"/>
      <c r="G2" s="2754"/>
      <c r="H2" s="2754"/>
      <c r="I2" s="2754"/>
      <c r="J2" s="2754"/>
      <c r="K2" s="2754"/>
      <c r="L2" s="2754"/>
      <c r="M2" s="2754"/>
      <c r="N2" s="2754"/>
      <c r="O2" s="2754"/>
      <c r="P2" s="2754"/>
      <c r="Q2" s="2520"/>
      <c r="AF2" s="2241"/>
    </row>
    <row r="3" spans="2:32" ht="15" customHeight="1" x14ac:dyDescent="0.25">
      <c r="B3" s="2755" t="s">
        <v>1887</v>
      </c>
      <c r="C3" s="2755"/>
      <c r="D3" s="2755"/>
      <c r="E3" s="2755"/>
      <c r="F3" s="2755"/>
      <c r="G3" s="2755"/>
      <c r="H3" s="2755"/>
      <c r="I3" s="2755"/>
      <c r="J3" s="2755"/>
      <c r="K3" s="2755"/>
      <c r="L3" s="2755"/>
      <c r="M3" s="2755"/>
      <c r="N3" s="2755"/>
      <c r="O3" s="2755"/>
      <c r="P3" s="2755"/>
      <c r="Q3" s="2520"/>
      <c r="AF3" s="2241"/>
    </row>
    <row r="4" spans="2:32" ht="15" customHeight="1" x14ac:dyDescent="0.25">
      <c r="B4" s="2755" t="s">
        <v>1888</v>
      </c>
      <c r="C4" s="2755"/>
      <c r="D4" s="2755"/>
      <c r="E4" s="2755"/>
      <c r="F4" s="2755"/>
      <c r="G4" s="2755"/>
      <c r="H4" s="2755"/>
      <c r="I4" s="2755"/>
      <c r="J4" s="2755"/>
      <c r="K4" s="2755"/>
      <c r="L4" s="2755"/>
      <c r="M4" s="2755"/>
      <c r="N4" s="2755"/>
      <c r="O4" s="2755"/>
      <c r="P4" s="2755"/>
      <c r="Q4" s="2241"/>
    </row>
    <row r="5" spans="2:32" s="1153" customFormat="1" ht="15" customHeight="1" x14ac:dyDescent="0.25">
      <c r="B5" s="1196"/>
      <c r="C5" s="1196"/>
      <c r="D5" s="1196"/>
      <c r="E5" s="1197"/>
      <c r="F5" s="1197"/>
      <c r="G5" s="1197"/>
      <c r="H5" s="1197"/>
      <c r="I5" s="1163"/>
      <c r="J5" s="1197"/>
      <c r="K5" s="1197"/>
      <c r="L5" s="1197"/>
      <c r="M5" s="1197"/>
      <c r="N5" s="1197"/>
      <c r="O5" s="1197"/>
      <c r="P5" s="143" t="s">
        <v>1592</v>
      </c>
      <c r="Q5" s="1163"/>
    </row>
    <row r="6" spans="2:32" s="1153" customFormat="1" ht="15" customHeight="1" x14ac:dyDescent="0.2">
      <c r="B6" s="2320" t="s">
        <v>317</v>
      </c>
      <c r="C6" s="1163"/>
      <c r="D6" s="2759" t="str">
        <f>Index!E10</f>
        <v>01</v>
      </c>
      <c r="E6" s="2759"/>
      <c r="F6" s="2759"/>
      <c r="G6" s="2759"/>
      <c r="H6" s="2759"/>
      <c r="I6" s="1163"/>
      <c r="J6" s="2764" t="s">
        <v>319</v>
      </c>
      <c r="K6" s="2764"/>
      <c r="L6" s="2764"/>
      <c r="M6" s="2756" t="str">
        <f>CONCATENATE(Index!$E$12," ",Index!$E$14)</f>
        <v xml:space="preserve"> </v>
      </c>
      <c r="N6" s="2756"/>
      <c r="O6" s="2756"/>
      <c r="P6" s="2756"/>
      <c r="Q6" s="1163"/>
    </row>
    <row r="7" spans="2:32" s="1153" customFormat="1" ht="15" customHeight="1" x14ac:dyDescent="0.2">
      <c r="B7" s="2320" t="s">
        <v>318</v>
      </c>
      <c r="C7" s="1163"/>
      <c r="D7" s="2765" t="str">
        <f>Index!E11</f>
        <v>North Carolina General Assembly</v>
      </c>
      <c r="E7" s="2765"/>
      <c r="F7" s="2765"/>
      <c r="G7" s="2765"/>
      <c r="H7" s="2765"/>
      <c r="I7" s="1163"/>
      <c r="J7" s="2764" t="s">
        <v>71</v>
      </c>
      <c r="K7" s="2764"/>
      <c r="L7" s="2764"/>
      <c r="M7" s="2766">
        <f>Index!E13</f>
        <v>0</v>
      </c>
      <c r="N7" s="2766"/>
      <c r="O7" s="2766"/>
      <c r="P7" s="2766"/>
      <c r="Q7" s="1163"/>
    </row>
    <row r="8" spans="2:32" s="1153" customFormat="1" ht="15" customHeight="1" thickBot="1" x14ac:dyDescent="0.25">
      <c r="B8" s="1168"/>
      <c r="C8" s="1168"/>
      <c r="D8" s="1168"/>
      <c r="E8" s="1168"/>
      <c r="F8" s="1168"/>
      <c r="G8" s="1168"/>
      <c r="H8" s="1168"/>
      <c r="I8" s="1169"/>
      <c r="J8" s="1168"/>
      <c r="K8" s="1168"/>
      <c r="L8" s="1168"/>
      <c r="M8" s="1168"/>
      <c r="N8" s="1168"/>
      <c r="O8" s="1168"/>
      <c r="P8" s="1168"/>
      <c r="Q8" s="1163"/>
    </row>
    <row r="9" spans="2:32" s="1153" customFormat="1" ht="15" customHeight="1" x14ac:dyDescent="0.2">
      <c r="B9" s="1163"/>
      <c r="C9" s="1163"/>
      <c r="D9" s="1163"/>
      <c r="E9" s="1163"/>
      <c r="F9" s="1163"/>
      <c r="G9" s="1163"/>
      <c r="H9" s="1163"/>
      <c r="I9" s="1170"/>
      <c r="J9" s="1163"/>
      <c r="K9" s="1163"/>
      <c r="L9" s="1163"/>
      <c r="M9" s="1163"/>
      <c r="N9" s="1163"/>
      <c r="O9" s="1163"/>
      <c r="P9" s="1163"/>
      <c r="Q9" s="1163"/>
    </row>
    <row r="10" spans="2:32" s="1153" customFormat="1" ht="15" customHeight="1" thickBot="1" x14ac:dyDescent="0.25">
      <c r="B10" s="2761" t="s">
        <v>1889</v>
      </c>
      <c r="C10" s="2761"/>
      <c r="D10" s="2761"/>
      <c r="E10" s="2761"/>
      <c r="F10" s="2761"/>
      <c r="G10" s="2761"/>
      <c r="H10" s="2761"/>
      <c r="I10" s="1170"/>
      <c r="J10" s="2761" t="s">
        <v>1890</v>
      </c>
      <c r="K10" s="2761"/>
      <c r="L10" s="2761"/>
      <c r="M10" s="2761"/>
      <c r="N10" s="2761"/>
      <c r="O10" s="2761"/>
      <c r="P10" s="2761"/>
      <c r="Q10" s="1163"/>
    </row>
    <row r="11" spans="2:32" s="1153" customFormat="1" ht="15" customHeight="1" x14ac:dyDescent="0.2">
      <c r="B11" s="1163"/>
      <c r="C11" s="1163"/>
      <c r="D11" s="1163"/>
      <c r="E11" s="1163"/>
      <c r="F11" s="1171" t="s">
        <v>1823</v>
      </c>
      <c r="G11" s="1163"/>
      <c r="H11" s="1163"/>
      <c r="I11" s="1171"/>
      <c r="J11" s="1163"/>
      <c r="K11" s="1163"/>
      <c r="L11" s="1163"/>
      <c r="M11" s="1163"/>
      <c r="N11" s="1171" t="s">
        <v>1825</v>
      </c>
      <c r="O11" s="1163"/>
      <c r="P11" s="1163"/>
      <c r="Q11" s="1163"/>
    </row>
    <row r="12" spans="2:32" s="1153" customFormat="1" ht="15" customHeight="1" x14ac:dyDescent="0.2">
      <c r="B12" s="1171" t="s">
        <v>1879</v>
      </c>
      <c r="C12" s="1163"/>
      <c r="D12" s="1171" t="s">
        <v>1596</v>
      </c>
      <c r="E12" s="1163"/>
      <c r="F12" s="1171" t="s">
        <v>748</v>
      </c>
      <c r="G12" s="1163"/>
      <c r="H12" s="1163"/>
      <c r="I12" s="1171"/>
      <c r="J12" s="1171" t="s">
        <v>1879</v>
      </c>
      <c r="K12" s="1163"/>
      <c r="L12" s="1171" t="s">
        <v>1596</v>
      </c>
      <c r="M12" s="1163"/>
      <c r="N12" s="1171" t="s">
        <v>748</v>
      </c>
      <c r="O12" s="1163"/>
      <c r="P12" s="1163"/>
      <c r="Q12" s="1163"/>
    </row>
    <row r="13" spans="2:32" s="1153" customFormat="1" ht="15" customHeight="1" thickBot="1" x14ac:dyDescent="0.25">
      <c r="B13" s="2318" t="s">
        <v>1880</v>
      </c>
      <c r="C13" s="1171"/>
      <c r="D13" s="2318" t="s">
        <v>1880</v>
      </c>
      <c r="E13" s="1171"/>
      <c r="F13" s="2318" t="s">
        <v>1881</v>
      </c>
      <c r="G13" s="1163"/>
      <c r="H13" s="2318" t="s">
        <v>1347</v>
      </c>
      <c r="I13" s="1171"/>
      <c r="J13" s="2318" t="s">
        <v>1880</v>
      </c>
      <c r="K13" s="1171"/>
      <c r="L13" s="2318" t="s">
        <v>1880</v>
      </c>
      <c r="M13" s="1171"/>
      <c r="N13" s="2318" t="s">
        <v>1882</v>
      </c>
      <c r="O13" s="1163"/>
      <c r="P13" s="2318" t="s">
        <v>1347</v>
      </c>
      <c r="Q13" s="1171" t="s">
        <v>50</v>
      </c>
    </row>
    <row r="14" spans="2:32" s="1153" customFormat="1" ht="15" customHeight="1" x14ac:dyDescent="0.2">
      <c r="B14" s="1250" t="s">
        <v>1891</v>
      </c>
      <c r="C14" s="1251"/>
      <c r="D14" s="1252">
        <v>1100</v>
      </c>
      <c r="E14" s="1251"/>
      <c r="F14" s="1252">
        <v>438101</v>
      </c>
      <c r="G14" s="1253"/>
      <c r="H14" s="1254">
        <v>200000</v>
      </c>
      <c r="I14" s="1255"/>
      <c r="J14" s="1256" t="s">
        <v>1892</v>
      </c>
      <c r="K14" s="1251"/>
      <c r="L14" s="1252">
        <v>1100</v>
      </c>
      <c r="M14" s="1251"/>
      <c r="N14" s="1252">
        <v>538101</v>
      </c>
      <c r="O14" s="1255"/>
      <c r="P14" s="1254">
        <v>200000</v>
      </c>
      <c r="Q14" s="313" t="str">
        <f>IF(AND(R14,X14,AD14,AE14),"","*")</f>
        <v/>
      </c>
      <c r="R14" s="1142" t="b">
        <f>IF(OR(S14=0,S14=4),TRUE, FALSE)</f>
        <v>1</v>
      </c>
      <c r="S14" s="1142">
        <f>COUNTIF(T14:W14,FALSE)</f>
        <v>4</v>
      </c>
      <c r="T14" s="1143" t="b">
        <f>ISBLANK(B14)</f>
        <v>0</v>
      </c>
      <c r="U14" s="1143" t="b">
        <f>ISBLANK(D14)</f>
        <v>0</v>
      </c>
      <c r="V14" s="1143" t="b">
        <f>ISBLANK(F14)</f>
        <v>0</v>
      </c>
      <c r="W14" s="1143" t="b">
        <f>ISBLANK(H14)</f>
        <v>0</v>
      </c>
      <c r="X14" s="1142" t="b">
        <f>IF(OR(Y14=0,Y14=4),TRUE, FALSE)</f>
        <v>1</v>
      </c>
      <c r="Y14" s="1142">
        <f>COUNTIF(Z14:AC14,FALSE)</f>
        <v>4</v>
      </c>
      <c r="Z14" s="1143" t="b">
        <f>ISBLANK(J14)</f>
        <v>0</v>
      </c>
      <c r="AA14" s="1143" t="b">
        <f>ISBLANK(L14)</f>
        <v>0</v>
      </c>
      <c r="AB14" s="1143" t="b">
        <f>ISBLANK(N14)</f>
        <v>0</v>
      </c>
      <c r="AC14" s="1143" t="b">
        <f>ISBLANK(P14)</f>
        <v>0</v>
      </c>
      <c r="AD14" s="1144" t="b">
        <f>IF(ISBLANK(F14),TRUE,VALUE(LEFT(F14,4))=4381)</f>
        <v>1</v>
      </c>
      <c r="AE14" s="1144" t="b">
        <f>IF(ISBLANK(N14),TRUE,VALUE(LEFT(N14,4))=5381)</f>
        <v>1</v>
      </c>
      <c r="AF14" s="1257" t="s">
        <v>1885</v>
      </c>
    </row>
    <row r="15" spans="2:32" s="1153" customFormat="1" ht="15" customHeight="1" x14ac:dyDescent="0.2">
      <c r="B15" s="1174"/>
      <c r="C15" s="1175"/>
      <c r="D15" s="1176"/>
      <c r="E15" s="1175"/>
      <c r="F15" s="1176"/>
      <c r="G15" s="1171"/>
      <c r="H15" s="1177"/>
      <c r="I15" s="1163"/>
      <c r="J15" s="1178"/>
      <c r="K15" s="1175"/>
      <c r="L15" s="1176"/>
      <c r="M15" s="1175"/>
      <c r="N15" s="1176"/>
      <c r="O15" s="1163"/>
      <c r="P15" s="1177"/>
      <c r="Q15" s="313" t="str">
        <f t="shared" ref="Q15:Q28" si="0">IF(AND(R15,X15,AD15,AE15),"","*")</f>
        <v/>
      </c>
      <c r="R15" s="1142" t="b">
        <f t="shared" ref="R15:R32" si="1">IF(OR(S15=0,S15=4),TRUE, FALSE)</f>
        <v>1</v>
      </c>
      <c r="S15" s="1142">
        <f t="shared" ref="S15:S28" si="2">COUNTIF(T15:W15,FALSE)</f>
        <v>0</v>
      </c>
      <c r="T15" s="1143" t="b">
        <f t="shared" ref="T15:T28" si="3">ISBLANK(B15)</f>
        <v>1</v>
      </c>
      <c r="U15" s="1143" t="b">
        <f t="shared" ref="U15:U28" si="4">ISBLANK(D15)</f>
        <v>1</v>
      </c>
      <c r="V15" s="1143" t="b">
        <f t="shared" ref="V15:V28" si="5">ISBLANK(F15)</f>
        <v>1</v>
      </c>
      <c r="W15" s="1143" t="b">
        <f t="shared" ref="W15:W28" si="6">ISBLANK(H15)</f>
        <v>1</v>
      </c>
      <c r="X15" s="1142" t="b">
        <f t="shared" ref="X15:X32" si="7">IF(OR(Y15=0,Y15=4),TRUE, FALSE)</f>
        <v>1</v>
      </c>
      <c r="Y15" s="1142">
        <f t="shared" ref="Y15:Y28" si="8">COUNTIF(Z15:AC15,FALSE)</f>
        <v>0</v>
      </c>
      <c r="Z15" s="1143" t="b">
        <f t="shared" ref="Z15:Z28" si="9">ISBLANK(J15)</f>
        <v>1</v>
      </c>
      <c r="AA15" s="1143" t="b">
        <f t="shared" ref="AA15:AA28" si="10">ISBLANK(L15)</f>
        <v>1</v>
      </c>
      <c r="AB15" s="1143" t="b">
        <f t="shared" ref="AB15:AB28" si="11">ISBLANK(N15)</f>
        <v>1</v>
      </c>
      <c r="AC15" s="1143" t="b">
        <f t="shared" ref="AC15:AC28" si="12">ISBLANK(P15)</f>
        <v>1</v>
      </c>
      <c r="AD15" s="1144" t="b">
        <f t="shared" ref="AD15:AD28" si="13">IF(ISBLANK(F15),TRUE,VALUE(LEFT(F15,4))=4381)</f>
        <v>1</v>
      </c>
      <c r="AE15" s="1144" t="b">
        <f t="shared" ref="AE15:AE28" si="14">IF(ISBLANK(N15),TRUE,VALUE(LEFT(N15,4))=5381)</f>
        <v>1</v>
      </c>
    </row>
    <row r="16" spans="2:32" s="1153" customFormat="1" ht="15" customHeight="1" x14ac:dyDescent="0.2">
      <c r="B16" s="1174"/>
      <c r="C16" s="1175"/>
      <c r="D16" s="1176"/>
      <c r="E16" s="1175"/>
      <c r="F16" s="1176"/>
      <c r="G16" s="1171"/>
      <c r="H16" s="1177"/>
      <c r="I16" s="1163"/>
      <c r="J16" s="1178"/>
      <c r="K16" s="1175"/>
      <c r="L16" s="1176"/>
      <c r="M16" s="1175"/>
      <c r="N16" s="1176"/>
      <c r="O16" s="1163"/>
      <c r="P16" s="1177"/>
      <c r="Q16" s="313" t="str">
        <f t="shared" si="0"/>
        <v/>
      </c>
      <c r="R16" s="1142" t="b">
        <f t="shared" si="1"/>
        <v>1</v>
      </c>
      <c r="S16" s="1142">
        <f t="shared" si="2"/>
        <v>0</v>
      </c>
      <c r="T16" s="1143" t="b">
        <f t="shared" si="3"/>
        <v>1</v>
      </c>
      <c r="U16" s="1143" t="b">
        <f t="shared" si="4"/>
        <v>1</v>
      </c>
      <c r="V16" s="1143" t="b">
        <f t="shared" si="5"/>
        <v>1</v>
      </c>
      <c r="W16" s="1143" t="b">
        <f t="shared" si="6"/>
        <v>1</v>
      </c>
      <c r="X16" s="1142" t="b">
        <f t="shared" si="7"/>
        <v>1</v>
      </c>
      <c r="Y16" s="1142">
        <f t="shared" si="8"/>
        <v>0</v>
      </c>
      <c r="Z16" s="1143" t="b">
        <f t="shared" si="9"/>
        <v>1</v>
      </c>
      <c r="AA16" s="1143" t="b">
        <f t="shared" si="10"/>
        <v>1</v>
      </c>
      <c r="AB16" s="1143" t="b">
        <f t="shared" si="11"/>
        <v>1</v>
      </c>
      <c r="AC16" s="1143" t="b">
        <f t="shared" si="12"/>
        <v>1</v>
      </c>
      <c r="AD16" s="1144" t="b">
        <f t="shared" si="13"/>
        <v>1</v>
      </c>
      <c r="AE16" s="1144" t="b">
        <f t="shared" si="14"/>
        <v>1</v>
      </c>
    </row>
    <row r="17" spans="2:31" s="1153" customFormat="1" ht="15" customHeight="1" x14ac:dyDescent="0.2">
      <c r="B17" s="1174"/>
      <c r="C17" s="1175"/>
      <c r="D17" s="1176"/>
      <c r="E17" s="1175"/>
      <c r="F17" s="1176"/>
      <c r="G17" s="1171"/>
      <c r="H17" s="1177"/>
      <c r="I17" s="1163"/>
      <c r="J17" s="1178"/>
      <c r="K17" s="1175"/>
      <c r="L17" s="1176"/>
      <c r="M17" s="1175"/>
      <c r="N17" s="1176"/>
      <c r="O17" s="1163"/>
      <c r="P17" s="1177"/>
      <c r="Q17" s="313" t="str">
        <f t="shared" si="0"/>
        <v/>
      </c>
      <c r="R17" s="1142" t="b">
        <f t="shared" si="1"/>
        <v>1</v>
      </c>
      <c r="S17" s="1142">
        <f t="shared" si="2"/>
        <v>0</v>
      </c>
      <c r="T17" s="1143" t="b">
        <f t="shared" si="3"/>
        <v>1</v>
      </c>
      <c r="U17" s="1143" t="b">
        <f t="shared" si="4"/>
        <v>1</v>
      </c>
      <c r="V17" s="1143" t="b">
        <f t="shared" si="5"/>
        <v>1</v>
      </c>
      <c r="W17" s="1143" t="b">
        <f t="shared" si="6"/>
        <v>1</v>
      </c>
      <c r="X17" s="1142" t="b">
        <f t="shared" si="7"/>
        <v>1</v>
      </c>
      <c r="Y17" s="1142">
        <f t="shared" si="8"/>
        <v>0</v>
      </c>
      <c r="Z17" s="1143" t="b">
        <f t="shared" si="9"/>
        <v>1</v>
      </c>
      <c r="AA17" s="1143" t="b">
        <f t="shared" si="10"/>
        <v>1</v>
      </c>
      <c r="AB17" s="1143" t="b">
        <f t="shared" si="11"/>
        <v>1</v>
      </c>
      <c r="AC17" s="1143" t="b">
        <f t="shared" si="12"/>
        <v>1</v>
      </c>
      <c r="AD17" s="1144" t="b">
        <f t="shared" si="13"/>
        <v>1</v>
      </c>
      <c r="AE17" s="1144" t="b">
        <f t="shared" si="14"/>
        <v>1</v>
      </c>
    </row>
    <row r="18" spans="2:31" s="1153" customFormat="1" ht="15" customHeight="1" x14ac:dyDescent="0.2">
      <c r="B18" s="1178"/>
      <c r="C18" s="1175"/>
      <c r="D18" s="1176"/>
      <c r="E18" s="1175"/>
      <c r="F18" s="1176"/>
      <c r="G18" s="1171"/>
      <c r="H18" s="1177"/>
      <c r="I18" s="1163"/>
      <c r="J18" s="1178"/>
      <c r="K18" s="1175"/>
      <c r="L18" s="1176"/>
      <c r="M18" s="1175"/>
      <c r="N18" s="1176"/>
      <c r="O18" s="1163"/>
      <c r="P18" s="1177"/>
      <c r="Q18" s="313" t="str">
        <f t="shared" si="0"/>
        <v/>
      </c>
      <c r="R18" s="1142" t="b">
        <f t="shared" si="1"/>
        <v>1</v>
      </c>
      <c r="S18" s="1142">
        <f t="shared" si="2"/>
        <v>0</v>
      </c>
      <c r="T18" s="1143" t="b">
        <f t="shared" si="3"/>
        <v>1</v>
      </c>
      <c r="U18" s="1143" t="b">
        <f t="shared" si="4"/>
        <v>1</v>
      </c>
      <c r="V18" s="1143" t="b">
        <f t="shared" si="5"/>
        <v>1</v>
      </c>
      <c r="W18" s="1143" t="b">
        <f t="shared" si="6"/>
        <v>1</v>
      </c>
      <c r="X18" s="1142" t="b">
        <f t="shared" si="7"/>
        <v>1</v>
      </c>
      <c r="Y18" s="1142">
        <f t="shared" si="8"/>
        <v>0</v>
      </c>
      <c r="Z18" s="1143" t="b">
        <f t="shared" si="9"/>
        <v>1</v>
      </c>
      <c r="AA18" s="1143" t="b">
        <f t="shared" si="10"/>
        <v>1</v>
      </c>
      <c r="AB18" s="1143" t="b">
        <f t="shared" si="11"/>
        <v>1</v>
      </c>
      <c r="AC18" s="1143" t="b">
        <f t="shared" si="12"/>
        <v>1</v>
      </c>
      <c r="AD18" s="1144" t="b">
        <f t="shared" si="13"/>
        <v>1</v>
      </c>
      <c r="AE18" s="1144" t="b">
        <f t="shared" si="14"/>
        <v>1</v>
      </c>
    </row>
    <row r="19" spans="2:31" s="1153" customFormat="1" ht="15" customHeight="1" x14ac:dyDescent="0.2">
      <c r="B19" s="1174"/>
      <c r="C19" s="1175"/>
      <c r="D19" s="1176"/>
      <c r="E19" s="1175"/>
      <c r="F19" s="1176"/>
      <c r="G19" s="1171"/>
      <c r="H19" s="1177"/>
      <c r="I19" s="1163"/>
      <c r="J19" s="1178"/>
      <c r="K19" s="1175"/>
      <c r="L19" s="1176"/>
      <c r="M19" s="1175"/>
      <c r="N19" s="1176"/>
      <c r="O19" s="1163"/>
      <c r="P19" s="1177"/>
      <c r="Q19" s="313" t="str">
        <f t="shared" si="0"/>
        <v/>
      </c>
      <c r="R19" s="1142" t="b">
        <f t="shared" si="1"/>
        <v>1</v>
      </c>
      <c r="S19" s="1142">
        <f t="shared" si="2"/>
        <v>0</v>
      </c>
      <c r="T19" s="1143" t="b">
        <f t="shared" si="3"/>
        <v>1</v>
      </c>
      <c r="U19" s="1143" t="b">
        <f t="shared" si="4"/>
        <v>1</v>
      </c>
      <c r="V19" s="1143" t="b">
        <f t="shared" si="5"/>
        <v>1</v>
      </c>
      <c r="W19" s="1143" t="b">
        <f t="shared" si="6"/>
        <v>1</v>
      </c>
      <c r="X19" s="1142" t="b">
        <f t="shared" si="7"/>
        <v>1</v>
      </c>
      <c r="Y19" s="1142">
        <f t="shared" si="8"/>
        <v>0</v>
      </c>
      <c r="Z19" s="1143" t="b">
        <f t="shared" si="9"/>
        <v>1</v>
      </c>
      <c r="AA19" s="1143" t="b">
        <f t="shared" si="10"/>
        <v>1</v>
      </c>
      <c r="AB19" s="1143" t="b">
        <f t="shared" si="11"/>
        <v>1</v>
      </c>
      <c r="AC19" s="1143" t="b">
        <f t="shared" si="12"/>
        <v>1</v>
      </c>
      <c r="AD19" s="1144" t="b">
        <f t="shared" si="13"/>
        <v>1</v>
      </c>
      <c r="AE19" s="1144" t="b">
        <f t="shared" si="14"/>
        <v>1</v>
      </c>
    </row>
    <row r="20" spans="2:31" s="1153" customFormat="1" ht="15" customHeight="1" x14ac:dyDescent="0.2">
      <c r="B20" s="1174"/>
      <c r="C20" s="1175"/>
      <c r="D20" s="1176"/>
      <c r="E20" s="1175"/>
      <c r="F20" s="1176"/>
      <c r="G20" s="1171"/>
      <c r="H20" s="1177"/>
      <c r="I20" s="1163"/>
      <c r="J20" s="1178"/>
      <c r="K20" s="1175"/>
      <c r="L20" s="1176"/>
      <c r="M20" s="1175"/>
      <c r="N20" s="1176"/>
      <c r="O20" s="1163"/>
      <c r="P20" s="1177"/>
      <c r="Q20" s="313" t="str">
        <f t="shared" si="0"/>
        <v/>
      </c>
      <c r="R20" s="1142" t="b">
        <f t="shared" si="1"/>
        <v>1</v>
      </c>
      <c r="S20" s="1142">
        <f t="shared" si="2"/>
        <v>0</v>
      </c>
      <c r="T20" s="1143" t="b">
        <f t="shared" si="3"/>
        <v>1</v>
      </c>
      <c r="U20" s="1143" t="b">
        <f t="shared" si="4"/>
        <v>1</v>
      </c>
      <c r="V20" s="1143" t="b">
        <f t="shared" si="5"/>
        <v>1</v>
      </c>
      <c r="W20" s="1143" t="b">
        <f t="shared" si="6"/>
        <v>1</v>
      </c>
      <c r="X20" s="1142" t="b">
        <f t="shared" si="7"/>
        <v>1</v>
      </c>
      <c r="Y20" s="1142">
        <f t="shared" si="8"/>
        <v>0</v>
      </c>
      <c r="Z20" s="1143" t="b">
        <f t="shared" si="9"/>
        <v>1</v>
      </c>
      <c r="AA20" s="1143" t="b">
        <f t="shared" si="10"/>
        <v>1</v>
      </c>
      <c r="AB20" s="1143" t="b">
        <f t="shared" si="11"/>
        <v>1</v>
      </c>
      <c r="AC20" s="1143" t="b">
        <f t="shared" si="12"/>
        <v>1</v>
      </c>
      <c r="AD20" s="1144" t="b">
        <f t="shared" si="13"/>
        <v>1</v>
      </c>
      <c r="AE20" s="1144" t="b">
        <f t="shared" si="14"/>
        <v>1</v>
      </c>
    </row>
    <row r="21" spans="2:31" s="1153" customFormat="1" ht="15" customHeight="1" x14ac:dyDescent="0.2">
      <c r="B21" s="1174"/>
      <c r="C21" s="1175"/>
      <c r="D21" s="1176"/>
      <c r="E21" s="1175"/>
      <c r="F21" s="1176"/>
      <c r="G21" s="1171"/>
      <c r="H21" s="1177"/>
      <c r="I21" s="1163"/>
      <c r="J21" s="1178"/>
      <c r="K21" s="1175"/>
      <c r="L21" s="1176"/>
      <c r="M21" s="1175"/>
      <c r="N21" s="1176"/>
      <c r="O21" s="1163"/>
      <c r="P21" s="1177"/>
      <c r="Q21" s="313" t="str">
        <f t="shared" si="0"/>
        <v/>
      </c>
      <c r="R21" s="1142" t="b">
        <f t="shared" si="1"/>
        <v>1</v>
      </c>
      <c r="S21" s="1142">
        <f t="shared" si="2"/>
        <v>0</v>
      </c>
      <c r="T21" s="1143" t="b">
        <f t="shared" si="3"/>
        <v>1</v>
      </c>
      <c r="U21" s="1143" t="b">
        <f t="shared" si="4"/>
        <v>1</v>
      </c>
      <c r="V21" s="1143" t="b">
        <f t="shared" si="5"/>
        <v>1</v>
      </c>
      <c r="W21" s="1143" t="b">
        <f t="shared" si="6"/>
        <v>1</v>
      </c>
      <c r="X21" s="1142" t="b">
        <f t="shared" si="7"/>
        <v>1</v>
      </c>
      <c r="Y21" s="1142">
        <f t="shared" si="8"/>
        <v>0</v>
      </c>
      <c r="Z21" s="1143" t="b">
        <f t="shared" si="9"/>
        <v>1</v>
      </c>
      <c r="AA21" s="1143" t="b">
        <f t="shared" si="10"/>
        <v>1</v>
      </c>
      <c r="AB21" s="1143" t="b">
        <f t="shared" si="11"/>
        <v>1</v>
      </c>
      <c r="AC21" s="1143" t="b">
        <f t="shared" si="12"/>
        <v>1</v>
      </c>
      <c r="AD21" s="1144" t="b">
        <f t="shared" si="13"/>
        <v>1</v>
      </c>
      <c r="AE21" s="1144" t="b">
        <f t="shared" si="14"/>
        <v>1</v>
      </c>
    </row>
    <row r="22" spans="2:31" s="1153" customFormat="1" ht="15" customHeight="1" x14ac:dyDescent="0.2">
      <c r="B22" s="1174"/>
      <c r="C22" s="1175"/>
      <c r="D22" s="1176"/>
      <c r="E22" s="1175"/>
      <c r="F22" s="1176"/>
      <c r="G22" s="1171"/>
      <c r="H22" s="1177"/>
      <c r="I22" s="1163"/>
      <c r="J22" s="1178"/>
      <c r="K22" s="1175"/>
      <c r="L22" s="1176"/>
      <c r="M22" s="1175"/>
      <c r="N22" s="1176"/>
      <c r="O22" s="1163"/>
      <c r="P22" s="1177"/>
      <c r="Q22" s="313" t="str">
        <f t="shared" si="0"/>
        <v/>
      </c>
      <c r="R22" s="1142" t="b">
        <f t="shared" si="1"/>
        <v>1</v>
      </c>
      <c r="S22" s="1142">
        <f t="shared" si="2"/>
        <v>0</v>
      </c>
      <c r="T22" s="1143" t="b">
        <f t="shared" si="3"/>
        <v>1</v>
      </c>
      <c r="U22" s="1143" t="b">
        <f t="shared" si="4"/>
        <v>1</v>
      </c>
      <c r="V22" s="1143" t="b">
        <f t="shared" si="5"/>
        <v>1</v>
      </c>
      <c r="W22" s="1143" t="b">
        <f t="shared" si="6"/>
        <v>1</v>
      </c>
      <c r="X22" s="1142" t="b">
        <f t="shared" si="7"/>
        <v>1</v>
      </c>
      <c r="Y22" s="1142">
        <f t="shared" si="8"/>
        <v>0</v>
      </c>
      <c r="Z22" s="1143" t="b">
        <f t="shared" si="9"/>
        <v>1</v>
      </c>
      <c r="AA22" s="1143" t="b">
        <f t="shared" si="10"/>
        <v>1</v>
      </c>
      <c r="AB22" s="1143" t="b">
        <f t="shared" si="11"/>
        <v>1</v>
      </c>
      <c r="AC22" s="1143" t="b">
        <f t="shared" si="12"/>
        <v>1</v>
      </c>
      <c r="AD22" s="1144" t="b">
        <f t="shared" si="13"/>
        <v>1</v>
      </c>
      <c r="AE22" s="1144" t="b">
        <f t="shared" si="14"/>
        <v>1</v>
      </c>
    </row>
    <row r="23" spans="2:31" s="1153" customFormat="1" ht="15" customHeight="1" x14ac:dyDescent="0.2">
      <c r="B23" s="1174"/>
      <c r="C23" s="1175"/>
      <c r="D23" s="1176"/>
      <c r="E23" s="1175"/>
      <c r="F23" s="1176"/>
      <c r="G23" s="1171"/>
      <c r="H23" s="1177"/>
      <c r="I23" s="1163"/>
      <c r="J23" s="1178"/>
      <c r="K23" s="1175"/>
      <c r="L23" s="1176"/>
      <c r="M23" s="1175"/>
      <c r="N23" s="1176"/>
      <c r="O23" s="1163"/>
      <c r="P23" s="1177"/>
      <c r="Q23" s="313" t="str">
        <f t="shared" si="0"/>
        <v/>
      </c>
      <c r="R23" s="1142" t="b">
        <f t="shared" si="1"/>
        <v>1</v>
      </c>
      <c r="S23" s="1142">
        <f t="shared" si="2"/>
        <v>0</v>
      </c>
      <c r="T23" s="1143" t="b">
        <f t="shared" si="3"/>
        <v>1</v>
      </c>
      <c r="U23" s="1143" t="b">
        <f t="shared" si="4"/>
        <v>1</v>
      </c>
      <c r="V23" s="1143" t="b">
        <f t="shared" si="5"/>
        <v>1</v>
      </c>
      <c r="W23" s="1143" t="b">
        <f t="shared" si="6"/>
        <v>1</v>
      </c>
      <c r="X23" s="1142" t="b">
        <f t="shared" si="7"/>
        <v>1</v>
      </c>
      <c r="Y23" s="1142">
        <f t="shared" si="8"/>
        <v>0</v>
      </c>
      <c r="Z23" s="1143" t="b">
        <f t="shared" si="9"/>
        <v>1</v>
      </c>
      <c r="AA23" s="1143" t="b">
        <f t="shared" si="10"/>
        <v>1</v>
      </c>
      <c r="AB23" s="1143" t="b">
        <f t="shared" si="11"/>
        <v>1</v>
      </c>
      <c r="AC23" s="1143" t="b">
        <f t="shared" si="12"/>
        <v>1</v>
      </c>
      <c r="AD23" s="1144" t="b">
        <f t="shared" si="13"/>
        <v>1</v>
      </c>
      <c r="AE23" s="1144" t="b">
        <f t="shared" si="14"/>
        <v>1</v>
      </c>
    </row>
    <row r="24" spans="2:31" s="1153" customFormat="1" ht="15" customHeight="1" x14ac:dyDescent="0.2">
      <c r="B24" s="1174"/>
      <c r="C24" s="1175"/>
      <c r="D24" s="1176"/>
      <c r="E24" s="1175"/>
      <c r="F24" s="1176"/>
      <c r="G24" s="1171"/>
      <c r="H24" s="1177"/>
      <c r="I24" s="1163"/>
      <c r="J24" s="1178"/>
      <c r="K24" s="1175"/>
      <c r="L24" s="1176"/>
      <c r="M24" s="1175"/>
      <c r="N24" s="1176"/>
      <c r="O24" s="1163"/>
      <c r="P24" s="1177"/>
      <c r="Q24" s="313" t="str">
        <f t="shared" si="0"/>
        <v/>
      </c>
      <c r="R24" s="1142" t="b">
        <f t="shared" si="1"/>
        <v>1</v>
      </c>
      <c r="S24" s="1142">
        <f t="shared" si="2"/>
        <v>0</v>
      </c>
      <c r="T24" s="1143" t="b">
        <f t="shared" si="3"/>
        <v>1</v>
      </c>
      <c r="U24" s="1143" t="b">
        <f t="shared" si="4"/>
        <v>1</v>
      </c>
      <c r="V24" s="1143" t="b">
        <f t="shared" si="5"/>
        <v>1</v>
      </c>
      <c r="W24" s="1143" t="b">
        <f t="shared" si="6"/>
        <v>1</v>
      </c>
      <c r="X24" s="1142" t="b">
        <f t="shared" si="7"/>
        <v>1</v>
      </c>
      <c r="Y24" s="1142">
        <f t="shared" si="8"/>
        <v>0</v>
      </c>
      <c r="Z24" s="1143" t="b">
        <f t="shared" si="9"/>
        <v>1</v>
      </c>
      <c r="AA24" s="1143" t="b">
        <f t="shared" si="10"/>
        <v>1</v>
      </c>
      <c r="AB24" s="1143" t="b">
        <f t="shared" si="11"/>
        <v>1</v>
      </c>
      <c r="AC24" s="1143" t="b">
        <f t="shared" si="12"/>
        <v>1</v>
      </c>
      <c r="AD24" s="1144" t="b">
        <f t="shared" si="13"/>
        <v>1</v>
      </c>
      <c r="AE24" s="1144" t="b">
        <f t="shared" si="14"/>
        <v>1</v>
      </c>
    </row>
    <row r="25" spans="2:31" s="1153" customFormat="1" ht="15" customHeight="1" x14ac:dyDescent="0.2">
      <c r="B25" s="1174"/>
      <c r="C25" s="1175"/>
      <c r="D25" s="1176"/>
      <c r="E25" s="1175"/>
      <c r="F25" s="1176"/>
      <c r="G25" s="1171"/>
      <c r="H25" s="1177"/>
      <c r="I25" s="1163"/>
      <c r="J25" s="1178"/>
      <c r="K25" s="1175"/>
      <c r="L25" s="1176"/>
      <c r="M25" s="1175"/>
      <c r="N25" s="1176"/>
      <c r="O25" s="1163"/>
      <c r="P25" s="1177"/>
      <c r="Q25" s="313" t="str">
        <f t="shared" si="0"/>
        <v/>
      </c>
      <c r="R25" s="1142" t="b">
        <f t="shared" si="1"/>
        <v>1</v>
      </c>
      <c r="S25" s="1142">
        <f t="shared" si="2"/>
        <v>0</v>
      </c>
      <c r="T25" s="1143" t="b">
        <f t="shared" si="3"/>
        <v>1</v>
      </c>
      <c r="U25" s="1143" t="b">
        <f t="shared" si="4"/>
        <v>1</v>
      </c>
      <c r="V25" s="1143" t="b">
        <f t="shared" si="5"/>
        <v>1</v>
      </c>
      <c r="W25" s="1143" t="b">
        <f t="shared" si="6"/>
        <v>1</v>
      </c>
      <c r="X25" s="1142" t="b">
        <f t="shared" si="7"/>
        <v>1</v>
      </c>
      <c r="Y25" s="1142">
        <f t="shared" si="8"/>
        <v>0</v>
      </c>
      <c r="Z25" s="1143" t="b">
        <f t="shared" si="9"/>
        <v>1</v>
      </c>
      <c r="AA25" s="1143" t="b">
        <f t="shared" si="10"/>
        <v>1</v>
      </c>
      <c r="AB25" s="1143" t="b">
        <f t="shared" si="11"/>
        <v>1</v>
      </c>
      <c r="AC25" s="1143" t="b">
        <f t="shared" si="12"/>
        <v>1</v>
      </c>
      <c r="AD25" s="1144" t="b">
        <f t="shared" si="13"/>
        <v>1</v>
      </c>
      <c r="AE25" s="1144" t="b">
        <f t="shared" si="14"/>
        <v>1</v>
      </c>
    </row>
    <row r="26" spans="2:31" s="1153" customFormat="1" ht="15" customHeight="1" x14ac:dyDescent="0.2">
      <c r="B26" s="1174"/>
      <c r="C26" s="1175"/>
      <c r="D26" s="1176"/>
      <c r="E26" s="1175"/>
      <c r="F26" s="1176"/>
      <c r="G26" s="1171"/>
      <c r="H26" s="1177"/>
      <c r="I26" s="1163"/>
      <c r="J26" s="1178"/>
      <c r="K26" s="1175"/>
      <c r="L26" s="1176"/>
      <c r="M26" s="1175"/>
      <c r="N26" s="1176"/>
      <c r="O26" s="1163"/>
      <c r="P26" s="1177"/>
      <c r="Q26" s="313" t="str">
        <f t="shared" si="0"/>
        <v/>
      </c>
      <c r="R26" s="1142" t="b">
        <f t="shared" si="1"/>
        <v>1</v>
      </c>
      <c r="S26" s="1142">
        <f t="shared" si="2"/>
        <v>0</v>
      </c>
      <c r="T26" s="1143" t="b">
        <f t="shared" si="3"/>
        <v>1</v>
      </c>
      <c r="U26" s="1143" t="b">
        <f t="shared" si="4"/>
        <v>1</v>
      </c>
      <c r="V26" s="1143" t="b">
        <f t="shared" si="5"/>
        <v>1</v>
      </c>
      <c r="W26" s="1143" t="b">
        <f t="shared" si="6"/>
        <v>1</v>
      </c>
      <c r="X26" s="1142" t="b">
        <f t="shared" si="7"/>
        <v>1</v>
      </c>
      <c r="Y26" s="1142">
        <f t="shared" si="8"/>
        <v>0</v>
      </c>
      <c r="Z26" s="1143" t="b">
        <f t="shared" si="9"/>
        <v>1</v>
      </c>
      <c r="AA26" s="1143" t="b">
        <f t="shared" si="10"/>
        <v>1</v>
      </c>
      <c r="AB26" s="1143" t="b">
        <f t="shared" si="11"/>
        <v>1</v>
      </c>
      <c r="AC26" s="1143" t="b">
        <f t="shared" si="12"/>
        <v>1</v>
      </c>
      <c r="AD26" s="1144" t="b">
        <f t="shared" si="13"/>
        <v>1</v>
      </c>
      <c r="AE26" s="1144" t="b">
        <f t="shared" si="14"/>
        <v>1</v>
      </c>
    </row>
    <row r="27" spans="2:31" s="1153" customFormat="1" ht="15" customHeight="1" x14ac:dyDescent="0.2">
      <c r="B27" s="1174"/>
      <c r="C27" s="1175"/>
      <c r="D27" s="1176"/>
      <c r="E27" s="1175"/>
      <c r="F27" s="1176"/>
      <c r="G27" s="1171"/>
      <c r="H27" s="1177"/>
      <c r="I27" s="1163"/>
      <c r="J27" s="1178"/>
      <c r="K27" s="1175"/>
      <c r="L27" s="1176"/>
      <c r="M27" s="1175"/>
      <c r="N27" s="1176"/>
      <c r="O27" s="1163"/>
      <c r="P27" s="1177"/>
      <c r="Q27" s="313" t="str">
        <f t="shared" si="0"/>
        <v/>
      </c>
      <c r="R27" s="1142" t="b">
        <f t="shared" si="1"/>
        <v>1</v>
      </c>
      <c r="S27" s="1142">
        <f t="shared" si="2"/>
        <v>0</v>
      </c>
      <c r="T27" s="1143" t="b">
        <f t="shared" si="3"/>
        <v>1</v>
      </c>
      <c r="U27" s="1143" t="b">
        <f t="shared" si="4"/>
        <v>1</v>
      </c>
      <c r="V27" s="1143" t="b">
        <f t="shared" si="5"/>
        <v>1</v>
      </c>
      <c r="W27" s="1143" t="b">
        <f t="shared" si="6"/>
        <v>1</v>
      </c>
      <c r="X27" s="1142" t="b">
        <f t="shared" si="7"/>
        <v>1</v>
      </c>
      <c r="Y27" s="1142">
        <f t="shared" si="8"/>
        <v>0</v>
      </c>
      <c r="Z27" s="1143" t="b">
        <f t="shared" si="9"/>
        <v>1</v>
      </c>
      <c r="AA27" s="1143" t="b">
        <f t="shared" si="10"/>
        <v>1</v>
      </c>
      <c r="AB27" s="1143" t="b">
        <f t="shared" si="11"/>
        <v>1</v>
      </c>
      <c r="AC27" s="1143" t="b">
        <f t="shared" si="12"/>
        <v>1</v>
      </c>
      <c r="AD27" s="1144" t="b">
        <f t="shared" si="13"/>
        <v>1</v>
      </c>
      <c r="AE27" s="1144" t="b">
        <f t="shared" si="14"/>
        <v>1</v>
      </c>
    </row>
    <row r="28" spans="2:31" s="1153" customFormat="1" ht="15" customHeight="1" x14ac:dyDescent="0.2">
      <c r="B28" s="1174"/>
      <c r="C28" s="1175"/>
      <c r="D28" s="1176"/>
      <c r="E28" s="1175"/>
      <c r="F28" s="1176"/>
      <c r="G28" s="1171"/>
      <c r="H28" s="1177"/>
      <c r="I28" s="1163"/>
      <c r="J28" s="1178"/>
      <c r="K28" s="1175"/>
      <c r="L28" s="1176"/>
      <c r="M28" s="1175"/>
      <c r="N28" s="1176"/>
      <c r="O28" s="1163"/>
      <c r="P28" s="1177"/>
      <c r="Q28" s="313" t="str">
        <f t="shared" si="0"/>
        <v/>
      </c>
      <c r="R28" s="1142" t="b">
        <f t="shared" si="1"/>
        <v>1</v>
      </c>
      <c r="S28" s="1142">
        <f t="shared" si="2"/>
        <v>0</v>
      </c>
      <c r="T28" s="1143" t="b">
        <f t="shared" si="3"/>
        <v>1</v>
      </c>
      <c r="U28" s="1143" t="b">
        <f t="shared" si="4"/>
        <v>1</v>
      </c>
      <c r="V28" s="1143" t="b">
        <f t="shared" si="5"/>
        <v>1</v>
      </c>
      <c r="W28" s="1143" t="b">
        <f t="shared" si="6"/>
        <v>1</v>
      </c>
      <c r="X28" s="1142" t="b">
        <f t="shared" si="7"/>
        <v>1</v>
      </c>
      <c r="Y28" s="1142">
        <f t="shared" si="8"/>
        <v>0</v>
      </c>
      <c r="Z28" s="1143" t="b">
        <f t="shared" si="9"/>
        <v>1</v>
      </c>
      <c r="AA28" s="1143" t="b">
        <f t="shared" si="10"/>
        <v>1</v>
      </c>
      <c r="AB28" s="1143" t="b">
        <f t="shared" si="11"/>
        <v>1</v>
      </c>
      <c r="AC28" s="1143" t="b">
        <f t="shared" si="12"/>
        <v>1</v>
      </c>
      <c r="AD28" s="1144" t="b">
        <f t="shared" si="13"/>
        <v>1</v>
      </c>
      <c r="AE28" s="1144" t="b">
        <f t="shared" si="14"/>
        <v>1</v>
      </c>
    </row>
    <row r="29" spans="2:31" s="1153" customFormat="1" ht="15" customHeight="1" x14ac:dyDescent="0.2">
      <c r="B29" s="1174"/>
      <c r="C29" s="1175"/>
      <c r="D29" s="1176"/>
      <c r="E29" s="1175"/>
      <c r="F29" s="1176"/>
      <c r="G29" s="1171"/>
      <c r="H29" s="1177"/>
      <c r="I29" s="1163"/>
      <c r="J29" s="1178"/>
      <c r="K29" s="1175"/>
      <c r="L29" s="1176"/>
      <c r="M29" s="1175"/>
      <c r="N29" s="1176"/>
      <c r="O29" s="1163"/>
      <c r="P29" s="1177"/>
      <c r="Q29" s="313" t="str">
        <f>IF(AND(R29,X29,AD29,AE29),"","*")</f>
        <v/>
      </c>
      <c r="R29" s="1142" t="b">
        <f t="shared" si="1"/>
        <v>1</v>
      </c>
      <c r="S29" s="1142">
        <f>COUNTIF(T29:W29,FALSE)</f>
        <v>0</v>
      </c>
      <c r="T29" s="1143" t="b">
        <f>ISBLANK(B29)</f>
        <v>1</v>
      </c>
      <c r="U29" s="1143" t="b">
        <f>ISBLANK(D29)</f>
        <v>1</v>
      </c>
      <c r="V29" s="1143" t="b">
        <f>ISBLANK(F29)</f>
        <v>1</v>
      </c>
      <c r="W29" s="1143" t="b">
        <f>ISBLANK(H29)</f>
        <v>1</v>
      </c>
      <c r="X29" s="1142" t="b">
        <f t="shared" si="7"/>
        <v>1</v>
      </c>
      <c r="Y29" s="1142">
        <f>COUNTIF(Z29:AC29,FALSE)</f>
        <v>0</v>
      </c>
      <c r="Z29" s="1143" t="b">
        <f>ISBLANK(J29)</f>
        <v>1</v>
      </c>
      <c r="AA29" s="1143" t="b">
        <f>ISBLANK(L29)</f>
        <v>1</v>
      </c>
      <c r="AB29" s="1143" t="b">
        <f>ISBLANK(N29)</f>
        <v>1</v>
      </c>
      <c r="AC29" s="1143" t="b">
        <f>ISBLANK(P29)</f>
        <v>1</v>
      </c>
      <c r="AD29" s="1144" t="b">
        <f>IF(ISBLANK(F29),TRUE,VALUE(LEFT(F29,4))=4381)</f>
        <v>1</v>
      </c>
      <c r="AE29" s="1144" t="b">
        <f>IF(ISBLANK(N29),TRUE,VALUE(LEFT(N29,4))=5381)</f>
        <v>1</v>
      </c>
    </row>
    <row r="30" spans="2:31" s="1153" customFormat="1" ht="15" customHeight="1" x14ac:dyDescent="0.2">
      <c r="B30" s="1174"/>
      <c r="C30" s="1175"/>
      <c r="D30" s="1176"/>
      <c r="E30" s="1175"/>
      <c r="F30" s="1176"/>
      <c r="G30" s="1171"/>
      <c r="H30" s="1177"/>
      <c r="I30" s="1163"/>
      <c r="J30" s="1178"/>
      <c r="K30" s="1175"/>
      <c r="L30" s="1176"/>
      <c r="M30" s="1175"/>
      <c r="N30" s="1176"/>
      <c r="O30" s="1163"/>
      <c r="P30" s="1177"/>
      <c r="Q30" s="313" t="str">
        <f>IF(AND(R30,X30,AD30,AE30),"","*")</f>
        <v/>
      </c>
      <c r="R30" s="1142" t="b">
        <f t="shared" si="1"/>
        <v>1</v>
      </c>
      <c r="S30" s="1142">
        <f>COUNTIF(T30:W30,FALSE)</f>
        <v>0</v>
      </c>
      <c r="T30" s="1143" t="b">
        <f>ISBLANK(B30)</f>
        <v>1</v>
      </c>
      <c r="U30" s="1143" t="b">
        <f>ISBLANK(D30)</f>
        <v>1</v>
      </c>
      <c r="V30" s="1143" t="b">
        <f>ISBLANK(F30)</f>
        <v>1</v>
      </c>
      <c r="W30" s="1143" t="b">
        <f>ISBLANK(H30)</f>
        <v>1</v>
      </c>
      <c r="X30" s="1142" t="b">
        <f t="shared" si="7"/>
        <v>1</v>
      </c>
      <c r="Y30" s="1142">
        <f>COUNTIF(Z30:AC30,FALSE)</f>
        <v>0</v>
      </c>
      <c r="Z30" s="1143" t="b">
        <f>ISBLANK(J30)</f>
        <v>1</v>
      </c>
      <c r="AA30" s="1143" t="b">
        <f>ISBLANK(L30)</f>
        <v>1</v>
      </c>
      <c r="AB30" s="1143" t="b">
        <f>ISBLANK(N30)</f>
        <v>1</v>
      </c>
      <c r="AC30" s="1143" t="b">
        <f>ISBLANK(P30)</f>
        <v>1</v>
      </c>
      <c r="AD30" s="1144" t="b">
        <f>IF(ISBLANK(F30),TRUE,VALUE(LEFT(F30,4))=4381)</f>
        <v>1</v>
      </c>
      <c r="AE30" s="1144" t="b">
        <f>IF(ISBLANK(N30),TRUE,VALUE(LEFT(N30,4))=5381)</f>
        <v>1</v>
      </c>
    </row>
    <row r="31" spans="2:31" s="1153" customFormat="1" ht="15" customHeight="1" x14ac:dyDescent="0.2">
      <c r="B31" s="1174"/>
      <c r="C31" s="1175"/>
      <c r="D31" s="1176"/>
      <c r="E31" s="1175"/>
      <c r="F31" s="1176"/>
      <c r="G31" s="1171"/>
      <c r="H31" s="1177"/>
      <c r="I31" s="1163"/>
      <c r="J31" s="1178"/>
      <c r="K31" s="1175"/>
      <c r="L31" s="1176"/>
      <c r="M31" s="1175"/>
      <c r="N31" s="1176"/>
      <c r="O31" s="1163"/>
      <c r="P31" s="1177"/>
      <c r="Q31" s="313" t="str">
        <f>IF(AND(R31,X31,AD31,AE31),"","*")</f>
        <v/>
      </c>
      <c r="R31" s="1142" t="b">
        <f t="shared" si="1"/>
        <v>1</v>
      </c>
      <c r="S31" s="1142">
        <f>COUNTIF(T31:W31,FALSE)</f>
        <v>0</v>
      </c>
      <c r="T31" s="1143" t="b">
        <f>ISBLANK(B31)</f>
        <v>1</v>
      </c>
      <c r="U31" s="1143" t="b">
        <f>ISBLANK(D31)</f>
        <v>1</v>
      </c>
      <c r="V31" s="1143" t="b">
        <f>ISBLANK(F31)</f>
        <v>1</v>
      </c>
      <c r="W31" s="1143" t="b">
        <f>ISBLANK(H31)</f>
        <v>1</v>
      </c>
      <c r="X31" s="1142" t="b">
        <f t="shared" si="7"/>
        <v>1</v>
      </c>
      <c r="Y31" s="1142">
        <f>COUNTIF(Z31:AC31,FALSE)</f>
        <v>0</v>
      </c>
      <c r="Z31" s="1143" t="b">
        <f>ISBLANK(J31)</f>
        <v>1</v>
      </c>
      <c r="AA31" s="1143" t="b">
        <f>ISBLANK(L31)</f>
        <v>1</v>
      </c>
      <c r="AB31" s="1143" t="b">
        <f>ISBLANK(N31)</f>
        <v>1</v>
      </c>
      <c r="AC31" s="1143" t="b">
        <f>ISBLANK(P31)</f>
        <v>1</v>
      </c>
      <c r="AD31" s="1144" t="b">
        <f>IF(ISBLANK(F31),TRUE,VALUE(LEFT(F31,4))=4381)</f>
        <v>1</v>
      </c>
      <c r="AE31" s="1144" t="b">
        <f>IF(ISBLANK(N31),TRUE,VALUE(LEFT(N31,4))=5381)</f>
        <v>1</v>
      </c>
    </row>
    <row r="32" spans="2:31" s="1153" customFormat="1" ht="15" customHeight="1" x14ac:dyDescent="0.2">
      <c r="B32" s="1174"/>
      <c r="C32" s="1175"/>
      <c r="D32" s="1176"/>
      <c r="E32" s="1175"/>
      <c r="F32" s="1176"/>
      <c r="G32" s="1171"/>
      <c r="H32" s="1177"/>
      <c r="I32" s="1163"/>
      <c r="J32" s="1178"/>
      <c r="K32" s="1175"/>
      <c r="L32" s="1176"/>
      <c r="M32" s="1175"/>
      <c r="N32" s="1176"/>
      <c r="O32" s="1163"/>
      <c r="P32" s="1177"/>
      <c r="Q32" s="313" t="str">
        <f>IF(AND(R32,X32,AD32,AE32),"","*")</f>
        <v/>
      </c>
      <c r="R32" s="1142" t="b">
        <f t="shared" si="1"/>
        <v>1</v>
      </c>
      <c r="S32" s="1142">
        <f>COUNTIF(T32:W32,FALSE)</f>
        <v>0</v>
      </c>
      <c r="T32" s="1143" t="b">
        <f>ISBLANK(B32)</f>
        <v>1</v>
      </c>
      <c r="U32" s="1143" t="b">
        <f>ISBLANK(D32)</f>
        <v>1</v>
      </c>
      <c r="V32" s="1143" t="b">
        <f>ISBLANK(F32)</f>
        <v>1</v>
      </c>
      <c r="W32" s="1143" t="b">
        <f>ISBLANK(H32)</f>
        <v>1</v>
      </c>
      <c r="X32" s="1142" t="b">
        <f t="shared" si="7"/>
        <v>1</v>
      </c>
      <c r="Y32" s="1142">
        <f>COUNTIF(Z32:AC32,FALSE)</f>
        <v>0</v>
      </c>
      <c r="Z32" s="1143" t="b">
        <f>ISBLANK(J32)</f>
        <v>1</v>
      </c>
      <c r="AA32" s="1143" t="b">
        <f>ISBLANK(L32)</f>
        <v>1</v>
      </c>
      <c r="AB32" s="1143" t="b">
        <f>ISBLANK(N32)</f>
        <v>1</v>
      </c>
      <c r="AC32" s="1143" t="b">
        <f>ISBLANK(P32)</f>
        <v>1</v>
      </c>
      <c r="AD32" s="1144" t="b">
        <f>IF(ISBLANK(F32),TRUE,VALUE(LEFT(F32,4))=4381)</f>
        <v>1</v>
      </c>
      <c r="AE32" s="1144" t="b">
        <f>IF(ISBLANK(N32),TRUE,VALUE(LEFT(N32,4))=5381)</f>
        <v>1</v>
      </c>
    </row>
    <row r="33" spans="2:31" s="1153" customFormat="1" ht="15" customHeight="1" thickBot="1" x14ac:dyDescent="0.25">
      <c r="B33" s="1163"/>
      <c r="C33" s="1163"/>
      <c r="D33" s="1163"/>
      <c r="E33" s="1163"/>
      <c r="F33" s="1171" t="s">
        <v>1829</v>
      </c>
      <c r="G33" s="1171"/>
      <c r="H33" s="1191">
        <f>SUM(H15:H32)</f>
        <v>0</v>
      </c>
      <c r="I33" s="1163"/>
      <c r="J33" s="1163"/>
      <c r="K33" s="1163"/>
      <c r="L33" s="1163"/>
      <c r="M33" s="1163"/>
      <c r="N33" s="1171" t="s">
        <v>1830</v>
      </c>
      <c r="O33" s="1171"/>
      <c r="P33" s="1191">
        <f>SUM(P15:P32)</f>
        <v>0</v>
      </c>
      <c r="Q33" s="1163"/>
      <c r="R33" s="1142">
        <f>COUNTIF(R14:R32,FALSE)</f>
        <v>0</v>
      </c>
      <c r="S33" s="1149"/>
      <c r="T33" s="1149"/>
      <c r="U33" s="1149"/>
      <c r="V33" s="1149"/>
      <c r="W33" s="1149"/>
      <c r="X33" s="1142">
        <f>COUNTIF(X14:X32,FALSE)</f>
        <v>0</v>
      </c>
      <c r="Y33" s="1149"/>
      <c r="Z33" s="1149"/>
      <c r="AA33" s="1149"/>
      <c r="AB33" s="1149"/>
      <c r="AC33" s="1149"/>
      <c r="AD33" s="1149">
        <f>COUNTIF(AD14:AD32,FALSE)</f>
        <v>0</v>
      </c>
      <c r="AE33" s="1149">
        <f>COUNTIF(AE14:AE32,FALSE)</f>
        <v>0</v>
      </c>
    </row>
    <row r="34" spans="2:31" s="1184" customFormat="1" ht="21.75" customHeight="1" x14ac:dyDescent="0.2">
      <c r="B34" s="1192"/>
      <c r="C34" s="1192"/>
      <c r="D34" s="1192"/>
      <c r="E34" s="1192"/>
      <c r="F34" s="2319" t="s">
        <v>50</v>
      </c>
      <c r="G34" s="2319"/>
      <c r="H34" s="1198" t="s">
        <v>1831</v>
      </c>
      <c r="I34" s="1192"/>
      <c r="J34" s="1192"/>
      <c r="K34" s="1192"/>
      <c r="L34" s="1192"/>
      <c r="M34" s="1192"/>
      <c r="N34" s="2763" t="str">
        <f>IF(P34&lt;&gt;0,"Out of Balance","")</f>
        <v/>
      </c>
      <c r="O34" s="2763"/>
      <c r="P34" s="1193">
        <f>+H33-P33</f>
        <v>0</v>
      </c>
      <c r="Q34" s="1192"/>
    </row>
    <row r="35" spans="2:31" ht="20.85" customHeight="1" x14ac:dyDescent="0.25">
      <c r="B35" s="1161"/>
      <c r="C35" s="1161"/>
      <c r="D35" s="1161"/>
      <c r="E35" s="1161"/>
      <c r="F35" s="1161"/>
      <c r="G35" s="1161"/>
      <c r="H35" s="1161"/>
      <c r="I35" s="1161"/>
      <c r="J35" s="1161"/>
      <c r="K35" s="1161"/>
      <c r="L35" s="1161"/>
      <c r="M35" s="1161"/>
      <c r="N35" s="1161"/>
      <c r="O35" s="1161"/>
      <c r="P35" s="1161"/>
      <c r="Q35" s="1161"/>
    </row>
    <row r="37" spans="2:31" x14ac:dyDescent="0.25">
      <c r="B37" s="692"/>
    </row>
    <row r="38" spans="2:31" x14ac:dyDescent="0.25">
      <c r="B38" s="692"/>
    </row>
    <row r="117" spans="1:2" x14ac:dyDescent="0.25">
      <c r="A117" s="445" t="str">
        <f ca="1">MID(CELL("filename",A4),FIND("]",CELL("filename",A4))+1,256)</f>
        <v>545</v>
      </c>
      <c r="B117" s="445" t="s">
        <v>636</v>
      </c>
    </row>
    <row r="118" spans="1:2" x14ac:dyDescent="0.25">
      <c r="A118" s="445" t="s">
        <v>380</v>
      </c>
      <c r="B118" s="445" t="str">
        <f t="shared" ref="B118:B127" ca="1" si="15">IF(ISNA(INDEX(ErrorTable,MATCH($A$117&amp;$A118&amp;FALSE,ErrorKey,0),6)),"",INDEX(ErrorTable,MATCH($A$117&amp;$A118&amp;FALSE,ErrorKey,0),6))</f>
        <v/>
      </c>
    </row>
    <row r="119" spans="1:2" x14ac:dyDescent="0.25">
      <c r="A119" s="445" t="s">
        <v>381</v>
      </c>
      <c r="B119" s="445" t="str">
        <f t="shared" ca="1" si="15"/>
        <v/>
      </c>
    </row>
    <row r="120" spans="1:2" x14ac:dyDescent="0.25">
      <c r="A120" s="445" t="s">
        <v>382</v>
      </c>
      <c r="B120" s="445" t="str">
        <f t="shared" ca="1" si="15"/>
        <v/>
      </c>
    </row>
    <row r="121" spans="1:2" x14ac:dyDescent="0.25">
      <c r="A121" s="445" t="s">
        <v>383</v>
      </c>
      <c r="B121" s="445" t="str">
        <f t="shared" ca="1" si="15"/>
        <v/>
      </c>
    </row>
    <row r="122" spans="1:2" x14ac:dyDescent="0.25">
      <c r="A122" s="445" t="s">
        <v>384</v>
      </c>
      <c r="B122" s="445" t="str">
        <f t="shared" ca="1" si="15"/>
        <v/>
      </c>
    </row>
    <row r="123" spans="1:2" x14ac:dyDescent="0.25">
      <c r="A123" s="445" t="s">
        <v>385</v>
      </c>
      <c r="B123" s="445" t="str">
        <f t="shared" ca="1" si="15"/>
        <v/>
      </c>
    </row>
    <row r="124" spans="1:2" x14ac:dyDescent="0.25">
      <c r="A124" s="445" t="s">
        <v>386</v>
      </c>
      <c r="B124" s="445" t="str">
        <f t="shared" ca="1" si="15"/>
        <v/>
      </c>
    </row>
    <row r="125" spans="1:2" x14ac:dyDescent="0.25">
      <c r="A125" s="445" t="s">
        <v>387</v>
      </c>
      <c r="B125" s="445" t="str">
        <f t="shared" ca="1" si="15"/>
        <v/>
      </c>
    </row>
    <row r="126" spans="1:2" x14ac:dyDescent="0.25">
      <c r="A126" s="445" t="s">
        <v>388</v>
      </c>
      <c r="B126" s="445" t="str">
        <f t="shared" ca="1" si="15"/>
        <v/>
      </c>
    </row>
    <row r="127" spans="1:2" x14ac:dyDescent="0.25">
      <c r="A127" s="445" t="s">
        <v>389</v>
      </c>
      <c r="B127" s="445" t="str">
        <f t="shared" ca="1" si="15"/>
        <v/>
      </c>
    </row>
  </sheetData>
  <sheetProtection algorithmName="SHA-512" hashValue="jfFHk/AZkz7P8wboflyxtIOCGnndF2/mMDVaYJrNSUDE7HDh5raqPxgs1YpE+Zc7iXJcrBG3BhSh3jfDb1jteQ==" saltValue="fGoUk4WX3RfupNSrfhIoMg==" spinCount="100000" sheet="1" objects="1" scenarios="1" autoFilter="0"/>
  <dataConsolidate link="1"/>
  <mergeCells count="14">
    <mergeCell ref="N34:O34"/>
    <mergeCell ref="B1:P1"/>
    <mergeCell ref="Q1:Q3"/>
    <mergeCell ref="B2:P2"/>
    <mergeCell ref="B3:P3"/>
    <mergeCell ref="B4:P4"/>
    <mergeCell ref="D6:H6"/>
    <mergeCell ref="J6:L6"/>
    <mergeCell ref="M6:P6"/>
    <mergeCell ref="D7:H7"/>
    <mergeCell ref="J7:L7"/>
    <mergeCell ref="M7:P7"/>
    <mergeCell ref="B10:H10"/>
    <mergeCell ref="J10:P10"/>
  </mergeCells>
  <conditionalFormatting sqref="Q1:Q4">
    <cfRule type="cellIs" dxfId="62" priority="2" stopIfTrue="1" operator="equal">
      <formula>"na"</formula>
    </cfRule>
  </conditionalFormatting>
  <conditionalFormatting sqref="AF1:AF3">
    <cfRule type="cellIs" dxfId="61" priority="1" stopIfTrue="1" operator="equal">
      <formula>"na"</formula>
    </cfRule>
  </conditionalFormatting>
  <dataValidations count="3">
    <dataValidation type="textLength" operator="equal" allowBlank="1" showInputMessage="1" showErrorMessage="1" errorTitle="Invalid data!" error="Company number must be 4 digits." sqref="IX14:IX32 ST14:ST32 ACP14:ACP32 AML14:AML32 AWH14:AWH32 BGD14:BGD32 BPZ14:BPZ32 BZV14:BZV32 CJR14:CJR32 CTN14:CTN32 DDJ14:DDJ32 DNF14:DNF32 DXB14:DXB32 EGX14:EGX32 EQT14:EQT32 FAP14:FAP32 FKL14:FKL32 FUH14:FUH32 GED14:GED32 GNZ14:GNZ32 GXV14:GXV32 HHR14:HHR32 HRN14:HRN32 IBJ14:IBJ32 ILF14:ILF32 IVB14:IVB32 JEX14:JEX32 JOT14:JOT32 JYP14:JYP32 KIL14:KIL32 KSH14:KSH32 LCD14:LCD32 LLZ14:LLZ32 LVV14:LVV32 MFR14:MFR32 MPN14:MPN32 MZJ14:MZJ32 NJF14:NJF32 NTB14:NTB32 OCX14:OCX32 OMT14:OMT32 OWP14:OWP32 PGL14:PGL32 PQH14:PQH32 QAD14:QAD32 QJZ14:QJZ32 QTV14:QTV32 RDR14:RDR32 RNN14:RNN32 RXJ14:RXJ32 SHF14:SHF32 SRB14:SRB32 TAX14:TAX32 TKT14:TKT32 TUP14:TUP32 UEL14:UEL32 UOH14:UOH32 UYD14:UYD32 VHZ14:VHZ32 VRV14:VRV32 WBR14:WBR32 WLN14:WLN32 WVJ14:WVJ32 B65629:B65647 IX65629:IX65647 ST65629:ST65647 ACP65629:ACP65647 AML65629:AML65647 AWH65629:AWH65647 BGD65629:BGD65647 BPZ65629:BPZ65647 BZV65629:BZV65647 CJR65629:CJR65647 CTN65629:CTN65647 DDJ65629:DDJ65647 DNF65629:DNF65647 DXB65629:DXB65647 EGX65629:EGX65647 EQT65629:EQT65647 FAP65629:FAP65647 FKL65629:FKL65647 FUH65629:FUH65647 GED65629:GED65647 GNZ65629:GNZ65647 GXV65629:GXV65647 HHR65629:HHR65647 HRN65629:HRN65647 IBJ65629:IBJ65647 ILF65629:ILF65647 IVB65629:IVB65647 JEX65629:JEX65647 JOT65629:JOT65647 JYP65629:JYP65647 KIL65629:KIL65647 KSH65629:KSH65647 LCD65629:LCD65647 LLZ65629:LLZ65647 LVV65629:LVV65647 MFR65629:MFR65647 MPN65629:MPN65647 MZJ65629:MZJ65647 NJF65629:NJF65647 NTB65629:NTB65647 OCX65629:OCX65647 OMT65629:OMT65647 OWP65629:OWP65647 PGL65629:PGL65647 PQH65629:PQH65647 QAD65629:QAD65647 QJZ65629:QJZ65647 QTV65629:QTV65647 RDR65629:RDR65647 RNN65629:RNN65647 RXJ65629:RXJ65647 SHF65629:SHF65647 SRB65629:SRB65647 TAX65629:TAX65647 TKT65629:TKT65647 TUP65629:TUP65647 UEL65629:UEL65647 UOH65629:UOH65647 UYD65629:UYD65647 VHZ65629:VHZ65647 VRV65629:VRV65647 WBR65629:WBR65647 WLN65629:WLN65647 WVJ65629:WVJ65647 B131165:B131183 IX131165:IX131183 ST131165:ST131183 ACP131165:ACP131183 AML131165:AML131183 AWH131165:AWH131183 BGD131165:BGD131183 BPZ131165:BPZ131183 BZV131165:BZV131183 CJR131165:CJR131183 CTN131165:CTN131183 DDJ131165:DDJ131183 DNF131165:DNF131183 DXB131165:DXB131183 EGX131165:EGX131183 EQT131165:EQT131183 FAP131165:FAP131183 FKL131165:FKL131183 FUH131165:FUH131183 GED131165:GED131183 GNZ131165:GNZ131183 GXV131165:GXV131183 HHR131165:HHR131183 HRN131165:HRN131183 IBJ131165:IBJ131183 ILF131165:ILF131183 IVB131165:IVB131183 JEX131165:JEX131183 JOT131165:JOT131183 JYP131165:JYP131183 KIL131165:KIL131183 KSH131165:KSH131183 LCD131165:LCD131183 LLZ131165:LLZ131183 LVV131165:LVV131183 MFR131165:MFR131183 MPN131165:MPN131183 MZJ131165:MZJ131183 NJF131165:NJF131183 NTB131165:NTB131183 OCX131165:OCX131183 OMT131165:OMT131183 OWP131165:OWP131183 PGL131165:PGL131183 PQH131165:PQH131183 QAD131165:QAD131183 QJZ131165:QJZ131183 QTV131165:QTV131183 RDR131165:RDR131183 RNN131165:RNN131183 RXJ131165:RXJ131183 SHF131165:SHF131183 SRB131165:SRB131183 TAX131165:TAX131183 TKT131165:TKT131183 TUP131165:TUP131183 UEL131165:UEL131183 UOH131165:UOH131183 UYD131165:UYD131183 VHZ131165:VHZ131183 VRV131165:VRV131183 WBR131165:WBR131183 WLN131165:WLN131183 WVJ131165:WVJ131183 B196701:B196719 IX196701:IX196719 ST196701:ST196719 ACP196701:ACP196719 AML196701:AML196719 AWH196701:AWH196719 BGD196701:BGD196719 BPZ196701:BPZ196719 BZV196701:BZV196719 CJR196701:CJR196719 CTN196701:CTN196719 DDJ196701:DDJ196719 DNF196701:DNF196719 DXB196701:DXB196719 EGX196701:EGX196719 EQT196701:EQT196719 FAP196701:FAP196719 FKL196701:FKL196719 FUH196701:FUH196719 GED196701:GED196719 GNZ196701:GNZ196719 GXV196701:GXV196719 HHR196701:HHR196719 HRN196701:HRN196719 IBJ196701:IBJ196719 ILF196701:ILF196719 IVB196701:IVB196719 JEX196701:JEX196719 JOT196701:JOT196719 JYP196701:JYP196719 KIL196701:KIL196719 KSH196701:KSH196719 LCD196701:LCD196719 LLZ196701:LLZ196719 LVV196701:LVV196719 MFR196701:MFR196719 MPN196701:MPN196719 MZJ196701:MZJ196719 NJF196701:NJF196719 NTB196701:NTB196719 OCX196701:OCX196719 OMT196701:OMT196719 OWP196701:OWP196719 PGL196701:PGL196719 PQH196701:PQH196719 QAD196701:QAD196719 QJZ196701:QJZ196719 QTV196701:QTV196719 RDR196701:RDR196719 RNN196701:RNN196719 RXJ196701:RXJ196719 SHF196701:SHF196719 SRB196701:SRB196719 TAX196701:TAX196719 TKT196701:TKT196719 TUP196701:TUP196719 UEL196701:UEL196719 UOH196701:UOH196719 UYD196701:UYD196719 VHZ196701:VHZ196719 VRV196701:VRV196719 WBR196701:WBR196719 WLN196701:WLN196719 WVJ196701:WVJ196719 B262237:B262255 IX262237:IX262255 ST262237:ST262255 ACP262237:ACP262255 AML262237:AML262255 AWH262237:AWH262255 BGD262237:BGD262255 BPZ262237:BPZ262255 BZV262237:BZV262255 CJR262237:CJR262255 CTN262237:CTN262255 DDJ262237:DDJ262255 DNF262237:DNF262255 DXB262237:DXB262255 EGX262237:EGX262255 EQT262237:EQT262255 FAP262237:FAP262255 FKL262237:FKL262255 FUH262237:FUH262255 GED262237:GED262255 GNZ262237:GNZ262255 GXV262237:GXV262255 HHR262237:HHR262255 HRN262237:HRN262255 IBJ262237:IBJ262255 ILF262237:ILF262255 IVB262237:IVB262255 JEX262237:JEX262255 JOT262237:JOT262255 JYP262237:JYP262255 KIL262237:KIL262255 KSH262237:KSH262255 LCD262237:LCD262255 LLZ262237:LLZ262255 LVV262237:LVV262255 MFR262237:MFR262255 MPN262237:MPN262255 MZJ262237:MZJ262255 NJF262237:NJF262255 NTB262237:NTB262255 OCX262237:OCX262255 OMT262237:OMT262255 OWP262237:OWP262255 PGL262237:PGL262255 PQH262237:PQH262255 QAD262237:QAD262255 QJZ262237:QJZ262255 QTV262237:QTV262255 RDR262237:RDR262255 RNN262237:RNN262255 RXJ262237:RXJ262255 SHF262237:SHF262255 SRB262237:SRB262255 TAX262237:TAX262255 TKT262237:TKT262255 TUP262237:TUP262255 UEL262237:UEL262255 UOH262237:UOH262255 UYD262237:UYD262255 VHZ262237:VHZ262255 VRV262237:VRV262255 WBR262237:WBR262255 WLN262237:WLN262255 WVJ262237:WVJ262255 B327773:B327791 IX327773:IX327791 ST327773:ST327791 ACP327773:ACP327791 AML327773:AML327791 AWH327773:AWH327791 BGD327773:BGD327791 BPZ327773:BPZ327791 BZV327773:BZV327791 CJR327773:CJR327791 CTN327773:CTN327791 DDJ327773:DDJ327791 DNF327773:DNF327791 DXB327773:DXB327791 EGX327773:EGX327791 EQT327773:EQT327791 FAP327773:FAP327791 FKL327773:FKL327791 FUH327773:FUH327791 GED327773:GED327791 GNZ327773:GNZ327791 GXV327773:GXV327791 HHR327773:HHR327791 HRN327773:HRN327791 IBJ327773:IBJ327791 ILF327773:ILF327791 IVB327773:IVB327791 JEX327773:JEX327791 JOT327773:JOT327791 JYP327773:JYP327791 KIL327773:KIL327791 KSH327773:KSH327791 LCD327773:LCD327791 LLZ327773:LLZ327791 LVV327773:LVV327791 MFR327773:MFR327791 MPN327773:MPN327791 MZJ327773:MZJ327791 NJF327773:NJF327791 NTB327773:NTB327791 OCX327773:OCX327791 OMT327773:OMT327791 OWP327773:OWP327791 PGL327773:PGL327791 PQH327773:PQH327791 QAD327773:QAD327791 QJZ327773:QJZ327791 QTV327773:QTV327791 RDR327773:RDR327791 RNN327773:RNN327791 RXJ327773:RXJ327791 SHF327773:SHF327791 SRB327773:SRB327791 TAX327773:TAX327791 TKT327773:TKT327791 TUP327773:TUP327791 UEL327773:UEL327791 UOH327773:UOH327791 UYD327773:UYD327791 VHZ327773:VHZ327791 VRV327773:VRV327791 WBR327773:WBR327791 WLN327773:WLN327791 WVJ327773:WVJ327791 B393309:B393327 IX393309:IX393327 ST393309:ST393327 ACP393309:ACP393327 AML393309:AML393327 AWH393309:AWH393327 BGD393309:BGD393327 BPZ393309:BPZ393327 BZV393309:BZV393327 CJR393309:CJR393327 CTN393309:CTN393327 DDJ393309:DDJ393327 DNF393309:DNF393327 DXB393309:DXB393327 EGX393309:EGX393327 EQT393309:EQT393327 FAP393309:FAP393327 FKL393309:FKL393327 FUH393309:FUH393327 GED393309:GED393327 GNZ393309:GNZ393327 GXV393309:GXV393327 HHR393309:HHR393327 HRN393309:HRN393327 IBJ393309:IBJ393327 ILF393309:ILF393327 IVB393309:IVB393327 JEX393309:JEX393327 JOT393309:JOT393327 JYP393309:JYP393327 KIL393309:KIL393327 KSH393309:KSH393327 LCD393309:LCD393327 LLZ393309:LLZ393327 LVV393309:LVV393327 MFR393309:MFR393327 MPN393309:MPN393327 MZJ393309:MZJ393327 NJF393309:NJF393327 NTB393309:NTB393327 OCX393309:OCX393327 OMT393309:OMT393327 OWP393309:OWP393327 PGL393309:PGL393327 PQH393309:PQH393327 QAD393309:QAD393327 QJZ393309:QJZ393327 QTV393309:QTV393327 RDR393309:RDR393327 RNN393309:RNN393327 RXJ393309:RXJ393327 SHF393309:SHF393327 SRB393309:SRB393327 TAX393309:TAX393327 TKT393309:TKT393327 TUP393309:TUP393327 UEL393309:UEL393327 UOH393309:UOH393327 UYD393309:UYD393327 VHZ393309:VHZ393327 VRV393309:VRV393327 WBR393309:WBR393327 WLN393309:WLN393327 WVJ393309:WVJ393327 B458845:B458863 IX458845:IX458863 ST458845:ST458863 ACP458845:ACP458863 AML458845:AML458863 AWH458845:AWH458863 BGD458845:BGD458863 BPZ458845:BPZ458863 BZV458845:BZV458863 CJR458845:CJR458863 CTN458845:CTN458863 DDJ458845:DDJ458863 DNF458845:DNF458863 DXB458845:DXB458863 EGX458845:EGX458863 EQT458845:EQT458863 FAP458845:FAP458863 FKL458845:FKL458863 FUH458845:FUH458863 GED458845:GED458863 GNZ458845:GNZ458863 GXV458845:GXV458863 HHR458845:HHR458863 HRN458845:HRN458863 IBJ458845:IBJ458863 ILF458845:ILF458863 IVB458845:IVB458863 JEX458845:JEX458863 JOT458845:JOT458863 JYP458845:JYP458863 KIL458845:KIL458863 KSH458845:KSH458863 LCD458845:LCD458863 LLZ458845:LLZ458863 LVV458845:LVV458863 MFR458845:MFR458863 MPN458845:MPN458863 MZJ458845:MZJ458863 NJF458845:NJF458863 NTB458845:NTB458863 OCX458845:OCX458863 OMT458845:OMT458863 OWP458845:OWP458863 PGL458845:PGL458863 PQH458845:PQH458863 QAD458845:QAD458863 QJZ458845:QJZ458863 QTV458845:QTV458863 RDR458845:RDR458863 RNN458845:RNN458863 RXJ458845:RXJ458863 SHF458845:SHF458863 SRB458845:SRB458863 TAX458845:TAX458863 TKT458845:TKT458863 TUP458845:TUP458863 UEL458845:UEL458863 UOH458845:UOH458863 UYD458845:UYD458863 VHZ458845:VHZ458863 VRV458845:VRV458863 WBR458845:WBR458863 WLN458845:WLN458863 WVJ458845:WVJ458863 B524381:B524399 IX524381:IX524399 ST524381:ST524399 ACP524381:ACP524399 AML524381:AML524399 AWH524381:AWH524399 BGD524381:BGD524399 BPZ524381:BPZ524399 BZV524381:BZV524399 CJR524381:CJR524399 CTN524381:CTN524399 DDJ524381:DDJ524399 DNF524381:DNF524399 DXB524381:DXB524399 EGX524381:EGX524399 EQT524381:EQT524399 FAP524381:FAP524399 FKL524381:FKL524399 FUH524381:FUH524399 GED524381:GED524399 GNZ524381:GNZ524399 GXV524381:GXV524399 HHR524381:HHR524399 HRN524381:HRN524399 IBJ524381:IBJ524399 ILF524381:ILF524399 IVB524381:IVB524399 JEX524381:JEX524399 JOT524381:JOT524399 JYP524381:JYP524399 KIL524381:KIL524399 KSH524381:KSH524399 LCD524381:LCD524399 LLZ524381:LLZ524399 LVV524381:LVV524399 MFR524381:MFR524399 MPN524381:MPN524399 MZJ524381:MZJ524399 NJF524381:NJF524399 NTB524381:NTB524399 OCX524381:OCX524399 OMT524381:OMT524399 OWP524381:OWP524399 PGL524381:PGL524399 PQH524381:PQH524399 QAD524381:QAD524399 QJZ524381:QJZ524399 QTV524381:QTV524399 RDR524381:RDR524399 RNN524381:RNN524399 RXJ524381:RXJ524399 SHF524381:SHF524399 SRB524381:SRB524399 TAX524381:TAX524399 TKT524381:TKT524399 TUP524381:TUP524399 UEL524381:UEL524399 UOH524381:UOH524399 UYD524381:UYD524399 VHZ524381:VHZ524399 VRV524381:VRV524399 WBR524381:WBR524399 WLN524381:WLN524399 WVJ524381:WVJ524399 B589917:B589935 IX589917:IX589935 ST589917:ST589935 ACP589917:ACP589935 AML589917:AML589935 AWH589917:AWH589935 BGD589917:BGD589935 BPZ589917:BPZ589935 BZV589917:BZV589935 CJR589917:CJR589935 CTN589917:CTN589935 DDJ589917:DDJ589935 DNF589917:DNF589935 DXB589917:DXB589935 EGX589917:EGX589935 EQT589917:EQT589935 FAP589917:FAP589935 FKL589917:FKL589935 FUH589917:FUH589935 GED589917:GED589935 GNZ589917:GNZ589935 GXV589917:GXV589935 HHR589917:HHR589935 HRN589917:HRN589935 IBJ589917:IBJ589935 ILF589917:ILF589935 IVB589917:IVB589935 JEX589917:JEX589935 JOT589917:JOT589935 JYP589917:JYP589935 KIL589917:KIL589935 KSH589917:KSH589935 LCD589917:LCD589935 LLZ589917:LLZ589935 LVV589917:LVV589935 MFR589917:MFR589935 MPN589917:MPN589935 MZJ589917:MZJ589935 NJF589917:NJF589935 NTB589917:NTB589935 OCX589917:OCX589935 OMT589917:OMT589935 OWP589917:OWP589935 PGL589917:PGL589935 PQH589917:PQH589935 QAD589917:QAD589935 QJZ589917:QJZ589935 QTV589917:QTV589935 RDR589917:RDR589935 RNN589917:RNN589935 RXJ589917:RXJ589935 SHF589917:SHF589935 SRB589917:SRB589935 TAX589917:TAX589935 TKT589917:TKT589935 TUP589917:TUP589935 UEL589917:UEL589935 UOH589917:UOH589935 UYD589917:UYD589935 VHZ589917:VHZ589935 VRV589917:VRV589935 WBR589917:WBR589935 WLN589917:WLN589935 WVJ589917:WVJ589935 B655453:B655471 IX655453:IX655471 ST655453:ST655471 ACP655453:ACP655471 AML655453:AML655471 AWH655453:AWH655471 BGD655453:BGD655471 BPZ655453:BPZ655471 BZV655453:BZV655471 CJR655453:CJR655471 CTN655453:CTN655471 DDJ655453:DDJ655471 DNF655453:DNF655471 DXB655453:DXB655471 EGX655453:EGX655471 EQT655453:EQT655471 FAP655453:FAP655471 FKL655453:FKL655471 FUH655453:FUH655471 GED655453:GED655471 GNZ655453:GNZ655471 GXV655453:GXV655471 HHR655453:HHR655471 HRN655453:HRN655471 IBJ655453:IBJ655471 ILF655453:ILF655471 IVB655453:IVB655471 JEX655453:JEX655471 JOT655453:JOT655471 JYP655453:JYP655471 KIL655453:KIL655471 KSH655453:KSH655471 LCD655453:LCD655471 LLZ655453:LLZ655471 LVV655453:LVV655471 MFR655453:MFR655471 MPN655453:MPN655471 MZJ655453:MZJ655471 NJF655453:NJF655471 NTB655453:NTB655471 OCX655453:OCX655471 OMT655453:OMT655471 OWP655453:OWP655471 PGL655453:PGL655471 PQH655453:PQH655471 QAD655453:QAD655471 QJZ655453:QJZ655471 QTV655453:QTV655471 RDR655453:RDR655471 RNN655453:RNN655471 RXJ655453:RXJ655471 SHF655453:SHF655471 SRB655453:SRB655471 TAX655453:TAX655471 TKT655453:TKT655471 TUP655453:TUP655471 UEL655453:UEL655471 UOH655453:UOH655471 UYD655453:UYD655471 VHZ655453:VHZ655471 VRV655453:VRV655471 WBR655453:WBR655471 WLN655453:WLN655471 WVJ655453:WVJ655471 B720989:B721007 IX720989:IX721007 ST720989:ST721007 ACP720989:ACP721007 AML720989:AML721007 AWH720989:AWH721007 BGD720989:BGD721007 BPZ720989:BPZ721007 BZV720989:BZV721007 CJR720989:CJR721007 CTN720989:CTN721007 DDJ720989:DDJ721007 DNF720989:DNF721007 DXB720989:DXB721007 EGX720989:EGX721007 EQT720989:EQT721007 FAP720989:FAP721007 FKL720989:FKL721007 FUH720989:FUH721007 GED720989:GED721007 GNZ720989:GNZ721007 GXV720989:GXV721007 HHR720989:HHR721007 HRN720989:HRN721007 IBJ720989:IBJ721007 ILF720989:ILF721007 IVB720989:IVB721007 JEX720989:JEX721007 JOT720989:JOT721007 JYP720989:JYP721007 KIL720989:KIL721007 KSH720989:KSH721007 LCD720989:LCD721007 LLZ720989:LLZ721007 LVV720989:LVV721007 MFR720989:MFR721007 MPN720989:MPN721007 MZJ720989:MZJ721007 NJF720989:NJF721007 NTB720989:NTB721007 OCX720989:OCX721007 OMT720989:OMT721007 OWP720989:OWP721007 PGL720989:PGL721007 PQH720989:PQH721007 QAD720989:QAD721007 QJZ720989:QJZ721007 QTV720989:QTV721007 RDR720989:RDR721007 RNN720989:RNN721007 RXJ720989:RXJ721007 SHF720989:SHF721007 SRB720989:SRB721007 TAX720989:TAX721007 TKT720989:TKT721007 TUP720989:TUP721007 UEL720989:UEL721007 UOH720989:UOH721007 UYD720989:UYD721007 VHZ720989:VHZ721007 VRV720989:VRV721007 WBR720989:WBR721007 WLN720989:WLN721007 WVJ720989:WVJ721007 B786525:B786543 IX786525:IX786543 ST786525:ST786543 ACP786525:ACP786543 AML786525:AML786543 AWH786525:AWH786543 BGD786525:BGD786543 BPZ786525:BPZ786543 BZV786525:BZV786543 CJR786525:CJR786543 CTN786525:CTN786543 DDJ786525:DDJ786543 DNF786525:DNF786543 DXB786525:DXB786543 EGX786525:EGX786543 EQT786525:EQT786543 FAP786525:FAP786543 FKL786525:FKL786543 FUH786525:FUH786543 GED786525:GED786543 GNZ786525:GNZ786543 GXV786525:GXV786543 HHR786525:HHR786543 HRN786525:HRN786543 IBJ786525:IBJ786543 ILF786525:ILF786543 IVB786525:IVB786543 JEX786525:JEX786543 JOT786525:JOT786543 JYP786525:JYP786543 KIL786525:KIL786543 KSH786525:KSH786543 LCD786525:LCD786543 LLZ786525:LLZ786543 LVV786525:LVV786543 MFR786525:MFR786543 MPN786525:MPN786543 MZJ786525:MZJ786543 NJF786525:NJF786543 NTB786525:NTB786543 OCX786525:OCX786543 OMT786525:OMT786543 OWP786525:OWP786543 PGL786525:PGL786543 PQH786525:PQH786543 QAD786525:QAD786543 QJZ786525:QJZ786543 QTV786525:QTV786543 RDR786525:RDR786543 RNN786525:RNN786543 RXJ786525:RXJ786543 SHF786525:SHF786543 SRB786525:SRB786543 TAX786525:TAX786543 TKT786525:TKT786543 TUP786525:TUP786543 UEL786525:UEL786543 UOH786525:UOH786543 UYD786525:UYD786543 VHZ786525:VHZ786543 VRV786525:VRV786543 WBR786525:WBR786543 WLN786525:WLN786543 WVJ786525:WVJ786543 B852061:B852079 IX852061:IX852079 ST852061:ST852079 ACP852061:ACP852079 AML852061:AML852079 AWH852061:AWH852079 BGD852061:BGD852079 BPZ852061:BPZ852079 BZV852061:BZV852079 CJR852061:CJR852079 CTN852061:CTN852079 DDJ852061:DDJ852079 DNF852061:DNF852079 DXB852061:DXB852079 EGX852061:EGX852079 EQT852061:EQT852079 FAP852061:FAP852079 FKL852061:FKL852079 FUH852061:FUH852079 GED852061:GED852079 GNZ852061:GNZ852079 GXV852061:GXV852079 HHR852061:HHR852079 HRN852061:HRN852079 IBJ852061:IBJ852079 ILF852061:ILF852079 IVB852061:IVB852079 JEX852061:JEX852079 JOT852061:JOT852079 JYP852061:JYP852079 KIL852061:KIL852079 KSH852061:KSH852079 LCD852061:LCD852079 LLZ852061:LLZ852079 LVV852061:LVV852079 MFR852061:MFR852079 MPN852061:MPN852079 MZJ852061:MZJ852079 NJF852061:NJF852079 NTB852061:NTB852079 OCX852061:OCX852079 OMT852061:OMT852079 OWP852061:OWP852079 PGL852061:PGL852079 PQH852061:PQH852079 QAD852061:QAD852079 QJZ852061:QJZ852079 QTV852061:QTV852079 RDR852061:RDR852079 RNN852061:RNN852079 RXJ852061:RXJ852079 SHF852061:SHF852079 SRB852061:SRB852079 TAX852061:TAX852079 TKT852061:TKT852079 TUP852061:TUP852079 UEL852061:UEL852079 UOH852061:UOH852079 UYD852061:UYD852079 VHZ852061:VHZ852079 VRV852061:VRV852079 WBR852061:WBR852079 WLN852061:WLN852079 WVJ852061:WVJ852079 B917597:B917615 IX917597:IX917615 ST917597:ST917615 ACP917597:ACP917615 AML917597:AML917615 AWH917597:AWH917615 BGD917597:BGD917615 BPZ917597:BPZ917615 BZV917597:BZV917615 CJR917597:CJR917615 CTN917597:CTN917615 DDJ917597:DDJ917615 DNF917597:DNF917615 DXB917597:DXB917615 EGX917597:EGX917615 EQT917597:EQT917615 FAP917597:FAP917615 FKL917597:FKL917615 FUH917597:FUH917615 GED917597:GED917615 GNZ917597:GNZ917615 GXV917597:GXV917615 HHR917597:HHR917615 HRN917597:HRN917615 IBJ917597:IBJ917615 ILF917597:ILF917615 IVB917597:IVB917615 JEX917597:JEX917615 JOT917597:JOT917615 JYP917597:JYP917615 KIL917597:KIL917615 KSH917597:KSH917615 LCD917597:LCD917615 LLZ917597:LLZ917615 LVV917597:LVV917615 MFR917597:MFR917615 MPN917597:MPN917615 MZJ917597:MZJ917615 NJF917597:NJF917615 NTB917597:NTB917615 OCX917597:OCX917615 OMT917597:OMT917615 OWP917597:OWP917615 PGL917597:PGL917615 PQH917597:PQH917615 QAD917597:QAD917615 QJZ917597:QJZ917615 QTV917597:QTV917615 RDR917597:RDR917615 RNN917597:RNN917615 RXJ917597:RXJ917615 SHF917597:SHF917615 SRB917597:SRB917615 TAX917597:TAX917615 TKT917597:TKT917615 TUP917597:TUP917615 UEL917597:UEL917615 UOH917597:UOH917615 UYD917597:UYD917615 VHZ917597:VHZ917615 VRV917597:VRV917615 WBR917597:WBR917615 WLN917597:WLN917615 WVJ917597:WVJ917615 B983133:B983151 IX983133:IX983151 ST983133:ST983151 ACP983133:ACP983151 AML983133:AML983151 AWH983133:AWH983151 BGD983133:BGD983151 BPZ983133:BPZ983151 BZV983133:BZV983151 CJR983133:CJR983151 CTN983133:CTN983151 DDJ983133:DDJ983151 DNF983133:DNF983151 DXB983133:DXB983151 EGX983133:EGX983151 EQT983133:EQT983151 FAP983133:FAP983151 FKL983133:FKL983151 FUH983133:FUH983151 GED983133:GED983151 GNZ983133:GNZ983151 GXV983133:GXV983151 HHR983133:HHR983151 HRN983133:HRN983151 IBJ983133:IBJ983151 ILF983133:ILF983151 IVB983133:IVB983151 JEX983133:JEX983151 JOT983133:JOT983151 JYP983133:JYP983151 KIL983133:KIL983151 KSH983133:KSH983151 LCD983133:LCD983151 LLZ983133:LLZ983151 LVV983133:LVV983151 MFR983133:MFR983151 MPN983133:MPN983151 MZJ983133:MZJ983151 NJF983133:NJF983151 NTB983133:NTB983151 OCX983133:OCX983151 OMT983133:OMT983151 OWP983133:OWP983151 PGL983133:PGL983151 PQH983133:PQH983151 QAD983133:QAD983151 QJZ983133:QJZ983151 QTV983133:QTV983151 RDR983133:RDR983151 RNN983133:RNN983151 RXJ983133:RXJ983151 SHF983133:SHF983151 SRB983133:SRB983151 TAX983133:TAX983151 TKT983133:TKT983151 TUP983133:TUP983151 UEL983133:UEL983151 UOH983133:UOH983151 UYD983133:UYD983151 VHZ983133:VHZ983151 VRV983133:VRV983151 WBR983133:WBR983151 WLN983133:WLN983151 WVJ983133:WVJ983151 WVR983133:WVR983151 JF14:JF32 TB14:TB32 ACX14:ACX32 AMT14:AMT32 AWP14:AWP32 BGL14:BGL32 BQH14:BQH32 CAD14:CAD32 CJZ14:CJZ32 CTV14:CTV32 DDR14:DDR32 DNN14:DNN32 DXJ14:DXJ32 EHF14:EHF32 ERB14:ERB32 FAX14:FAX32 FKT14:FKT32 FUP14:FUP32 GEL14:GEL32 GOH14:GOH32 GYD14:GYD32 HHZ14:HHZ32 HRV14:HRV32 IBR14:IBR32 ILN14:ILN32 IVJ14:IVJ32 JFF14:JFF32 JPB14:JPB32 JYX14:JYX32 KIT14:KIT32 KSP14:KSP32 LCL14:LCL32 LMH14:LMH32 LWD14:LWD32 MFZ14:MFZ32 MPV14:MPV32 MZR14:MZR32 NJN14:NJN32 NTJ14:NTJ32 ODF14:ODF32 ONB14:ONB32 OWX14:OWX32 PGT14:PGT32 PQP14:PQP32 QAL14:QAL32 QKH14:QKH32 QUD14:QUD32 RDZ14:RDZ32 RNV14:RNV32 RXR14:RXR32 SHN14:SHN32 SRJ14:SRJ32 TBF14:TBF32 TLB14:TLB32 TUX14:TUX32 UET14:UET32 UOP14:UOP32 UYL14:UYL32 VIH14:VIH32 VSD14:VSD32 WBZ14:WBZ32 WLV14:WLV32 WVR14:WVR32 J65629:J65647 JF65629:JF65647 TB65629:TB65647 ACX65629:ACX65647 AMT65629:AMT65647 AWP65629:AWP65647 BGL65629:BGL65647 BQH65629:BQH65647 CAD65629:CAD65647 CJZ65629:CJZ65647 CTV65629:CTV65647 DDR65629:DDR65647 DNN65629:DNN65647 DXJ65629:DXJ65647 EHF65629:EHF65647 ERB65629:ERB65647 FAX65629:FAX65647 FKT65629:FKT65647 FUP65629:FUP65647 GEL65629:GEL65647 GOH65629:GOH65647 GYD65629:GYD65647 HHZ65629:HHZ65647 HRV65629:HRV65647 IBR65629:IBR65647 ILN65629:ILN65647 IVJ65629:IVJ65647 JFF65629:JFF65647 JPB65629:JPB65647 JYX65629:JYX65647 KIT65629:KIT65647 KSP65629:KSP65647 LCL65629:LCL65647 LMH65629:LMH65647 LWD65629:LWD65647 MFZ65629:MFZ65647 MPV65629:MPV65647 MZR65629:MZR65647 NJN65629:NJN65647 NTJ65629:NTJ65647 ODF65629:ODF65647 ONB65629:ONB65647 OWX65629:OWX65647 PGT65629:PGT65647 PQP65629:PQP65647 QAL65629:QAL65647 QKH65629:QKH65647 QUD65629:QUD65647 RDZ65629:RDZ65647 RNV65629:RNV65647 RXR65629:RXR65647 SHN65629:SHN65647 SRJ65629:SRJ65647 TBF65629:TBF65647 TLB65629:TLB65647 TUX65629:TUX65647 UET65629:UET65647 UOP65629:UOP65647 UYL65629:UYL65647 VIH65629:VIH65647 VSD65629:VSD65647 WBZ65629:WBZ65647 WLV65629:WLV65647 WVR65629:WVR65647 J131165:J131183 JF131165:JF131183 TB131165:TB131183 ACX131165:ACX131183 AMT131165:AMT131183 AWP131165:AWP131183 BGL131165:BGL131183 BQH131165:BQH131183 CAD131165:CAD131183 CJZ131165:CJZ131183 CTV131165:CTV131183 DDR131165:DDR131183 DNN131165:DNN131183 DXJ131165:DXJ131183 EHF131165:EHF131183 ERB131165:ERB131183 FAX131165:FAX131183 FKT131165:FKT131183 FUP131165:FUP131183 GEL131165:GEL131183 GOH131165:GOH131183 GYD131165:GYD131183 HHZ131165:HHZ131183 HRV131165:HRV131183 IBR131165:IBR131183 ILN131165:ILN131183 IVJ131165:IVJ131183 JFF131165:JFF131183 JPB131165:JPB131183 JYX131165:JYX131183 KIT131165:KIT131183 KSP131165:KSP131183 LCL131165:LCL131183 LMH131165:LMH131183 LWD131165:LWD131183 MFZ131165:MFZ131183 MPV131165:MPV131183 MZR131165:MZR131183 NJN131165:NJN131183 NTJ131165:NTJ131183 ODF131165:ODF131183 ONB131165:ONB131183 OWX131165:OWX131183 PGT131165:PGT131183 PQP131165:PQP131183 QAL131165:QAL131183 QKH131165:QKH131183 QUD131165:QUD131183 RDZ131165:RDZ131183 RNV131165:RNV131183 RXR131165:RXR131183 SHN131165:SHN131183 SRJ131165:SRJ131183 TBF131165:TBF131183 TLB131165:TLB131183 TUX131165:TUX131183 UET131165:UET131183 UOP131165:UOP131183 UYL131165:UYL131183 VIH131165:VIH131183 VSD131165:VSD131183 WBZ131165:WBZ131183 WLV131165:WLV131183 WVR131165:WVR131183 J196701:J196719 JF196701:JF196719 TB196701:TB196719 ACX196701:ACX196719 AMT196701:AMT196719 AWP196701:AWP196719 BGL196701:BGL196719 BQH196701:BQH196719 CAD196701:CAD196719 CJZ196701:CJZ196719 CTV196701:CTV196719 DDR196701:DDR196719 DNN196701:DNN196719 DXJ196701:DXJ196719 EHF196701:EHF196719 ERB196701:ERB196719 FAX196701:FAX196719 FKT196701:FKT196719 FUP196701:FUP196719 GEL196701:GEL196719 GOH196701:GOH196719 GYD196701:GYD196719 HHZ196701:HHZ196719 HRV196701:HRV196719 IBR196701:IBR196719 ILN196701:ILN196719 IVJ196701:IVJ196719 JFF196701:JFF196719 JPB196701:JPB196719 JYX196701:JYX196719 KIT196701:KIT196719 KSP196701:KSP196719 LCL196701:LCL196719 LMH196701:LMH196719 LWD196701:LWD196719 MFZ196701:MFZ196719 MPV196701:MPV196719 MZR196701:MZR196719 NJN196701:NJN196719 NTJ196701:NTJ196719 ODF196701:ODF196719 ONB196701:ONB196719 OWX196701:OWX196719 PGT196701:PGT196719 PQP196701:PQP196719 QAL196701:QAL196719 QKH196701:QKH196719 QUD196701:QUD196719 RDZ196701:RDZ196719 RNV196701:RNV196719 RXR196701:RXR196719 SHN196701:SHN196719 SRJ196701:SRJ196719 TBF196701:TBF196719 TLB196701:TLB196719 TUX196701:TUX196719 UET196701:UET196719 UOP196701:UOP196719 UYL196701:UYL196719 VIH196701:VIH196719 VSD196701:VSD196719 WBZ196701:WBZ196719 WLV196701:WLV196719 WVR196701:WVR196719 J262237:J262255 JF262237:JF262255 TB262237:TB262255 ACX262237:ACX262255 AMT262237:AMT262255 AWP262237:AWP262255 BGL262237:BGL262255 BQH262237:BQH262255 CAD262237:CAD262255 CJZ262237:CJZ262255 CTV262237:CTV262255 DDR262237:DDR262255 DNN262237:DNN262255 DXJ262237:DXJ262255 EHF262237:EHF262255 ERB262237:ERB262255 FAX262237:FAX262255 FKT262237:FKT262255 FUP262237:FUP262255 GEL262237:GEL262255 GOH262237:GOH262255 GYD262237:GYD262255 HHZ262237:HHZ262255 HRV262237:HRV262255 IBR262237:IBR262255 ILN262237:ILN262255 IVJ262237:IVJ262255 JFF262237:JFF262255 JPB262237:JPB262255 JYX262237:JYX262255 KIT262237:KIT262255 KSP262237:KSP262255 LCL262237:LCL262255 LMH262237:LMH262255 LWD262237:LWD262255 MFZ262237:MFZ262255 MPV262237:MPV262255 MZR262237:MZR262255 NJN262237:NJN262255 NTJ262237:NTJ262255 ODF262237:ODF262255 ONB262237:ONB262255 OWX262237:OWX262255 PGT262237:PGT262255 PQP262237:PQP262255 QAL262237:QAL262255 QKH262237:QKH262255 QUD262237:QUD262255 RDZ262237:RDZ262255 RNV262237:RNV262255 RXR262237:RXR262255 SHN262237:SHN262255 SRJ262237:SRJ262255 TBF262237:TBF262255 TLB262237:TLB262255 TUX262237:TUX262255 UET262237:UET262255 UOP262237:UOP262255 UYL262237:UYL262255 VIH262237:VIH262255 VSD262237:VSD262255 WBZ262237:WBZ262255 WLV262237:WLV262255 WVR262237:WVR262255 J327773:J327791 JF327773:JF327791 TB327773:TB327791 ACX327773:ACX327791 AMT327773:AMT327791 AWP327773:AWP327791 BGL327773:BGL327791 BQH327773:BQH327791 CAD327773:CAD327791 CJZ327773:CJZ327791 CTV327773:CTV327791 DDR327773:DDR327791 DNN327773:DNN327791 DXJ327773:DXJ327791 EHF327773:EHF327791 ERB327773:ERB327791 FAX327773:FAX327791 FKT327773:FKT327791 FUP327773:FUP327791 GEL327773:GEL327791 GOH327773:GOH327791 GYD327773:GYD327791 HHZ327773:HHZ327791 HRV327773:HRV327791 IBR327773:IBR327791 ILN327773:ILN327791 IVJ327773:IVJ327791 JFF327773:JFF327791 JPB327773:JPB327791 JYX327773:JYX327791 KIT327773:KIT327791 KSP327773:KSP327791 LCL327773:LCL327791 LMH327773:LMH327791 LWD327773:LWD327791 MFZ327773:MFZ327791 MPV327773:MPV327791 MZR327773:MZR327791 NJN327773:NJN327791 NTJ327773:NTJ327791 ODF327773:ODF327791 ONB327773:ONB327791 OWX327773:OWX327791 PGT327773:PGT327791 PQP327773:PQP327791 QAL327773:QAL327791 QKH327773:QKH327791 QUD327773:QUD327791 RDZ327773:RDZ327791 RNV327773:RNV327791 RXR327773:RXR327791 SHN327773:SHN327791 SRJ327773:SRJ327791 TBF327773:TBF327791 TLB327773:TLB327791 TUX327773:TUX327791 UET327773:UET327791 UOP327773:UOP327791 UYL327773:UYL327791 VIH327773:VIH327791 VSD327773:VSD327791 WBZ327773:WBZ327791 WLV327773:WLV327791 WVR327773:WVR327791 J393309:J393327 JF393309:JF393327 TB393309:TB393327 ACX393309:ACX393327 AMT393309:AMT393327 AWP393309:AWP393327 BGL393309:BGL393327 BQH393309:BQH393327 CAD393309:CAD393327 CJZ393309:CJZ393327 CTV393309:CTV393327 DDR393309:DDR393327 DNN393309:DNN393327 DXJ393309:DXJ393327 EHF393309:EHF393327 ERB393309:ERB393327 FAX393309:FAX393327 FKT393309:FKT393327 FUP393309:FUP393327 GEL393309:GEL393327 GOH393309:GOH393327 GYD393309:GYD393327 HHZ393309:HHZ393327 HRV393309:HRV393327 IBR393309:IBR393327 ILN393309:ILN393327 IVJ393309:IVJ393327 JFF393309:JFF393327 JPB393309:JPB393327 JYX393309:JYX393327 KIT393309:KIT393327 KSP393309:KSP393327 LCL393309:LCL393327 LMH393309:LMH393327 LWD393309:LWD393327 MFZ393309:MFZ393327 MPV393309:MPV393327 MZR393309:MZR393327 NJN393309:NJN393327 NTJ393309:NTJ393327 ODF393309:ODF393327 ONB393309:ONB393327 OWX393309:OWX393327 PGT393309:PGT393327 PQP393309:PQP393327 QAL393309:QAL393327 QKH393309:QKH393327 QUD393309:QUD393327 RDZ393309:RDZ393327 RNV393309:RNV393327 RXR393309:RXR393327 SHN393309:SHN393327 SRJ393309:SRJ393327 TBF393309:TBF393327 TLB393309:TLB393327 TUX393309:TUX393327 UET393309:UET393327 UOP393309:UOP393327 UYL393309:UYL393327 VIH393309:VIH393327 VSD393309:VSD393327 WBZ393309:WBZ393327 WLV393309:WLV393327 WVR393309:WVR393327 J458845:J458863 JF458845:JF458863 TB458845:TB458863 ACX458845:ACX458863 AMT458845:AMT458863 AWP458845:AWP458863 BGL458845:BGL458863 BQH458845:BQH458863 CAD458845:CAD458863 CJZ458845:CJZ458863 CTV458845:CTV458863 DDR458845:DDR458863 DNN458845:DNN458863 DXJ458845:DXJ458863 EHF458845:EHF458863 ERB458845:ERB458863 FAX458845:FAX458863 FKT458845:FKT458863 FUP458845:FUP458863 GEL458845:GEL458863 GOH458845:GOH458863 GYD458845:GYD458863 HHZ458845:HHZ458863 HRV458845:HRV458863 IBR458845:IBR458863 ILN458845:ILN458863 IVJ458845:IVJ458863 JFF458845:JFF458863 JPB458845:JPB458863 JYX458845:JYX458863 KIT458845:KIT458863 KSP458845:KSP458863 LCL458845:LCL458863 LMH458845:LMH458863 LWD458845:LWD458863 MFZ458845:MFZ458863 MPV458845:MPV458863 MZR458845:MZR458863 NJN458845:NJN458863 NTJ458845:NTJ458863 ODF458845:ODF458863 ONB458845:ONB458863 OWX458845:OWX458863 PGT458845:PGT458863 PQP458845:PQP458863 QAL458845:QAL458863 QKH458845:QKH458863 QUD458845:QUD458863 RDZ458845:RDZ458863 RNV458845:RNV458863 RXR458845:RXR458863 SHN458845:SHN458863 SRJ458845:SRJ458863 TBF458845:TBF458863 TLB458845:TLB458863 TUX458845:TUX458863 UET458845:UET458863 UOP458845:UOP458863 UYL458845:UYL458863 VIH458845:VIH458863 VSD458845:VSD458863 WBZ458845:WBZ458863 WLV458845:WLV458863 WVR458845:WVR458863 J524381:J524399 JF524381:JF524399 TB524381:TB524399 ACX524381:ACX524399 AMT524381:AMT524399 AWP524381:AWP524399 BGL524381:BGL524399 BQH524381:BQH524399 CAD524381:CAD524399 CJZ524381:CJZ524399 CTV524381:CTV524399 DDR524381:DDR524399 DNN524381:DNN524399 DXJ524381:DXJ524399 EHF524381:EHF524399 ERB524381:ERB524399 FAX524381:FAX524399 FKT524381:FKT524399 FUP524381:FUP524399 GEL524381:GEL524399 GOH524381:GOH524399 GYD524381:GYD524399 HHZ524381:HHZ524399 HRV524381:HRV524399 IBR524381:IBR524399 ILN524381:ILN524399 IVJ524381:IVJ524399 JFF524381:JFF524399 JPB524381:JPB524399 JYX524381:JYX524399 KIT524381:KIT524399 KSP524381:KSP524399 LCL524381:LCL524399 LMH524381:LMH524399 LWD524381:LWD524399 MFZ524381:MFZ524399 MPV524381:MPV524399 MZR524381:MZR524399 NJN524381:NJN524399 NTJ524381:NTJ524399 ODF524381:ODF524399 ONB524381:ONB524399 OWX524381:OWX524399 PGT524381:PGT524399 PQP524381:PQP524399 QAL524381:QAL524399 QKH524381:QKH524399 QUD524381:QUD524399 RDZ524381:RDZ524399 RNV524381:RNV524399 RXR524381:RXR524399 SHN524381:SHN524399 SRJ524381:SRJ524399 TBF524381:TBF524399 TLB524381:TLB524399 TUX524381:TUX524399 UET524381:UET524399 UOP524381:UOP524399 UYL524381:UYL524399 VIH524381:VIH524399 VSD524381:VSD524399 WBZ524381:WBZ524399 WLV524381:WLV524399 WVR524381:WVR524399 J589917:J589935 JF589917:JF589935 TB589917:TB589935 ACX589917:ACX589935 AMT589917:AMT589935 AWP589917:AWP589935 BGL589917:BGL589935 BQH589917:BQH589935 CAD589917:CAD589935 CJZ589917:CJZ589935 CTV589917:CTV589935 DDR589917:DDR589935 DNN589917:DNN589935 DXJ589917:DXJ589935 EHF589917:EHF589935 ERB589917:ERB589935 FAX589917:FAX589935 FKT589917:FKT589935 FUP589917:FUP589935 GEL589917:GEL589935 GOH589917:GOH589935 GYD589917:GYD589935 HHZ589917:HHZ589935 HRV589917:HRV589935 IBR589917:IBR589935 ILN589917:ILN589935 IVJ589917:IVJ589935 JFF589917:JFF589935 JPB589917:JPB589935 JYX589917:JYX589935 KIT589917:KIT589935 KSP589917:KSP589935 LCL589917:LCL589935 LMH589917:LMH589935 LWD589917:LWD589935 MFZ589917:MFZ589935 MPV589917:MPV589935 MZR589917:MZR589935 NJN589917:NJN589935 NTJ589917:NTJ589935 ODF589917:ODF589935 ONB589917:ONB589935 OWX589917:OWX589935 PGT589917:PGT589935 PQP589917:PQP589935 QAL589917:QAL589935 QKH589917:QKH589935 QUD589917:QUD589935 RDZ589917:RDZ589935 RNV589917:RNV589935 RXR589917:RXR589935 SHN589917:SHN589935 SRJ589917:SRJ589935 TBF589917:TBF589935 TLB589917:TLB589935 TUX589917:TUX589935 UET589917:UET589935 UOP589917:UOP589935 UYL589917:UYL589935 VIH589917:VIH589935 VSD589917:VSD589935 WBZ589917:WBZ589935 WLV589917:WLV589935 WVR589917:WVR589935 J655453:J655471 JF655453:JF655471 TB655453:TB655471 ACX655453:ACX655471 AMT655453:AMT655471 AWP655453:AWP655471 BGL655453:BGL655471 BQH655453:BQH655471 CAD655453:CAD655471 CJZ655453:CJZ655471 CTV655453:CTV655471 DDR655453:DDR655471 DNN655453:DNN655471 DXJ655453:DXJ655471 EHF655453:EHF655471 ERB655453:ERB655471 FAX655453:FAX655471 FKT655453:FKT655471 FUP655453:FUP655471 GEL655453:GEL655471 GOH655453:GOH655471 GYD655453:GYD655471 HHZ655453:HHZ655471 HRV655453:HRV655471 IBR655453:IBR655471 ILN655453:ILN655471 IVJ655453:IVJ655471 JFF655453:JFF655471 JPB655453:JPB655471 JYX655453:JYX655471 KIT655453:KIT655471 KSP655453:KSP655471 LCL655453:LCL655471 LMH655453:LMH655471 LWD655453:LWD655471 MFZ655453:MFZ655471 MPV655453:MPV655471 MZR655453:MZR655471 NJN655453:NJN655471 NTJ655453:NTJ655471 ODF655453:ODF655471 ONB655453:ONB655471 OWX655453:OWX655471 PGT655453:PGT655471 PQP655453:PQP655471 QAL655453:QAL655471 QKH655453:QKH655471 QUD655453:QUD655471 RDZ655453:RDZ655471 RNV655453:RNV655471 RXR655453:RXR655471 SHN655453:SHN655471 SRJ655453:SRJ655471 TBF655453:TBF655471 TLB655453:TLB655471 TUX655453:TUX655471 UET655453:UET655471 UOP655453:UOP655471 UYL655453:UYL655471 VIH655453:VIH655471 VSD655453:VSD655471 WBZ655453:WBZ655471 WLV655453:WLV655471 WVR655453:WVR655471 J720989:J721007 JF720989:JF721007 TB720989:TB721007 ACX720989:ACX721007 AMT720989:AMT721007 AWP720989:AWP721007 BGL720989:BGL721007 BQH720989:BQH721007 CAD720989:CAD721007 CJZ720989:CJZ721007 CTV720989:CTV721007 DDR720989:DDR721007 DNN720989:DNN721007 DXJ720989:DXJ721007 EHF720989:EHF721007 ERB720989:ERB721007 FAX720989:FAX721007 FKT720989:FKT721007 FUP720989:FUP721007 GEL720989:GEL721007 GOH720989:GOH721007 GYD720989:GYD721007 HHZ720989:HHZ721007 HRV720989:HRV721007 IBR720989:IBR721007 ILN720989:ILN721007 IVJ720989:IVJ721007 JFF720989:JFF721007 JPB720989:JPB721007 JYX720989:JYX721007 KIT720989:KIT721007 KSP720989:KSP721007 LCL720989:LCL721007 LMH720989:LMH721007 LWD720989:LWD721007 MFZ720989:MFZ721007 MPV720989:MPV721007 MZR720989:MZR721007 NJN720989:NJN721007 NTJ720989:NTJ721007 ODF720989:ODF721007 ONB720989:ONB721007 OWX720989:OWX721007 PGT720989:PGT721007 PQP720989:PQP721007 QAL720989:QAL721007 QKH720989:QKH721007 QUD720989:QUD721007 RDZ720989:RDZ721007 RNV720989:RNV721007 RXR720989:RXR721007 SHN720989:SHN721007 SRJ720989:SRJ721007 TBF720989:TBF721007 TLB720989:TLB721007 TUX720989:TUX721007 UET720989:UET721007 UOP720989:UOP721007 UYL720989:UYL721007 VIH720989:VIH721007 VSD720989:VSD721007 WBZ720989:WBZ721007 WLV720989:WLV721007 WVR720989:WVR721007 J786525:J786543 JF786525:JF786543 TB786525:TB786543 ACX786525:ACX786543 AMT786525:AMT786543 AWP786525:AWP786543 BGL786525:BGL786543 BQH786525:BQH786543 CAD786525:CAD786543 CJZ786525:CJZ786543 CTV786525:CTV786543 DDR786525:DDR786543 DNN786525:DNN786543 DXJ786525:DXJ786543 EHF786525:EHF786543 ERB786525:ERB786543 FAX786525:FAX786543 FKT786525:FKT786543 FUP786525:FUP786543 GEL786525:GEL786543 GOH786525:GOH786543 GYD786525:GYD786543 HHZ786525:HHZ786543 HRV786525:HRV786543 IBR786525:IBR786543 ILN786525:ILN786543 IVJ786525:IVJ786543 JFF786525:JFF786543 JPB786525:JPB786543 JYX786525:JYX786543 KIT786525:KIT786543 KSP786525:KSP786543 LCL786525:LCL786543 LMH786525:LMH786543 LWD786525:LWD786543 MFZ786525:MFZ786543 MPV786525:MPV786543 MZR786525:MZR786543 NJN786525:NJN786543 NTJ786525:NTJ786543 ODF786525:ODF786543 ONB786525:ONB786543 OWX786525:OWX786543 PGT786525:PGT786543 PQP786525:PQP786543 QAL786525:QAL786543 QKH786525:QKH786543 QUD786525:QUD786543 RDZ786525:RDZ786543 RNV786525:RNV786543 RXR786525:RXR786543 SHN786525:SHN786543 SRJ786525:SRJ786543 TBF786525:TBF786543 TLB786525:TLB786543 TUX786525:TUX786543 UET786525:UET786543 UOP786525:UOP786543 UYL786525:UYL786543 VIH786525:VIH786543 VSD786525:VSD786543 WBZ786525:WBZ786543 WLV786525:WLV786543 WVR786525:WVR786543 J852061:J852079 JF852061:JF852079 TB852061:TB852079 ACX852061:ACX852079 AMT852061:AMT852079 AWP852061:AWP852079 BGL852061:BGL852079 BQH852061:BQH852079 CAD852061:CAD852079 CJZ852061:CJZ852079 CTV852061:CTV852079 DDR852061:DDR852079 DNN852061:DNN852079 DXJ852061:DXJ852079 EHF852061:EHF852079 ERB852061:ERB852079 FAX852061:FAX852079 FKT852061:FKT852079 FUP852061:FUP852079 GEL852061:GEL852079 GOH852061:GOH852079 GYD852061:GYD852079 HHZ852061:HHZ852079 HRV852061:HRV852079 IBR852061:IBR852079 ILN852061:ILN852079 IVJ852061:IVJ852079 JFF852061:JFF852079 JPB852061:JPB852079 JYX852061:JYX852079 KIT852061:KIT852079 KSP852061:KSP852079 LCL852061:LCL852079 LMH852061:LMH852079 LWD852061:LWD852079 MFZ852061:MFZ852079 MPV852061:MPV852079 MZR852061:MZR852079 NJN852061:NJN852079 NTJ852061:NTJ852079 ODF852061:ODF852079 ONB852061:ONB852079 OWX852061:OWX852079 PGT852061:PGT852079 PQP852061:PQP852079 QAL852061:QAL852079 QKH852061:QKH852079 QUD852061:QUD852079 RDZ852061:RDZ852079 RNV852061:RNV852079 RXR852061:RXR852079 SHN852061:SHN852079 SRJ852061:SRJ852079 TBF852061:TBF852079 TLB852061:TLB852079 TUX852061:TUX852079 UET852061:UET852079 UOP852061:UOP852079 UYL852061:UYL852079 VIH852061:VIH852079 VSD852061:VSD852079 WBZ852061:WBZ852079 WLV852061:WLV852079 WVR852061:WVR852079 J917597:J917615 JF917597:JF917615 TB917597:TB917615 ACX917597:ACX917615 AMT917597:AMT917615 AWP917597:AWP917615 BGL917597:BGL917615 BQH917597:BQH917615 CAD917597:CAD917615 CJZ917597:CJZ917615 CTV917597:CTV917615 DDR917597:DDR917615 DNN917597:DNN917615 DXJ917597:DXJ917615 EHF917597:EHF917615 ERB917597:ERB917615 FAX917597:FAX917615 FKT917597:FKT917615 FUP917597:FUP917615 GEL917597:GEL917615 GOH917597:GOH917615 GYD917597:GYD917615 HHZ917597:HHZ917615 HRV917597:HRV917615 IBR917597:IBR917615 ILN917597:ILN917615 IVJ917597:IVJ917615 JFF917597:JFF917615 JPB917597:JPB917615 JYX917597:JYX917615 KIT917597:KIT917615 KSP917597:KSP917615 LCL917597:LCL917615 LMH917597:LMH917615 LWD917597:LWD917615 MFZ917597:MFZ917615 MPV917597:MPV917615 MZR917597:MZR917615 NJN917597:NJN917615 NTJ917597:NTJ917615 ODF917597:ODF917615 ONB917597:ONB917615 OWX917597:OWX917615 PGT917597:PGT917615 PQP917597:PQP917615 QAL917597:QAL917615 QKH917597:QKH917615 QUD917597:QUD917615 RDZ917597:RDZ917615 RNV917597:RNV917615 RXR917597:RXR917615 SHN917597:SHN917615 SRJ917597:SRJ917615 TBF917597:TBF917615 TLB917597:TLB917615 TUX917597:TUX917615 UET917597:UET917615 UOP917597:UOP917615 UYL917597:UYL917615 VIH917597:VIH917615 VSD917597:VSD917615 WBZ917597:WBZ917615 WLV917597:WLV917615 WVR917597:WVR917615 J983133:J983151 JF983133:JF983151 TB983133:TB983151 ACX983133:ACX983151 AMT983133:AMT983151 AWP983133:AWP983151 BGL983133:BGL983151 BQH983133:BQH983151 CAD983133:CAD983151 CJZ983133:CJZ983151 CTV983133:CTV983151 DDR983133:DDR983151 DNN983133:DNN983151 DXJ983133:DXJ983151 EHF983133:EHF983151 ERB983133:ERB983151 FAX983133:FAX983151 FKT983133:FKT983151 FUP983133:FUP983151 GEL983133:GEL983151 GOH983133:GOH983151 GYD983133:GYD983151 HHZ983133:HHZ983151 HRV983133:HRV983151 IBR983133:IBR983151 ILN983133:ILN983151 IVJ983133:IVJ983151 JFF983133:JFF983151 JPB983133:JPB983151 JYX983133:JYX983151 KIT983133:KIT983151 KSP983133:KSP983151 LCL983133:LCL983151 LMH983133:LMH983151 LWD983133:LWD983151 MFZ983133:MFZ983151 MPV983133:MPV983151 MZR983133:MZR983151 NJN983133:NJN983151 NTJ983133:NTJ983151 ODF983133:ODF983151 ONB983133:ONB983151 OWX983133:OWX983151 PGT983133:PGT983151 PQP983133:PQP983151 QAL983133:QAL983151 QKH983133:QKH983151 QUD983133:QUD983151 RDZ983133:RDZ983151 RNV983133:RNV983151 RXR983133:RXR983151 SHN983133:SHN983151 SRJ983133:SRJ983151 TBF983133:TBF983151 TLB983133:TLB983151 TUX983133:TUX983151 UET983133:UET983151 UOP983133:UOP983151 UYL983133:UYL983151 VIH983133:VIH983151 VSD983133:VSD983151 WBZ983133:WBZ983151 WLV983133:WLV983151 J14:J32 B14:B32" xr:uid="{00000000-0002-0000-2F00-000000000000}">
      <formula1>4</formula1>
    </dataValidation>
    <dataValidation type="textLength" operator="equal" allowBlank="1" showInputMessage="1" showErrorMessage="1" errorTitle="Invalid data!" error="GASB number must be 4 digits." sqref="IZ14:IZ32 SV14:SV32 ACR14:ACR32 AMN14:AMN32 AWJ14:AWJ32 BGF14:BGF32 BQB14:BQB32 BZX14:BZX32 CJT14:CJT32 CTP14:CTP32 DDL14:DDL32 DNH14:DNH32 DXD14:DXD32 EGZ14:EGZ32 EQV14:EQV32 FAR14:FAR32 FKN14:FKN32 FUJ14:FUJ32 GEF14:GEF32 GOB14:GOB32 GXX14:GXX32 HHT14:HHT32 HRP14:HRP32 IBL14:IBL32 ILH14:ILH32 IVD14:IVD32 JEZ14:JEZ32 JOV14:JOV32 JYR14:JYR32 KIN14:KIN32 KSJ14:KSJ32 LCF14:LCF32 LMB14:LMB32 LVX14:LVX32 MFT14:MFT32 MPP14:MPP32 MZL14:MZL32 NJH14:NJH32 NTD14:NTD32 OCZ14:OCZ32 OMV14:OMV32 OWR14:OWR32 PGN14:PGN32 PQJ14:PQJ32 QAF14:QAF32 QKB14:QKB32 QTX14:QTX32 RDT14:RDT32 RNP14:RNP32 RXL14:RXL32 SHH14:SHH32 SRD14:SRD32 TAZ14:TAZ32 TKV14:TKV32 TUR14:TUR32 UEN14:UEN32 UOJ14:UOJ32 UYF14:UYF32 VIB14:VIB32 VRX14:VRX32 WBT14:WBT32 WLP14:WLP32 WVL14:WVL32 D65629:D65647 IZ65629:IZ65647 SV65629:SV65647 ACR65629:ACR65647 AMN65629:AMN65647 AWJ65629:AWJ65647 BGF65629:BGF65647 BQB65629:BQB65647 BZX65629:BZX65647 CJT65629:CJT65647 CTP65629:CTP65647 DDL65629:DDL65647 DNH65629:DNH65647 DXD65629:DXD65647 EGZ65629:EGZ65647 EQV65629:EQV65647 FAR65629:FAR65647 FKN65629:FKN65647 FUJ65629:FUJ65647 GEF65629:GEF65647 GOB65629:GOB65647 GXX65629:GXX65647 HHT65629:HHT65647 HRP65629:HRP65647 IBL65629:IBL65647 ILH65629:ILH65647 IVD65629:IVD65647 JEZ65629:JEZ65647 JOV65629:JOV65647 JYR65629:JYR65647 KIN65629:KIN65647 KSJ65629:KSJ65647 LCF65629:LCF65647 LMB65629:LMB65647 LVX65629:LVX65647 MFT65629:MFT65647 MPP65629:MPP65647 MZL65629:MZL65647 NJH65629:NJH65647 NTD65629:NTD65647 OCZ65629:OCZ65647 OMV65629:OMV65647 OWR65629:OWR65647 PGN65629:PGN65647 PQJ65629:PQJ65647 QAF65629:QAF65647 QKB65629:QKB65647 QTX65629:QTX65647 RDT65629:RDT65647 RNP65629:RNP65647 RXL65629:RXL65647 SHH65629:SHH65647 SRD65629:SRD65647 TAZ65629:TAZ65647 TKV65629:TKV65647 TUR65629:TUR65647 UEN65629:UEN65647 UOJ65629:UOJ65647 UYF65629:UYF65647 VIB65629:VIB65647 VRX65629:VRX65647 WBT65629:WBT65647 WLP65629:WLP65647 WVL65629:WVL65647 D131165:D131183 IZ131165:IZ131183 SV131165:SV131183 ACR131165:ACR131183 AMN131165:AMN131183 AWJ131165:AWJ131183 BGF131165:BGF131183 BQB131165:BQB131183 BZX131165:BZX131183 CJT131165:CJT131183 CTP131165:CTP131183 DDL131165:DDL131183 DNH131165:DNH131183 DXD131165:DXD131183 EGZ131165:EGZ131183 EQV131165:EQV131183 FAR131165:FAR131183 FKN131165:FKN131183 FUJ131165:FUJ131183 GEF131165:GEF131183 GOB131165:GOB131183 GXX131165:GXX131183 HHT131165:HHT131183 HRP131165:HRP131183 IBL131165:IBL131183 ILH131165:ILH131183 IVD131165:IVD131183 JEZ131165:JEZ131183 JOV131165:JOV131183 JYR131165:JYR131183 KIN131165:KIN131183 KSJ131165:KSJ131183 LCF131165:LCF131183 LMB131165:LMB131183 LVX131165:LVX131183 MFT131165:MFT131183 MPP131165:MPP131183 MZL131165:MZL131183 NJH131165:NJH131183 NTD131165:NTD131183 OCZ131165:OCZ131183 OMV131165:OMV131183 OWR131165:OWR131183 PGN131165:PGN131183 PQJ131165:PQJ131183 QAF131165:QAF131183 QKB131165:QKB131183 QTX131165:QTX131183 RDT131165:RDT131183 RNP131165:RNP131183 RXL131165:RXL131183 SHH131165:SHH131183 SRD131165:SRD131183 TAZ131165:TAZ131183 TKV131165:TKV131183 TUR131165:TUR131183 UEN131165:UEN131183 UOJ131165:UOJ131183 UYF131165:UYF131183 VIB131165:VIB131183 VRX131165:VRX131183 WBT131165:WBT131183 WLP131165:WLP131183 WVL131165:WVL131183 D196701:D196719 IZ196701:IZ196719 SV196701:SV196719 ACR196701:ACR196719 AMN196701:AMN196719 AWJ196701:AWJ196719 BGF196701:BGF196719 BQB196701:BQB196719 BZX196701:BZX196719 CJT196701:CJT196719 CTP196701:CTP196719 DDL196701:DDL196719 DNH196701:DNH196719 DXD196701:DXD196719 EGZ196701:EGZ196719 EQV196701:EQV196719 FAR196701:FAR196719 FKN196701:FKN196719 FUJ196701:FUJ196719 GEF196701:GEF196719 GOB196701:GOB196719 GXX196701:GXX196719 HHT196701:HHT196719 HRP196701:HRP196719 IBL196701:IBL196719 ILH196701:ILH196719 IVD196701:IVD196719 JEZ196701:JEZ196719 JOV196701:JOV196719 JYR196701:JYR196719 KIN196701:KIN196719 KSJ196701:KSJ196719 LCF196701:LCF196719 LMB196701:LMB196719 LVX196701:LVX196719 MFT196701:MFT196719 MPP196701:MPP196719 MZL196701:MZL196719 NJH196701:NJH196719 NTD196701:NTD196719 OCZ196701:OCZ196719 OMV196701:OMV196719 OWR196701:OWR196719 PGN196701:PGN196719 PQJ196701:PQJ196719 QAF196701:QAF196719 QKB196701:QKB196719 QTX196701:QTX196719 RDT196701:RDT196719 RNP196701:RNP196719 RXL196701:RXL196719 SHH196701:SHH196719 SRD196701:SRD196719 TAZ196701:TAZ196719 TKV196701:TKV196719 TUR196701:TUR196719 UEN196701:UEN196719 UOJ196701:UOJ196719 UYF196701:UYF196719 VIB196701:VIB196719 VRX196701:VRX196719 WBT196701:WBT196719 WLP196701:WLP196719 WVL196701:WVL196719 D262237:D262255 IZ262237:IZ262255 SV262237:SV262255 ACR262237:ACR262255 AMN262237:AMN262255 AWJ262237:AWJ262255 BGF262237:BGF262255 BQB262237:BQB262255 BZX262237:BZX262255 CJT262237:CJT262255 CTP262237:CTP262255 DDL262237:DDL262255 DNH262237:DNH262255 DXD262237:DXD262255 EGZ262237:EGZ262255 EQV262237:EQV262255 FAR262237:FAR262255 FKN262237:FKN262255 FUJ262237:FUJ262255 GEF262237:GEF262255 GOB262237:GOB262255 GXX262237:GXX262255 HHT262237:HHT262255 HRP262237:HRP262255 IBL262237:IBL262255 ILH262237:ILH262255 IVD262237:IVD262255 JEZ262237:JEZ262255 JOV262237:JOV262255 JYR262237:JYR262255 KIN262237:KIN262255 KSJ262237:KSJ262255 LCF262237:LCF262255 LMB262237:LMB262255 LVX262237:LVX262255 MFT262237:MFT262255 MPP262237:MPP262255 MZL262237:MZL262255 NJH262237:NJH262255 NTD262237:NTD262255 OCZ262237:OCZ262255 OMV262237:OMV262255 OWR262237:OWR262255 PGN262237:PGN262255 PQJ262237:PQJ262255 QAF262237:QAF262255 QKB262237:QKB262255 QTX262237:QTX262255 RDT262237:RDT262255 RNP262237:RNP262255 RXL262237:RXL262255 SHH262237:SHH262255 SRD262237:SRD262255 TAZ262237:TAZ262255 TKV262237:TKV262255 TUR262237:TUR262255 UEN262237:UEN262255 UOJ262237:UOJ262255 UYF262237:UYF262255 VIB262237:VIB262255 VRX262237:VRX262255 WBT262237:WBT262255 WLP262237:WLP262255 WVL262237:WVL262255 D327773:D327791 IZ327773:IZ327791 SV327773:SV327791 ACR327773:ACR327791 AMN327773:AMN327791 AWJ327773:AWJ327791 BGF327773:BGF327791 BQB327773:BQB327791 BZX327773:BZX327791 CJT327773:CJT327791 CTP327773:CTP327791 DDL327773:DDL327791 DNH327773:DNH327791 DXD327773:DXD327791 EGZ327773:EGZ327791 EQV327773:EQV327791 FAR327773:FAR327791 FKN327773:FKN327791 FUJ327773:FUJ327791 GEF327773:GEF327791 GOB327773:GOB327791 GXX327773:GXX327791 HHT327773:HHT327791 HRP327773:HRP327791 IBL327773:IBL327791 ILH327773:ILH327791 IVD327773:IVD327791 JEZ327773:JEZ327791 JOV327773:JOV327791 JYR327773:JYR327791 KIN327773:KIN327791 KSJ327773:KSJ327791 LCF327773:LCF327791 LMB327773:LMB327791 LVX327773:LVX327791 MFT327773:MFT327791 MPP327773:MPP327791 MZL327773:MZL327791 NJH327773:NJH327791 NTD327773:NTD327791 OCZ327773:OCZ327791 OMV327773:OMV327791 OWR327773:OWR327791 PGN327773:PGN327791 PQJ327773:PQJ327791 QAF327773:QAF327791 QKB327773:QKB327791 QTX327773:QTX327791 RDT327773:RDT327791 RNP327773:RNP327791 RXL327773:RXL327791 SHH327773:SHH327791 SRD327773:SRD327791 TAZ327773:TAZ327791 TKV327773:TKV327791 TUR327773:TUR327791 UEN327773:UEN327791 UOJ327773:UOJ327791 UYF327773:UYF327791 VIB327773:VIB327791 VRX327773:VRX327791 WBT327773:WBT327791 WLP327773:WLP327791 WVL327773:WVL327791 D393309:D393327 IZ393309:IZ393327 SV393309:SV393327 ACR393309:ACR393327 AMN393309:AMN393327 AWJ393309:AWJ393327 BGF393309:BGF393327 BQB393309:BQB393327 BZX393309:BZX393327 CJT393309:CJT393327 CTP393309:CTP393327 DDL393309:DDL393327 DNH393309:DNH393327 DXD393309:DXD393327 EGZ393309:EGZ393327 EQV393309:EQV393327 FAR393309:FAR393327 FKN393309:FKN393327 FUJ393309:FUJ393327 GEF393309:GEF393327 GOB393309:GOB393327 GXX393309:GXX393327 HHT393309:HHT393327 HRP393309:HRP393327 IBL393309:IBL393327 ILH393309:ILH393327 IVD393309:IVD393327 JEZ393309:JEZ393327 JOV393309:JOV393327 JYR393309:JYR393327 KIN393309:KIN393327 KSJ393309:KSJ393327 LCF393309:LCF393327 LMB393309:LMB393327 LVX393309:LVX393327 MFT393309:MFT393327 MPP393309:MPP393327 MZL393309:MZL393327 NJH393309:NJH393327 NTD393309:NTD393327 OCZ393309:OCZ393327 OMV393309:OMV393327 OWR393309:OWR393327 PGN393309:PGN393327 PQJ393309:PQJ393327 QAF393309:QAF393327 QKB393309:QKB393327 QTX393309:QTX393327 RDT393309:RDT393327 RNP393309:RNP393327 RXL393309:RXL393327 SHH393309:SHH393327 SRD393309:SRD393327 TAZ393309:TAZ393327 TKV393309:TKV393327 TUR393309:TUR393327 UEN393309:UEN393327 UOJ393309:UOJ393327 UYF393309:UYF393327 VIB393309:VIB393327 VRX393309:VRX393327 WBT393309:WBT393327 WLP393309:WLP393327 WVL393309:WVL393327 D458845:D458863 IZ458845:IZ458863 SV458845:SV458863 ACR458845:ACR458863 AMN458845:AMN458863 AWJ458845:AWJ458863 BGF458845:BGF458863 BQB458845:BQB458863 BZX458845:BZX458863 CJT458845:CJT458863 CTP458845:CTP458863 DDL458845:DDL458863 DNH458845:DNH458863 DXD458845:DXD458863 EGZ458845:EGZ458863 EQV458845:EQV458863 FAR458845:FAR458863 FKN458845:FKN458863 FUJ458845:FUJ458863 GEF458845:GEF458863 GOB458845:GOB458863 GXX458845:GXX458863 HHT458845:HHT458863 HRP458845:HRP458863 IBL458845:IBL458863 ILH458845:ILH458863 IVD458845:IVD458863 JEZ458845:JEZ458863 JOV458845:JOV458863 JYR458845:JYR458863 KIN458845:KIN458863 KSJ458845:KSJ458863 LCF458845:LCF458863 LMB458845:LMB458863 LVX458845:LVX458863 MFT458845:MFT458863 MPP458845:MPP458863 MZL458845:MZL458863 NJH458845:NJH458863 NTD458845:NTD458863 OCZ458845:OCZ458863 OMV458845:OMV458863 OWR458845:OWR458863 PGN458845:PGN458863 PQJ458845:PQJ458863 QAF458845:QAF458863 QKB458845:QKB458863 QTX458845:QTX458863 RDT458845:RDT458863 RNP458845:RNP458863 RXL458845:RXL458863 SHH458845:SHH458863 SRD458845:SRD458863 TAZ458845:TAZ458863 TKV458845:TKV458863 TUR458845:TUR458863 UEN458845:UEN458863 UOJ458845:UOJ458863 UYF458845:UYF458863 VIB458845:VIB458863 VRX458845:VRX458863 WBT458845:WBT458863 WLP458845:WLP458863 WVL458845:WVL458863 D524381:D524399 IZ524381:IZ524399 SV524381:SV524399 ACR524381:ACR524399 AMN524381:AMN524399 AWJ524381:AWJ524399 BGF524381:BGF524399 BQB524381:BQB524399 BZX524381:BZX524399 CJT524381:CJT524399 CTP524381:CTP524399 DDL524381:DDL524399 DNH524381:DNH524399 DXD524381:DXD524399 EGZ524381:EGZ524399 EQV524381:EQV524399 FAR524381:FAR524399 FKN524381:FKN524399 FUJ524381:FUJ524399 GEF524381:GEF524399 GOB524381:GOB524399 GXX524381:GXX524399 HHT524381:HHT524399 HRP524381:HRP524399 IBL524381:IBL524399 ILH524381:ILH524399 IVD524381:IVD524399 JEZ524381:JEZ524399 JOV524381:JOV524399 JYR524381:JYR524399 KIN524381:KIN524399 KSJ524381:KSJ524399 LCF524381:LCF524399 LMB524381:LMB524399 LVX524381:LVX524399 MFT524381:MFT524399 MPP524381:MPP524399 MZL524381:MZL524399 NJH524381:NJH524399 NTD524381:NTD524399 OCZ524381:OCZ524399 OMV524381:OMV524399 OWR524381:OWR524399 PGN524381:PGN524399 PQJ524381:PQJ524399 QAF524381:QAF524399 QKB524381:QKB524399 QTX524381:QTX524399 RDT524381:RDT524399 RNP524381:RNP524399 RXL524381:RXL524399 SHH524381:SHH524399 SRD524381:SRD524399 TAZ524381:TAZ524399 TKV524381:TKV524399 TUR524381:TUR524399 UEN524381:UEN524399 UOJ524381:UOJ524399 UYF524381:UYF524399 VIB524381:VIB524399 VRX524381:VRX524399 WBT524381:WBT524399 WLP524381:WLP524399 WVL524381:WVL524399 D589917:D589935 IZ589917:IZ589935 SV589917:SV589935 ACR589917:ACR589935 AMN589917:AMN589935 AWJ589917:AWJ589935 BGF589917:BGF589935 BQB589917:BQB589935 BZX589917:BZX589935 CJT589917:CJT589935 CTP589917:CTP589935 DDL589917:DDL589935 DNH589917:DNH589935 DXD589917:DXD589935 EGZ589917:EGZ589935 EQV589917:EQV589935 FAR589917:FAR589935 FKN589917:FKN589935 FUJ589917:FUJ589935 GEF589917:GEF589935 GOB589917:GOB589935 GXX589917:GXX589935 HHT589917:HHT589935 HRP589917:HRP589935 IBL589917:IBL589935 ILH589917:ILH589935 IVD589917:IVD589935 JEZ589917:JEZ589935 JOV589917:JOV589935 JYR589917:JYR589935 KIN589917:KIN589935 KSJ589917:KSJ589935 LCF589917:LCF589935 LMB589917:LMB589935 LVX589917:LVX589935 MFT589917:MFT589935 MPP589917:MPP589935 MZL589917:MZL589935 NJH589917:NJH589935 NTD589917:NTD589935 OCZ589917:OCZ589935 OMV589917:OMV589935 OWR589917:OWR589935 PGN589917:PGN589935 PQJ589917:PQJ589935 QAF589917:QAF589935 QKB589917:QKB589935 QTX589917:QTX589935 RDT589917:RDT589935 RNP589917:RNP589935 RXL589917:RXL589935 SHH589917:SHH589935 SRD589917:SRD589935 TAZ589917:TAZ589935 TKV589917:TKV589935 TUR589917:TUR589935 UEN589917:UEN589935 UOJ589917:UOJ589935 UYF589917:UYF589935 VIB589917:VIB589935 VRX589917:VRX589935 WBT589917:WBT589935 WLP589917:WLP589935 WVL589917:WVL589935 D655453:D655471 IZ655453:IZ655471 SV655453:SV655471 ACR655453:ACR655471 AMN655453:AMN655471 AWJ655453:AWJ655471 BGF655453:BGF655471 BQB655453:BQB655471 BZX655453:BZX655471 CJT655453:CJT655471 CTP655453:CTP655471 DDL655453:DDL655471 DNH655453:DNH655471 DXD655453:DXD655471 EGZ655453:EGZ655471 EQV655453:EQV655471 FAR655453:FAR655471 FKN655453:FKN655471 FUJ655453:FUJ655471 GEF655453:GEF655471 GOB655453:GOB655471 GXX655453:GXX655471 HHT655453:HHT655471 HRP655453:HRP655471 IBL655453:IBL655471 ILH655453:ILH655471 IVD655453:IVD655471 JEZ655453:JEZ655471 JOV655453:JOV655471 JYR655453:JYR655471 KIN655453:KIN655471 KSJ655453:KSJ655471 LCF655453:LCF655471 LMB655453:LMB655471 LVX655453:LVX655471 MFT655453:MFT655471 MPP655453:MPP655471 MZL655453:MZL655471 NJH655453:NJH655471 NTD655453:NTD655471 OCZ655453:OCZ655471 OMV655453:OMV655471 OWR655453:OWR655471 PGN655453:PGN655471 PQJ655453:PQJ655471 QAF655453:QAF655471 QKB655453:QKB655471 QTX655453:QTX655471 RDT655453:RDT655471 RNP655453:RNP655471 RXL655453:RXL655471 SHH655453:SHH655471 SRD655453:SRD655471 TAZ655453:TAZ655471 TKV655453:TKV655471 TUR655453:TUR655471 UEN655453:UEN655471 UOJ655453:UOJ655471 UYF655453:UYF655471 VIB655453:VIB655471 VRX655453:VRX655471 WBT655453:WBT655471 WLP655453:WLP655471 WVL655453:WVL655471 D720989:D721007 IZ720989:IZ721007 SV720989:SV721007 ACR720989:ACR721007 AMN720989:AMN721007 AWJ720989:AWJ721007 BGF720989:BGF721007 BQB720989:BQB721007 BZX720989:BZX721007 CJT720989:CJT721007 CTP720989:CTP721007 DDL720989:DDL721007 DNH720989:DNH721007 DXD720989:DXD721007 EGZ720989:EGZ721007 EQV720989:EQV721007 FAR720989:FAR721007 FKN720989:FKN721007 FUJ720989:FUJ721007 GEF720989:GEF721007 GOB720989:GOB721007 GXX720989:GXX721007 HHT720989:HHT721007 HRP720989:HRP721007 IBL720989:IBL721007 ILH720989:ILH721007 IVD720989:IVD721007 JEZ720989:JEZ721007 JOV720989:JOV721007 JYR720989:JYR721007 KIN720989:KIN721007 KSJ720989:KSJ721007 LCF720989:LCF721007 LMB720989:LMB721007 LVX720989:LVX721007 MFT720989:MFT721007 MPP720989:MPP721007 MZL720989:MZL721007 NJH720989:NJH721007 NTD720989:NTD721007 OCZ720989:OCZ721007 OMV720989:OMV721007 OWR720989:OWR721007 PGN720989:PGN721007 PQJ720989:PQJ721007 QAF720989:QAF721007 QKB720989:QKB721007 QTX720989:QTX721007 RDT720989:RDT721007 RNP720989:RNP721007 RXL720989:RXL721007 SHH720989:SHH721007 SRD720989:SRD721007 TAZ720989:TAZ721007 TKV720989:TKV721007 TUR720989:TUR721007 UEN720989:UEN721007 UOJ720989:UOJ721007 UYF720989:UYF721007 VIB720989:VIB721007 VRX720989:VRX721007 WBT720989:WBT721007 WLP720989:WLP721007 WVL720989:WVL721007 D786525:D786543 IZ786525:IZ786543 SV786525:SV786543 ACR786525:ACR786543 AMN786525:AMN786543 AWJ786525:AWJ786543 BGF786525:BGF786543 BQB786525:BQB786543 BZX786525:BZX786543 CJT786525:CJT786543 CTP786525:CTP786543 DDL786525:DDL786543 DNH786525:DNH786543 DXD786525:DXD786543 EGZ786525:EGZ786543 EQV786525:EQV786543 FAR786525:FAR786543 FKN786525:FKN786543 FUJ786525:FUJ786543 GEF786525:GEF786543 GOB786525:GOB786543 GXX786525:GXX786543 HHT786525:HHT786543 HRP786525:HRP786543 IBL786525:IBL786543 ILH786525:ILH786543 IVD786525:IVD786543 JEZ786525:JEZ786543 JOV786525:JOV786543 JYR786525:JYR786543 KIN786525:KIN786543 KSJ786525:KSJ786543 LCF786525:LCF786543 LMB786525:LMB786543 LVX786525:LVX786543 MFT786525:MFT786543 MPP786525:MPP786543 MZL786525:MZL786543 NJH786525:NJH786543 NTD786525:NTD786543 OCZ786525:OCZ786543 OMV786525:OMV786543 OWR786525:OWR786543 PGN786525:PGN786543 PQJ786525:PQJ786543 QAF786525:QAF786543 QKB786525:QKB786543 QTX786525:QTX786543 RDT786525:RDT786543 RNP786525:RNP786543 RXL786525:RXL786543 SHH786525:SHH786543 SRD786525:SRD786543 TAZ786525:TAZ786543 TKV786525:TKV786543 TUR786525:TUR786543 UEN786525:UEN786543 UOJ786525:UOJ786543 UYF786525:UYF786543 VIB786525:VIB786543 VRX786525:VRX786543 WBT786525:WBT786543 WLP786525:WLP786543 WVL786525:WVL786543 D852061:D852079 IZ852061:IZ852079 SV852061:SV852079 ACR852061:ACR852079 AMN852061:AMN852079 AWJ852061:AWJ852079 BGF852061:BGF852079 BQB852061:BQB852079 BZX852061:BZX852079 CJT852061:CJT852079 CTP852061:CTP852079 DDL852061:DDL852079 DNH852061:DNH852079 DXD852061:DXD852079 EGZ852061:EGZ852079 EQV852061:EQV852079 FAR852061:FAR852079 FKN852061:FKN852079 FUJ852061:FUJ852079 GEF852061:GEF852079 GOB852061:GOB852079 GXX852061:GXX852079 HHT852061:HHT852079 HRP852061:HRP852079 IBL852061:IBL852079 ILH852061:ILH852079 IVD852061:IVD852079 JEZ852061:JEZ852079 JOV852061:JOV852079 JYR852061:JYR852079 KIN852061:KIN852079 KSJ852061:KSJ852079 LCF852061:LCF852079 LMB852061:LMB852079 LVX852061:LVX852079 MFT852061:MFT852079 MPP852061:MPP852079 MZL852061:MZL852079 NJH852061:NJH852079 NTD852061:NTD852079 OCZ852061:OCZ852079 OMV852061:OMV852079 OWR852061:OWR852079 PGN852061:PGN852079 PQJ852061:PQJ852079 QAF852061:QAF852079 QKB852061:QKB852079 QTX852061:QTX852079 RDT852061:RDT852079 RNP852061:RNP852079 RXL852061:RXL852079 SHH852061:SHH852079 SRD852061:SRD852079 TAZ852061:TAZ852079 TKV852061:TKV852079 TUR852061:TUR852079 UEN852061:UEN852079 UOJ852061:UOJ852079 UYF852061:UYF852079 VIB852061:VIB852079 VRX852061:VRX852079 WBT852061:WBT852079 WLP852061:WLP852079 WVL852061:WVL852079 D917597:D917615 IZ917597:IZ917615 SV917597:SV917615 ACR917597:ACR917615 AMN917597:AMN917615 AWJ917597:AWJ917615 BGF917597:BGF917615 BQB917597:BQB917615 BZX917597:BZX917615 CJT917597:CJT917615 CTP917597:CTP917615 DDL917597:DDL917615 DNH917597:DNH917615 DXD917597:DXD917615 EGZ917597:EGZ917615 EQV917597:EQV917615 FAR917597:FAR917615 FKN917597:FKN917615 FUJ917597:FUJ917615 GEF917597:GEF917615 GOB917597:GOB917615 GXX917597:GXX917615 HHT917597:HHT917615 HRP917597:HRP917615 IBL917597:IBL917615 ILH917597:ILH917615 IVD917597:IVD917615 JEZ917597:JEZ917615 JOV917597:JOV917615 JYR917597:JYR917615 KIN917597:KIN917615 KSJ917597:KSJ917615 LCF917597:LCF917615 LMB917597:LMB917615 LVX917597:LVX917615 MFT917597:MFT917615 MPP917597:MPP917615 MZL917597:MZL917615 NJH917597:NJH917615 NTD917597:NTD917615 OCZ917597:OCZ917615 OMV917597:OMV917615 OWR917597:OWR917615 PGN917597:PGN917615 PQJ917597:PQJ917615 QAF917597:QAF917615 QKB917597:QKB917615 QTX917597:QTX917615 RDT917597:RDT917615 RNP917597:RNP917615 RXL917597:RXL917615 SHH917597:SHH917615 SRD917597:SRD917615 TAZ917597:TAZ917615 TKV917597:TKV917615 TUR917597:TUR917615 UEN917597:UEN917615 UOJ917597:UOJ917615 UYF917597:UYF917615 VIB917597:VIB917615 VRX917597:VRX917615 WBT917597:WBT917615 WLP917597:WLP917615 WVL917597:WVL917615 D983133:D983151 IZ983133:IZ983151 SV983133:SV983151 ACR983133:ACR983151 AMN983133:AMN983151 AWJ983133:AWJ983151 BGF983133:BGF983151 BQB983133:BQB983151 BZX983133:BZX983151 CJT983133:CJT983151 CTP983133:CTP983151 DDL983133:DDL983151 DNH983133:DNH983151 DXD983133:DXD983151 EGZ983133:EGZ983151 EQV983133:EQV983151 FAR983133:FAR983151 FKN983133:FKN983151 FUJ983133:FUJ983151 GEF983133:GEF983151 GOB983133:GOB983151 GXX983133:GXX983151 HHT983133:HHT983151 HRP983133:HRP983151 IBL983133:IBL983151 ILH983133:ILH983151 IVD983133:IVD983151 JEZ983133:JEZ983151 JOV983133:JOV983151 JYR983133:JYR983151 KIN983133:KIN983151 KSJ983133:KSJ983151 LCF983133:LCF983151 LMB983133:LMB983151 LVX983133:LVX983151 MFT983133:MFT983151 MPP983133:MPP983151 MZL983133:MZL983151 NJH983133:NJH983151 NTD983133:NTD983151 OCZ983133:OCZ983151 OMV983133:OMV983151 OWR983133:OWR983151 PGN983133:PGN983151 PQJ983133:PQJ983151 QAF983133:QAF983151 QKB983133:QKB983151 QTX983133:QTX983151 RDT983133:RDT983151 RNP983133:RNP983151 RXL983133:RXL983151 SHH983133:SHH983151 SRD983133:SRD983151 TAZ983133:TAZ983151 TKV983133:TKV983151 TUR983133:TUR983151 UEN983133:UEN983151 UOJ983133:UOJ983151 UYF983133:UYF983151 VIB983133:VIB983151 VRX983133:VRX983151 WBT983133:WBT983151 WLP983133:WLP983151 WVL983133:WVL983151 WVT983133:WVT983151 JH14:JH32 TD14:TD32 ACZ14:ACZ32 AMV14:AMV32 AWR14:AWR32 BGN14:BGN32 BQJ14:BQJ32 CAF14:CAF32 CKB14:CKB32 CTX14:CTX32 DDT14:DDT32 DNP14:DNP32 DXL14:DXL32 EHH14:EHH32 ERD14:ERD32 FAZ14:FAZ32 FKV14:FKV32 FUR14:FUR32 GEN14:GEN32 GOJ14:GOJ32 GYF14:GYF32 HIB14:HIB32 HRX14:HRX32 IBT14:IBT32 ILP14:ILP32 IVL14:IVL32 JFH14:JFH32 JPD14:JPD32 JYZ14:JYZ32 KIV14:KIV32 KSR14:KSR32 LCN14:LCN32 LMJ14:LMJ32 LWF14:LWF32 MGB14:MGB32 MPX14:MPX32 MZT14:MZT32 NJP14:NJP32 NTL14:NTL32 ODH14:ODH32 OND14:OND32 OWZ14:OWZ32 PGV14:PGV32 PQR14:PQR32 QAN14:QAN32 QKJ14:QKJ32 QUF14:QUF32 REB14:REB32 RNX14:RNX32 RXT14:RXT32 SHP14:SHP32 SRL14:SRL32 TBH14:TBH32 TLD14:TLD32 TUZ14:TUZ32 UEV14:UEV32 UOR14:UOR32 UYN14:UYN32 VIJ14:VIJ32 VSF14:VSF32 WCB14:WCB32 WLX14:WLX32 WVT14:WVT32 L65629:L65647 JH65629:JH65647 TD65629:TD65647 ACZ65629:ACZ65647 AMV65629:AMV65647 AWR65629:AWR65647 BGN65629:BGN65647 BQJ65629:BQJ65647 CAF65629:CAF65647 CKB65629:CKB65647 CTX65629:CTX65647 DDT65629:DDT65647 DNP65629:DNP65647 DXL65629:DXL65647 EHH65629:EHH65647 ERD65629:ERD65647 FAZ65629:FAZ65647 FKV65629:FKV65647 FUR65629:FUR65647 GEN65629:GEN65647 GOJ65629:GOJ65647 GYF65629:GYF65647 HIB65629:HIB65647 HRX65629:HRX65647 IBT65629:IBT65647 ILP65629:ILP65647 IVL65629:IVL65647 JFH65629:JFH65647 JPD65629:JPD65647 JYZ65629:JYZ65647 KIV65629:KIV65647 KSR65629:KSR65647 LCN65629:LCN65647 LMJ65629:LMJ65647 LWF65629:LWF65647 MGB65629:MGB65647 MPX65629:MPX65647 MZT65629:MZT65647 NJP65629:NJP65647 NTL65629:NTL65647 ODH65629:ODH65647 OND65629:OND65647 OWZ65629:OWZ65647 PGV65629:PGV65647 PQR65629:PQR65647 QAN65629:QAN65647 QKJ65629:QKJ65647 QUF65629:QUF65647 REB65629:REB65647 RNX65629:RNX65647 RXT65629:RXT65647 SHP65629:SHP65647 SRL65629:SRL65647 TBH65629:TBH65647 TLD65629:TLD65647 TUZ65629:TUZ65647 UEV65629:UEV65647 UOR65629:UOR65647 UYN65629:UYN65647 VIJ65629:VIJ65647 VSF65629:VSF65647 WCB65629:WCB65647 WLX65629:WLX65647 WVT65629:WVT65647 L131165:L131183 JH131165:JH131183 TD131165:TD131183 ACZ131165:ACZ131183 AMV131165:AMV131183 AWR131165:AWR131183 BGN131165:BGN131183 BQJ131165:BQJ131183 CAF131165:CAF131183 CKB131165:CKB131183 CTX131165:CTX131183 DDT131165:DDT131183 DNP131165:DNP131183 DXL131165:DXL131183 EHH131165:EHH131183 ERD131165:ERD131183 FAZ131165:FAZ131183 FKV131165:FKV131183 FUR131165:FUR131183 GEN131165:GEN131183 GOJ131165:GOJ131183 GYF131165:GYF131183 HIB131165:HIB131183 HRX131165:HRX131183 IBT131165:IBT131183 ILP131165:ILP131183 IVL131165:IVL131183 JFH131165:JFH131183 JPD131165:JPD131183 JYZ131165:JYZ131183 KIV131165:KIV131183 KSR131165:KSR131183 LCN131165:LCN131183 LMJ131165:LMJ131183 LWF131165:LWF131183 MGB131165:MGB131183 MPX131165:MPX131183 MZT131165:MZT131183 NJP131165:NJP131183 NTL131165:NTL131183 ODH131165:ODH131183 OND131165:OND131183 OWZ131165:OWZ131183 PGV131165:PGV131183 PQR131165:PQR131183 QAN131165:QAN131183 QKJ131165:QKJ131183 QUF131165:QUF131183 REB131165:REB131183 RNX131165:RNX131183 RXT131165:RXT131183 SHP131165:SHP131183 SRL131165:SRL131183 TBH131165:TBH131183 TLD131165:TLD131183 TUZ131165:TUZ131183 UEV131165:UEV131183 UOR131165:UOR131183 UYN131165:UYN131183 VIJ131165:VIJ131183 VSF131165:VSF131183 WCB131165:WCB131183 WLX131165:WLX131183 WVT131165:WVT131183 L196701:L196719 JH196701:JH196719 TD196701:TD196719 ACZ196701:ACZ196719 AMV196701:AMV196719 AWR196701:AWR196719 BGN196701:BGN196719 BQJ196701:BQJ196719 CAF196701:CAF196719 CKB196701:CKB196719 CTX196701:CTX196719 DDT196701:DDT196719 DNP196701:DNP196719 DXL196701:DXL196719 EHH196701:EHH196719 ERD196701:ERD196719 FAZ196701:FAZ196719 FKV196701:FKV196719 FUR196701:FUR196719 GEN196701:GEN196719 GOJ196701:GOJ196719 GYF196701:GYF196719 HIB196701:HIB196719 HRX196701:HRX196719 IBT196701:IBT196719 ILP196701:ILP196719 IVL196701:IVL196719 JFH196701:JFH196719 JPD196701:JPD196719 JYZ196701:JYZ196719 KIV196701:KIV196719 KSR196701:KSR196719 LCN196701:LCN196719 LMJ196701:LMJ196719 LWF196701:LWF196719 MGB196701:MGB196719 MPX196701:MPX196719 MZT196701:MZT196719 NJP196701:NJP196719 NTL196701:NTL196719 ODH196701:ODH196719 OND196701:OND196719 OWZ196701:OWZ196719 PGV196701:PGV196719 PQR196701:PQR196719 QAN196701:QAN196719 QKJ196701:QKJ196719 QUF196701:QUF196719 REB196701:REB196719 RNX196701:RNX196719 RXT196701:RXT196719 SHP196701:SHP196719 SRL196701:SRL196719 TBH196701:TBH196719 TLD196701:TLD196719 TUZ196701:TUZ196719 UEV196701:UEV196719 UOR196701:UOR196719 UYN196701:UYN196719 VIJ196701:VIJ196719 VSF196701:VSF196719 WCB196701:WCB196719 WLX196701:WLX196719 WVT196701:WVT196719 L262237:L262255 JH262237:JH262255 TD262237:TD262255 ACZ262237:ACZ262255 AMV262237:AMV262255 AWR262237:AWR262255 BGN262237:BGN262255 BQJ262237:BQJ262255 CAF262237:CAF262255 CKB262237:CKB262255 CTX262237:CTX262255 DDT262237:DDT262255 DNP262237:DNP262255 DXL262237:DXL262255 EHH262237:EHH262255 ERD262237:ERD262255 FAZ262237:FAZ262255 FKV262237:FKV262255 FUR262237:FUR262255 GEN262237:GEN262255 GOJ262237:GOJ262255 GYF262237:GYF262255 HIB262237:HIB262255 HRX262237:HRX262255 IBT262237:IBT262255 ILP262237:ILP262255 IVL262237:IVL262255 JFH262237:JFH262255 JPD262237:JPD262255 JYZ262237:JYZ262255 KIV262237:KIV262255 KSR262237:KSR262255 LCN262237:LCN262255 LMJ262237:LMJ262255 LWF262237:LWF262255 MGB262237:MGB262255 MPX262237:MPX262255 MZT262237:MZT262255 NJP262237:NJP262255 NTL262237:NTL262255 ODH262237:ODH262255 OND262237:OND262255 OWZ262237:OWZ262255 PGV262237:PGV262255 PQR262237:PQR262255 QAN262237:QAN262255 QKJ262237:QKJ262255 QUF262237:QUF262255 REB262237:REB262255 RNX262237:RNX262255 RXT262237:RXT262255 SHP262237:SHP262255 SRL262237:SRL262255 TBH262237:TBH262255 TLD262237:TLD262255 TUZ262237:TUZ262255 UEV262237:UEV262255 UOR262237:UOR262255 UYN262237:UYN262255 VIJ262237:VIJ262255 VSF262237:VSF262255 WCB262237:WCB262255 WLX262237:WLX262255 WVT262237:WVT262255 L327773:L327791 JH327773:JH327791 TD327773:TD327791 ACZ327773:ACZ327791 AMV327773:AMV327791 AWR327773:AWR327791 BGN327773:BGN327791 BQJ327773:BQJ327791 CAF327773:CAF327791 CKB327773:CKB327791 CTX327773:CTX327791 DDT327773:DDT327791 DNP327773:DNP327791 DXL327773:DXL327791 EHH327773:EHH327791 ERD327773:ERD327791 FAZ327773:FAZ327791 FKV327773:FKV327791 FUR327773:FUR327791 GEN327773:GEN327791 GOJ327773:GOJ327791 GYF327773:GYF327791 HIB327773:HIB327791 HRX327773:HRX327791 IBT327773:IBT327791 ILP327773:ILP327791 IVL327773:IVL327791 JFH327773:JFH327791 JPD327773:JPD327791 JYZ327773:JYZ327791 KIV327773:KIV327791 KSR327773:KSR327791 LCN327773:LCN327791 LMJ327773:LMJ327791 LWF327773:LWF327791 MGB327773:MGB327791 MPX327773:MPX327791 MZT327773:MZT327791 NJP327773:NJP327791 NTL327773:NTL327791 ODH327773:ODH327791 OND327773:OND327791 OWZ327773:OWZ327791 PGV327773:PGV327791 PQR327773:PQR327791 QAN327773:QAN327791 QKJ327773:QKJ327791 QUF327773:QUF327791 REB327773:REB327791 RNX327773:RNX327791 RXT327773:RXT327791 SHP327773:SHP327791 SRL327773:SRL327791 TBH327773:TBH327791 TLD327773:TLD327791 TUZ327773:TUZ327791 UEV327773:UEV327791 UOR327773:UOR327791 UYN327773:UYN327791 VIJ327773:VIJ327791 VSF327773:VSF327791 WCB327773:WCB327791 WLX327773:WLX327791 WVT327773:WVT327791 L393309:L393327 JH393309:JH393327 TD393309:TD393327 ACZ393309:ACZ393327 AMV393309:AMV393327 AWR393309:AWR393327 BGN393309:BGN393327 BQJ393309:BQJ393327 CAF393309:CAF393327 CKB393309:CKB393327 CTX393309:CTX393327 DDT393309:DDT393327 DNP393309:DNP393327 DXL393309:DXL393327 EHH393309:EHH393327 ERD393309:ERD393327 FAZ393309:FAZ393327 FKV393309:FKV393327 FUR393309:FUR393327 GEN393309:GEN393327 GOJ393309:GOJ393327 GYF393309:GYF393327 HIB393309:HIB393327 HRX393309:HRX393327 IBT393309:IBT393327 ILP393309:ILP393327 IVL393309:IVL393327 JFH393309:JFH393327 JPD393309:JPD393327 JYZ393309:JYZ393327 KIV393309:KIV393327 KSR393309:KSR393327 LCN393309:LCN393327 LMJ393309:LMJ393327 LWF393309:LWF393327 MGB393309:MGB393327 MPX393309:MPX393327 MZT393309:MZT393327 NJP393309:NJP393327 NTL393309:NTL393327 ODH393309:ODH393327 OND393309:OND393327 OWZ393309:OWZ393327 PGV393309:PGV393327 PQR393309:PQR393327 QAN393309:QAN393327 QKJ393309:QKJ393327 QUF393309:QUF393327 REB393309:REB393327 RNX393309:RNX393327 RXT393309:RXT393327 SHP393309:SHP393327 SRL393309:SRL393327 TBH393309:TBH393327 TLD393309:TLD393327 TUZ393309:TUZ393327 UEV393309:UEV393327 UOR393309:UOR393327 UYN393309:UYN393327 VIJ393309:VIJ393327 VSF393309:VSF393327 WCB393309:WCB393327 WLX393309:WLX393327 WVT393309:WVT393327 L458845:L458863 JH458845:JH458863 TD458845:TD458863 ACZ458845:ACZ458863 AMV458845:AMV458863 AWR458845:AWR458863 BGN458845:BGN458863 BQJ458845:BQJ458863 CAF458845:CAF458863 CKB458845:CKB458863 CTX458845:CTX458863 DDT458845:DDT458863 DNP458845:DNP458863 DXL458845:DXL458863 EHH458845:EHH458863 ERD458845:ERD458863 FAZ458845:FAZ458863 FKV458845:FKV458863 FUR458845:FUR458863 GEN458845:GEN458863 GOJ458845:GOJ458863 GYF458845:GYF458863 HIB458845:HIB458863 HRX458845:HRX458863 IBT458845:IBT458863 ILP458845:ILP458863 IVL458845:IVL458863 JFH458845:JFH458863 JPD458845:JPD458863 JYZ458845:JYZ458863 KIV458845:KIV458863 KSR458845:KSR458863 LCN458845:LCN458863 LMJ458845:LMJ458863 LWF458845:LWF458863 MGB458845:MGB458863 MPX458845:MPX458863 MZT458845:MZT458863 NJP458845:NJP458863 NTL458845:NTL458863 ODH458845:ODH458863 OND458845:OND458863 OWZ458845:OWZ458863 PGV458845:PGV458863 PQR458845:PQR458863 QAN458845:QAN458863 QKJ458845:QKJ458863 QUF458845:QUF458863 REB458845:REB458863 RNX458845:RNX458863 RXT458845:RXT458863 SHP458845:SHP458863 SRL458845:SRL458863 TBH458845:TBH458863 TLD458845:TLD458863 TUZ458845:TUZ458863 UEV458845:UEV458863 UOR458845:UOR458863 UYN458845:UYN458863 VIJ458845:VIJ458863 VSF458845:VSF458863 WCB458845:WCB458863 WLX458845:WLX458863 WVT458845:WVT458863 L524381:L524399 JH524381:JH524399 TD524381:TD524399 ACZ524381:ACZ524399 AMV524381:AMV524399 AWR524381:AWR524399 BGN524381:BGN524399 BQJ524381:BQJ524399 CAF524381:CAF524399 CKB524381:CKB524399 CTX524381:CTX524399 DDT524381:DDT524399 DNP524381:DNP524399 DXL524381:DXL524399 EHH524381:EHH524399 ERD524381:ERD524399 FAZ524381:FAZ524399 FKV524381:FKV524399 FUR524381:FUR524399 GEN524381:GEN524399 GOJ524381:GOJ524399 GYF524381:GYF524399 HIB524381:HIB524399 HRX524381:HRX524399 IBT524381:IBT524399 ILP524381:ILP524399 IVL524381:IVL524399 JFH524381:JFH524399 JPD524381:JPD524399 JYZ524381:JYZ524399 KIV524381:KIV524399 KSR524381:KSR524399 LCN524381:LCN524399 LMJ524381:LMJ524399 LWF524381:LWF524399 MGB524381:MGB524399 MPX524381:MPX524399 MZT524381:MZT524399 NJP524381:NJP524399 NTL524381:NTL524399 ODH524381:ODH524399 OND524381:OND524399 OWZ524381:OWZ524399 PGV524381:PGV524399 PQR524381:PQR524399 QAN524381:QAN524399 QKJ524381:QKJ524399 QUF524381:QUF524399 REB524381:REB524399 RNX524381:RNX524399 RXT524381:RXT524399 SHP524381:SHP524399 SRL524381:SRL524399 TBH524381:TBH524399 TLD524381:TLD524399 TUZ524381:TUZ524399 UEV524381:UEV524399 UOR524381:UOR524399 UYN524381:UYN524399 VIJ524381:VIJ524399 VSF524381:VSF524399 WCB524381:WCB524399 WLX524381:WLX524399 WVT524381:WVT524399 L589917:L589935 JH589917:JH589935 TD589917:TD589935 ACZ589917:ACZ589935 AMV589917:AMV589935 AWR589917:AWR589935 BGN589917:BGN589935 BQJ589917:BQJ589935 CAF589917:CAF589935 CKB589917:CKB589935 CTX589917:CTX589935 DDT589917:DDT589935 DNP589917:DNP589935 DXL589917:DXL589935 EHH589917:EHH589935 ERD589917:ERD589935 FAZ589917:FAZ589935 FKV589917:FKV589935 FUR589917:FUR589935 GEN589917:GEN589935 GOJ589917:GOJ589935 GYF589917:GYF589935 HIB589917:HIB589935 HRX589917:HRX589935 IBT589917:IBT589935 ILP589917:ILP589935 IVL589917:IVL589935 JFH589917:JFH589935 JPD589917:JPD589935 JYZ589917:JYZ589935 KIV589917:KIV589935 KSR589917:KSR589935 LCN589917:LCN589935 LMJ589917:LMJ589935 LWF589917:LWF589935 MGB589917:MGB589935 MPX589917:MPX589935 MZT589917:MZT589935 NJP589917:NJP589935 NTL589917:NTL589935 ODH589917:ODH589935 OND589917:OND589935 OWZ589917:OWZ589935 PGV589917:PGV589935 PQR589917:PQR589935 QAN589917:QAN589935 QKJ589917:QKJ589935 QUF589917:QUF589935 REB589917:REB589935 RNX589917:RNX589935 RXT589917:RXT589935 SHP589917:SHP589935 SRL589917:SRL589935 TBH589917:TBH589935 TLD589917:TLD589935 TUZ589917:TUZ589935 UEV589917:UEV589935 UOR589917:UOR589935 UYN589917:UYN589935 VIJ589917:VIJ589935 VSF589917:VSF589935 WCB589917:WCB589935 WLX589917:WLX589935 WVT589917:WVT589935 L655453:L655471 JH655453:JH655471 TD655453:TD655471 ACZ655453:ACZ655471 AMV655453:AMV655471 AWR655453:AWR655471 BGN655453:BGN655471 BQJ655453:BQJ655471 CAF655453:CAF655471 CKB655453:CKB655471 CTX655453:CTX655471 DDT655453:DDT655471 DNP655453:DNP655471 DXL655453:DXL655471 EHH655453:EHH655471 ERD655453:ERD655471 FAZ655453:FAZ655471 FKV655453:FKV655471 FUR655453:FUR655471 GEN655453:GEN655471 GOJ655453:GOJ655471 GYF655453:GYF655471 HIB655453:HIB655471 HRX655453:HRX655471 IBT655453:IBT655471 ILP655453:ILP655471 IVL655453:IVL655471 JFH655453:JFH655471 JPD655453:JPD655471 JYZ655453:JYZ655471 KIV655453:KIV655471 KSR655453:KSR655471 LCN655453:LCN655471 LMJ655453:LMJ655471 LWF655453:LWF655471 MGB655453:MGB655471 MPX655453:MPX655471 MZT655453:MZT655471 NJP655453:NJP655471 NTL655453:NTL655471 ODH655453:ODH655471 OND655453:OND655471 OWZ655453:OWZ655471 PGV655453:PGV655471 PQR655453:PQR655471 QAN655453:QAN655471 QKJ655453:QKJ655471 QUF655453:QUF655471 REB655453:REB655471 RNX655453:RNX655471 RXT655453:RXT655471 SHP655453:SHP655471 SRL655453:SRL655471 TBH655453:TBH655471 TLD655453:TLD655471 TUZ655453:TUZ655471 UEV655453:UEV655471 UOR655453:UOR655471 UYN655453:UYN655471 VIJ655453:VIJ655471 VSF655453:VSF655471 WCB655453:WCB655471 WLX655453:WLX655471 WVT655453:WVT655471 L720989:L721007 JH720989:JH721007 TD720989:TD721007 ACZ720989:ACZ721007 AMV720989:AMV721007 AWR720989:AWR721007 BGN720989:BGN721007 BQJ720989:BQJ721007 CAF720989:CAF721007 CKB720989:CKB721007 CTX720989:CTX721007 DDT720989:DDT721007 DNP720989:DNP721007 DXL720989:DXL721007 EHH720989:EHH721007 ERD720989:ERD721007 FAZ720989:FAZ721007 FKV720989:FKV721007 FUR720989:FUR721007 GEN720989:GEN721007 GOJ720989:GOJ721007 GYF720989:GYF721007 HIB720989:HIB721007 HRX720989:HRX721007 IBT720989:IBT721007 ILP720989:ILP721007 IVL720989:IVL721007 JFH720989:JFH721007 JPD720989:JPD721007 JYZ720989:JYZ721007 KIV720989:KIV721007 KSR720989:KSR721007 LCN720989:LCN721007 LMJ720989:LMJ721007 LWF720989:LWF721007 MGB720989:MGB721007 MPX720989:MPX721007 MZT720989:MZT721007 NJP720989:NJP721007 NTL720989:NTL721007 ODH720989:ODH721007 OND720989:OND721007 OWZ720989:OWZ721007 PGV720989:PGV721007 PQR720989:PQR721007 QAN720989:QAN721007 QKJ720989:QKJ721007 QUF720989:QUF721007 REB720989:REB721007 RNX720989:RNX721007 RXT720989:RXT721007 SHP720989:SHP721007 SRL720989:SRL721007 TBH720989:TBH721007 TLD720989:TLD721007 TUZ720989:TUZ721007 UEV720989:UEV721007 UOR720989:UOR721007 UYN720989:UYN721007 VIJ720989:VIJ721007 VSF720989:VSF721007 WCB720989:WCB721007 WLX720989:WLX721007 WVT720989:WVT721007 L786525:L786543 JH786525:JH786543 TD786525:TD786543 ACZ786525:ACZ786543 AMV786525:AMV786543 AWR786525:AWR786543 BGN786525:BGN786543 BQJ786525:BQJ786543 CAF786525:CAF786543 CKB786525:CKB786543 CTX786525:CTX786543 DDT786525:DDT786543 DNP786525:DNP786543 DXL786525:DXL786543 EHH786525:EHH786543 ERD786525:ERD786543 FAZ786525:FAZ786543 FKV786525:FKV786543 FUR786525:FUR786543 GEN786525:GEN786543 GOJ786525:GOJ786543 GYF786525:GYF786543 HIB786525:HIB786543 HRX786525:HRX786543 IBT786525:IBT786543 ILP786525:ILP786543 IVL786525:IVL786543 JFH786525:JFH786543 JPD786525:JPD786543 JYZ786525:JYZ786543 KIV786525:KIV786543 KSR786525:KSR786543 LCN786525:LCN786543 LMJ786525:LMJ786543 LWF786525:LWF786543 MGB786525:MGB786543 MPX786525:MPX786543 MZT786525:MZT786543 NJP786525:NJP786543 NTL786525:NTL786543 ODH786525:ODH786543 OND786525:OND786543 OWZ786525:OWZ786543 PGV786525:PGV786543 PQR786525:PQR786543 QAN786525:QAN786543 QKJ786525:QKJ786543 QUF786525:QUF786543 REB786525:REB786543 RNX786525:RNX786543 RXT786525:RXT786543 SHP786525:SHP786543 SRL786525:SRL786543 TBH786525:TBH786543 TLD786525:TLD786543 TUZ786525:TUZ786543 UEV786525:UEV786543 UOR786525:UOR786543 UYN786525:UYN786543 VIJ786525:VIJ786543 VSF786525:VSF786543 WCB786525:WCB786543 WLX786525:WLX786543 WVT786525:WVT786543 L852061:L852079 JH852061:JH852079 TD852061:TD852079 ACZ852061:ACZ852079 AMV852061:AMV852079 AWR852061:AWR852079 BGN852061:BGN852079 BQJ852061:BQJ852079 CAF852061:CAF852079 CKB852061:CKB852079 CTX852061:CTX852079 DDT852061:DDT852079 DNP852061:DNP852079 DXL852061:DXL852079 EHH852061:EHH852079 ERD852061:ERD852079 FAZ852061:FAZ852079 FKV852061:FKV852079 FUR852061:FUR852079 GEN852061:GEN852079 GOJ852061:GOJ852079 GYF852061:GYF852079 HIB852061:HIB852079 HRX852061:HRX852079 IBT852061:IBT852079 ILP852061:ILP852079 IVL852061:IVL852079 JFH852061:JFH852079 JPD852061:JPD852079 JYZ852061:JYZ852079 KIV852061:KIV852079 KSR852061:KSR852079 LCN852061:LCN852079 LMJ852061:LMJ852079 LWF852061:LWF852079 MGB852061:MGB852079 MPX852061:MPX852079 MZT852061:MZT852079 NJP852061:NJP852079 NTL852061:NTL852079 ODH852061:ODH852079 OND852061:OND852079 OWZ852061:OWZ852079 PGV852061:PGV852079 PQR852061:PQR852079 QAN852061:QAN852079 QKJ852061:QKJ852079 QUF852061:QUF852079 REB852061:REB852079 RNX852061:RNX852079 RXT852061:RXT852079 SHP852061:SHP852079 SRL852061:SRL852079 TBH852061:TBH852079 TLD852061:TLD852079 TUZ852061:TUZ852079 UEV852061:UEV852079 UOR852061:UOR852079 UYN852061:UYN852079 VIJ852061:VIJ852079 VSF852061:VSF852079 WCB852061:WCB852079 WLX852061:WLX852079 WVT852061:WVT852079 L917597:L917615 JH917597:JH917615 TD917597:TD917615 ACZ917597:ACZ917615 AMV917597:AMV917615 AWR917597:AWR917615 BGN917597:BGN917615 BQJ917597:BQJ917615 CAF917597:CAF917615 CKB917597:CKB917615 CTX917597:CTX917615 DDT917597:DDT917615 DNP917597:DNP917615 DXL917597:DXL917615 EHH917597:EHH917615 ERD917597:ERD917615 FAZ917597:FAZ917615 FKV917597:FKV917615 FUR917597:FUR917615 GEN917597:GEN917615 GOJ917597:GOJ917615 GYF917597:GYF917615 HIB917597:HIB917615 HRX917597:HRX917615 IBT917597:IBT917615 ILP917597:ILP917615 IVL917597:IVL917615 JFH917597:JFH917615 JPD917597:JPD917615 JYZ917597:JYZ917615 KIV917597:KIV917615 KSR917597:KSR917615 LCN917597:LCN917615 LMJ917597:LMJ917615 LWF917597:LWF917615 MGB917597:MGB917615 MPX917597:MPX917615 MZT917597:MZT917615 NJP917597:NJP917615 NTL917597:NTL917615 ODH917597:ODH917615 OND917597:OND917615 OWZ917597:OWZ917615 PGV917597:PGV917615 PQR917597:PQR917615 QAN917597:QAN917615 QKJ917597:QKJ917615 QUF917597:QUF917615 REB917597:REB917615 RNX917597:RNX917615 RXT917597:RXT917615 SHP917597:SHP917615 SRL917597:SRL917615 TBH917597:TBH917615 TLD917597:TLD917615 TUZ917597:TUZ917615 UEV917597:UEV917615 UOR917597:UOR917615 UYN917597:UYN917615 VIJ917597:VIJ917615 VSF917597:VSF917615 WCB917597:WCB917615 WLX917597:WLX917615 WVT917597:WVT917615 L983133:L983151 JH983133:JH983151 TD983133:TD983151 ACZ983133:ACZ983151 AMV983133:AMV983151 AWR983133:AWR983151 BGN983133:BGN983151 BQJ983133:BQJ983151 CAF983133:CAF983151 CKB983133:CKB983151 CTX983133:CTX983151 DDT983133:DDT983151 DNP983133:DNP983151 DXL983133:DXL983151 EHH983133:EHH983151 ERD983133:ERD983151 FAZ983133:FAZ983151 FKV983133:FKV983151 FUR983133:FUR983151 GEN983133:GEN983151 GOJ983133:GOJ983151 GYF983133:GYF983151 HIB983133:HIB983151 HRX983133:HRX983151 IBT983133:IBT983151 ILP983133:ILP983151 IVL983133:IVL983151 JFH983133:JFH983151 JPD983133:JPD983151 JYZ983133:JYZ983151 KIV983133:KIV983151 KSR983133:KSR983151 LCN983133:LCN983151 LMJ983133:LMJ983151 LWF983133:LWF983151 MGB983133:MGB983151 MPX983133:MPX983151 MZT983133:MZT983151 NJP983133:NJP983151 NTL983133:NTL983151 ODH983133:ODH983151 OND983133:OND983151 OWZ983133:OWZ983151 PGV983133:PGV983151 PQR983133:PQR983151 QAN983133:QAN983151 QKJ983133:QKJ983151 QUF983133:QUF983151 REB983133:REB983151 RNX983133:RNX983151 RXT983133:RXT983151 SHP983133:SHP983151 SRL983133:SRL983151 TBH983133:TBH983151 TLD983133:TLD983151 TUZ983133:TUZ983151 UEV983133:UEV983151 UOR983133:UOR983151 UYN983133:UYN983151 VIJ983133:VIJ983151 VSF983133:VSF983151 WCB983133:WCB983151 WLX983133:WLX983151 L14:L32 D14:D32" xr:uid="{00000000-0002-0000-2F00-000001000000}">
      <formula1>4</formula1>
    </dataValidation>
    <dataValidation operator="notEqual" allowBlank="1" showInputMessage="1" showErrorMessage="1" errorTitle="Wrong Account" error="NCAS Accounts 438030 and 538030 are NOT transfer accounts. Please contact your OSC analyst before proceeding." sqref="F15:F32 N15:N32" xr:uid="{538D0E7F-273A-4AAE-AC8D-2833F8DEEC22}"/>
  </dataValidations>
  <hyperlinks>
    <hyperlink ref="B1:P1" location="Index!A1" display="Index!A1" xr:uid="{00000000-0004-0000-2F00-000000000000}"/>
  </hyperlinks>
  <pageMargins left="0.6" right="0.6" top="0.5" bottom="0.5" header="0.3" footer="0.3"/>
  <pageSetup orientation="landscape" r:id="rId1"/>
  <ignoredErrors>
    <ignoredError sqref="J14 B14" numberStoredAsText="1"/>
    <ignoredError sqref="P33 H33" formulaRange="1"/>
    <ignoredError sqref="M6:P6 N7:P7" unlockedFormula="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B23C-4236-4AE9-BC6A-A186550CECF7}">
  <sheetPr>
    <pageSetUpPr fitToPage="1"/>
  </sheetPr>
  <dimension ref="A1:AF127"/>
  <sheetViews>
    <sheetView topLeftCell="B1" workbookViewId="0">
      <selection activeCell="A2" sqref="A2"/>
    </sheetView>
  </sheetViews>
  <sheetFormatPr defaultRowHeight="15.75" x14ac:dyDescent="0.25"/>
  <cols>
    <col min="1" max="1" width="0" style="1158" hidden="1" customWidth="1"/>
    <col min="2" max="2" width="11.5703125" style="1158" customWidth="1"/>
    <col min="3" max="3" width="1.5703125" style="1158" customWidth="1"/>
    <col min="4" max="4" width="7" style="1158" customWidth="1"/>
    <col min="5" max="5" width="1.5703125" style="1158" customWidth="1"/>
    <col min="6" max="6" width="12.5703125" style="1158" customWidth="1"/>
    <col min="7" max="7" width="1.5703125" style="1158" customWidth="1"/>
    <col min="8" max="8" width="19.5703125" style="1158" customWidth="1"/>
    <col min="9" max="9" width="2.5703125" style="1158" customWidth="1"/>
    <col min="10" max="10" width="11.5703125" style="1158" customWidth="1"/>
    <col min="11" max="11" width="1.5703125" style="1158" customWidth="1"/>
    <col min="12" max="12" width="6.42578125" style="1158" customWidth="1"/>
    <col min="13" max="13" width="1.5703125" style="1158" customWidth="1"/>
    <col min="14" max="14" width="12.5703125" style="1158" customWidth="1"/>
    <col min="15" max="15" width="1.5703125" style="1158" customWidth="1"/>
    <col min="16" max="16" width="21.42578125" style="1158" customWidth="1"/>
    <col min="17" max="17" width="3" style="1158" customWidth="1"/>
    <col min="18" max="18" width="5.5703125" style="1158" hidden="1" customWidth="1"/>
    <col min="19" max="19" width="2" style="1158" hidden="1" customWidth="1"/>
    <col min="20" max="24" width="5.5703125" style="1158" hidden="1" customWidth="1"/>
    <col min="25" max="25" width="2" style="1158" hidden="1" customWidth="1"/>
    <col min="26" max="29" width="5.5703125" style="1158" hidden="1" customWidth="1"/>
    <col min="30" max="31" width="6.42578125" style="1158" hidden="1" customWidth="1"/>
    <col min="32" max="256" width="9.140625" style="1158" bestFit="1"/>
    <col min="257" max="257" width="0" style="1158" hidden="1" customWidth="1"/>
    <col min="258" max="258" width="10.42578125" style="1158" customWidth="1"/>
    <col min="259" max="259" width="1.42578125" style="1158" customWidth="1"/>
    <col min="260" max="260" width="6.5703125" style="1158" customWidth="1"/>
    <col min="261" max="261" width="1.5703125" style="1158" customWidth="1"/>
    <col min="262" max="262" width="12.5703125" style="1158" customWidth="1"/>
    <col min="263" max="263" width="1.5703125" style="1158" customWidth="1"/>
    <col min="264" max="264" width="19.5703125" style="1158" customWidth="1"/>
    <col min="265" max="265" width="2.5703125" style="1158" customWidth="1"/>
    <col min="266" max="266" width="10.5703125" style="1158" customWidth="1"/>
    <col min="267" max="267" width="0.5703125" style="1158" customWidth="1"/>
    <col min="268" max="268" width="6.42578125" style="1158" customWidth="1"/>
    <col min="269" max="269" width="1.5703125" style="1158" customWidth="1"/>
    <col min="270" max="270" width="12.5703125" style="1158" customWidth="1"/>
    <col min="271" max="271" width="1.5703125" style="1158" customWidth="1"/>
    <col min="272" max="272" width="21" style="1158" customWidth="1"/>
    <col min="273" max="273" width="4.5703125" style="1158" customWidth="1"/>
    <col min="274" max="287" width="0" style="1158" hidden="1" customWidth="1"/>
    <col min="288" max="512" width="9.140625" style="1158" bestFit="1"/>
    <col min="513" max="513" width="0" style="1158" hidden="1" customWidth="1"/>
    <col min="514" max="514" width="10.42578125" style="1158" customWidth="1"/>
    <col min="515" max="515" width="1.42578125" style="1158" customWidth="1"/>
    <col min="516" max="516" width="6.5703125" style="1158" customWidth="1"/>
    <col min="517" max="517" width="1.5703125" style="1158" customWidth="1"/>
    <col min="518" max="518" width="12.5703125" style="1158" customWidth="1"/>
    <col min="519" max="519" width="1.5703125" style="1158" customWidth="1"/>
    <col min="520" max="520" width="19.5703125" style="1158" customWidth="1"/>
    <col min="521" max="521" width="2.5703125" style="1158" customWidth="1"/>
    <col min="522" max="522" width="10.5703125" style="1158" customWidth="1"/>
    <col min="523" max="523" width="0.5703125" style="1158" customWidth="1"/>
    <col min="524" max="524" width="6.42578125" style="1158" customWidth="1"/>
    <col min="525" max="525" width="1.5703125" style="1158" customWidth="1"/>
    <col min="526" max="526" width="12.5703125" style="1158" customWidth="1"/>
    <col min="527" max="527" width="1.5703125" style="1158" customWidth="1"/>
    <col min="528" max="528" width="21" style="1158" customWidth="1"/>
    <col min="529" max="529" width="4.5703125" style="1158" customWidth="1"/>
    <col min="530" max="543" width="0" style="1158" hidden="1" customWidth="1"/>
    <col min="544" max="768" width="9.140625" style="1158" bestFit="1"/>
    <col min="769" max="769" width="0" style="1158" hidden="1" customWidth="1"/>
    <col min="770" max="770" width="10.42578125" style="1158" customWidth="1"/>
    <col min="771" max="771" width="1.42578125" style="1158" customWidth="1"/>
    <col min="772" max="772" width="6.5703125" style="1158" customWidth="1"/>
    <col min="773" max="773" width="1.5703125" style="1158" customWidth="1"/>
    <col min="774" max="774" width="12.5703125" style="1158" customWidth="1"/>
    <col min="775" max="775" width="1.5703125" style="1158" customWidth="1"/>
    <col min="776" max="776" width="19.5703125" style="1158" customWidth="1"/>
    <col min="777" max="777" width="2.5703125" style="1158" customWidth="1"/>
    <col min="778" max="778" width="10.5703125" style="1158" customWidth="1"/>
    <col min="779" max="779" width="0.5703125" style="1158" customWidth="1"/>
    <col min="780" max="780" width="6.42578125" style="1158" customWidth="1"/>
    <col min="781" max="781" width="1.5703125" style="1158" customWidth="1"/>
    <col min="782" max="782" width="12.5703125" style="1158" customWidth="1"/>
    <col min="783" max="783" width="1.5703125" style="1158" customWidth="1"/>
    <col min="784" max="784" width="21" style="1158" customWidth="1"/>
    <col min="785" max="785" width="4.5703125" style="1158" customWidth="1"/>
    <col min="786" max="799" width="0" style="1158" hidden="1" customWidth="1"/>
    <col min="800" max="1024" width="9.140625" style="1158" bestFit="1"/>
    <col min="1025" max="1025" width="0" style="1158" hidden="1" customWidth="1"/>
    <col min="1026" max="1026" width="10.42578125" style="1158" customWidth="1"/>
    <col min="1027" max="1027" width="1.42578125" style="1158" customWidth="1"/>
    <col min="1028" max="1028" width="6.5703125" style="1158" customWidth="1"/>
    <col min="1029" max="1029" width="1.5703125" style="1158" customWidth="1"/>
    <col min="1030" max="1030" width="12.5703125" style="1158" customWidth="1"/>
    <col min="1031" max="1031" width="1.5703125" style="1158" customWidth="1"/>
    <col min="1032" max="1032" width="19.5703125" style="1158" customWidth="1"/>
    <col min="1033" max="1033" width="2.5703125" style="1158" customWidth="1"/>
    <col min="1034" max="1034" width="10.5703125" style="1158" customWidth="1"/>
    <col min="1035" max="1035" width="0.5703125" style="1158" customWidth="1"/>
    <col min="1036" max="1036" width="6.42578125" style="1158" customWidth="1"/>
    <col min="1037" max="1037" width="1.5703125" style="1158" customWidth="1"/>
    <col min="1038" max="1038" width="12.5703125" style="1158" customWidth="1"/>
    <col min="1039" max="1039" width="1.5703125" style="1158" customWidth="1"/>
    <col min="1040" max="1040" width="21" style="1158" customWidth="1"/>
    <col min="1041" max="1041" width="4.5703125" style="1158" customWidth="1"/>
    <col min="1042" max="1055" width="0" style="1158" hidden="1" customWidth="1"/>
    <col min="1056" max="1280" width="9.140625" style="1158" bestFit="1"/>
    <col min="1281" max="1281" width="0" style="1158" hidden="1" customWidth="1"/>
    <col min="1282" max="1282" width="10.42578125" style="1158" customWidth="1"/>
    <col min="1283" max="1283" width="1.42578125" style="1158" customWidth="1"/>
    <col min="1284" max="1284" width="6.5703125" style="1158" customWidth="1"/>
    <col min="1285" max="1285" width="1.5703125" style="1158" customWidth="1"/>
    <col min="1286" max="1286" width="12.5703125" style="1158" customWidth="1"/>
    <col min="1287" max="1287" width="1.5703125" style="1158" customWidth="1"/>
    <col min="1288" max="1288" width="19.5703125" style="1158" customWidth="1"/>
    <col min="1289" max="1289" width="2.5703125" style="1158" customWidth="1"/>
    <col min="1290" max="1290" width="10.5703125" style="1158" customWidth="1"/>
    <col min="1291" max="1291" width="0.5703125" style="1158" customWidth="1"/>
    <col min="1292" max="1292" width="6.42578125" style="1158" customWidth="1"/>
    <col min="1293" max="1293" width="1.5703125" style="1158" customWidth="1"/>
    <col min="1294" max="1294" width="12.5703125" style="1158" customWidth="1"/>
    <col min="1295" max="1295" width="1.5703125" style="1158" customWidth="1"/>
    <col min="1296" max="1296" width="21" style="1158" customWidth="1"/>
    <col min="1297" max="1297" width="4.5703125" style="1158" customWidth="1"/>
    <col min="1298" max="1311" width="0" style="1158" hidden="1" customWidth="1"/>
    <col min="1312" max="1536" width="9.140625" style="1158" bestFit="1"/>
    <col min="1537" max="1537" width="0" style="1158" hidden="1" customWidth="1"/>
    <col min="1538" max="1538" width="10.42578125" style="1158" customWidth="1"/>
    <col min="1539" max="1539" width="1.42578125" style="1158" customWidth="1"/>
    <col min="1540" max="1540" width="6.5703125" style="1158" customWidth="1"/>
    <col min="1541" max="1541" width="1.5703125" style="1158" customWidth="1"/>
    <col min="1542" max="1542" width="12.5703125" style="1158" customWidth="1"/>
    <col min="1543" max="1543" width="1.5703125" style="1158" customWidth="1"/>
    <col min="1544" max="1544" width="19.5703125" style="1158" customWidth="1"/>
    <col min="1545" max="1545" width="2.5703125" style="1158" customWidth="1"/>
    <col min="1546" max="1546" width="10.5703125" style="1158" customWidth="1"/>
    <col min="1547" max="1547" width="0.5703125" style="1158" customWidth="1"/>
    <col min="1548" max="1548" width="6.42578125" style="1158" customWidth="1"/>
    <col min="1549" max="1549" width="1.5703125" style="1158" customWidth="1"/>
    <col min="1550" max="1550" width="12.5703125" style="1158" customWidth="1"/>
    <col min="1551" max="1551" width="1.5703125" style="1158" customWidth="1"/>
    <col min="1552" max="1552" width="21" style="1158" customWidth="1"/>
    <col min="1553" max="1553" width="4.5703125" style="1158" customWidth="1"/>
    <col min="1554" max="1567" width="0" style="1158" hidden="1" customWidth="1"/>
    <col min="1568" max="1792" width="9.140625" style="1158" bestFit="1"/>
    <col min="1793" max="1793" width="0" style="1158" hidden="1" customWidth="1"/>
    <col min="1794" max="1794" width="10.42578125" style="1158" customWidth="1"/>
    <col min="1795" max="1795" width="1.42578125" style="1158" customWidth="1"/>
    <col min="1796" max="1796" width="6.5703125" style="1158" customWidth="1"/>
    <col min="1797" max="1797" width="1.5703125" style="1158" customWidth="1"/>
    <col min="1798" max="1798" width="12.5703125" style="1158" customWidth="1"/>
    <col min="1799" max="1799" width="1.5703125" style="1158" customWidth="1"/>
    <col min="1800" max="1800" width="19.5703125" style="1158" customWidth="1"/>
    <col min="1801" max="1801" width="2.5703125" style="1158" customWidth="1"/>
    <col min="1802" max="1802" width="10.5703125" style="1158" customWidth="1"/>
    <col min="1803" max="1803" width="0.5703125" style="1158" customWidth="1"/>
    <col min="1804" max="1804" width="6.42578125" style="1158" customWidth="1"/>
    <col min="1805" max="1805" width="1.5703125" style="1158" customWidth="1"/>
    <col min="1806" max="1806" width="12.5703125" style="1158" customWidth="1"/>
    <col min="1807" max="1807" width="1.5703125" style="1158" customWidth="1"/>
    <col min="1808" max="1808" width="21" style="1158" customWidth="1"/>
    <col min="1809" max="1809" width="4.5703125" style="1158" customWidth="1"/>
    <col min="1810" max="1823" width="0" style="1158" hidden="1" customWidth="1"/>
    <col min="1824" max="2048" width="9.140625" style="1158" bestFit="1"/>
    <col min="2049" max="2049" width="0" style="1158" hidden="1" customWidth="1"/>
    <col min="2050" max="2050" width="10.42578125" style="1158" customWidth="1"/>
    <col min="2051" max="2051" width="1.42578125" style="1158" customWidth="1"/>
    <col min="2052" max="2052" width="6.5703125" style="1158" customWidth="1"/>
    <col min="2053" max="2053" width="1.5703125" style="1158" customWidth="1"/>
    <col min="2054" max="2054" width="12.5703125" style="1158" customWidth="1"/>
    <col min="2055" max="2055" width="1.5703125" style="1158" customWidth="1"/>
    <col min="2056" max="2056" width="19.5703125" style="1158" customWidth="1"/>
    <col min="2057" max="2057" width="2.5703125" style="1158" customWidth="1"/>
    <col min="2058" max="2058" width="10.5703125" style="1158" customWidth="1"/>
    <col min="2059" max="2059" width="0.5703125" style="1158" customWidth="1"/>
    <col min="2060" max="2060" width="6.42578125" style="1158" customWidth="1"/>
    <col min="2061" max="2061" width="1.5703125" style="1158" customWidth="1"/>
    <col min="2062" max="2062" width="12.5703125" style="1158" customWidth="1"/>
    <col min="2063" max="2063" width="1.5703125" style="1158" customWidth="1"/>
    <col min="2064" max="2064" width="21" style="1158" customWidth="1"/>
    <col min="2065" max="2065" width="4.5703125" style="1158" customWidth="1"/>
    <col min="2066" max="2079" width="0" style="1158" hidden="1" customWidth="1"/>
    <col min="2080" max="2304" width="9.140625" style="1158" bestFit="1"/>
    <col min="2305" max="2305" width="0" style="1158" hidden="1" customWidth="1"/>
    <col min="2306" max="2306" width="10.42578125" style="1158" customWidth="1"/>
    <col min="2307" max="2307" width="1.42578125" style="1158" customWidth="1"/>
    <col min="2308" max="2308" width="6.5703125" style="1158" customWidth="1"/>
    <col min="2309" max="2309" width="1.5703125" style="1158" customWidth="1"/>
    <col min="2310" max="2310" width="12.5703125" style="1158" customWidth="1"/>
    <col min="2311" max="2311" width="1.5703125" style="1158" customWidth="1"/>
    <col min="2312" max="2312" width="19.5703125" style="1158" customWidth="1"/>
    <col min="2313" max="2313" width="2.5703125" style="1158" customWidth="1"/>
    <col min="2314" max="2314" width="10.5703125" style="1158" customWidth="1"/>
    <col min="2315" max="2315" width="0.5703125" style="1158" customWidth="1"/>
    <col min="2316" max="2316" width="6.42578125" style="1158" customWidth="1"/>
    <col min="2317" max="2317" width="1.5703125" style="1158" customWidth="1"/>
    <col min="2318" max="2318" width="12.5703125" style="1158" customWidth="1"/>
    <col min="2319" max="2319" width="1.5703125" style="1158" customWidth="1"/>
    <col min="2320" max="2320" width="21" style="1158" customWidth="1"/>
    <col min="2321" max="2321" width="4.5703125" style="1158" customWidth="1"/>
    <col min="2322" max="2335" width="0" style="1158" hidden="1" customWidth="1"/>
    <col min="2336" max="2560" width="9.140625" style="1158" bestFit="1"/>
    <col min="2561" max="2561" width="0" style="1158" hidden="1" customWidth="1"/>
    <col min="2562" max="2562" width="10.42578125" style="1158" customWidth="1"/>
    <col min="2563" max="2563" width="1.42578125" style="1158" customWidth="1"/>
    <col min="2564" max="2564" width="6.5703125" style="1158" customWidth="1"/>
    <col min="2565" max="2565" width="1.5703125" style="1158" customWidth="1"/>
    <col min="2566" max="2566" width="12.5703125" style="1158" customWidth="1"/>
    <col min="2567" max="2567" width="1.5703125" style="1158" customWidth="1"/>
    <col min="2568" max="2568" width="19.5703125" style="1158" customWidth="1"/>
    <col min="2569" max="2569" width="2.5703125" style="1158" customWidth="1"/>
    <col min="2570" max="2570" width="10.5703125" style="1158" customWidth="1"/>
    <col min="2571" max="2571" width="0.5703125" style="1158" customWidth="1"/>
    <col min="2572" max="2572" width="6.42578125" style="1158" customWidth="1"/>
    <col min="2573" max="2573" width="1.5703125" style="1158" customWidth="1"/>
    <col min="2574" max="2574" width="12.5703125" style="1158" customWidth="1"/>
    <col min="2575" max="2575" width="1.5703125" style="1158" customWidth="1"/>
    <col min="2576" max="2576" width="21" style="1158" customWidth="1"/>
    <col min="2577" max="2577" width="4.5703125" style="1158" customWidth="1"/>
    <col min="2578" max="2591" width="0" style="1158" hidden="1" customWidth="1"/>
    <col min="2592" max="2816" width="9.140625" style="1158" bestFit="1"/>
    <col min="2817" max="2817" width="0" style="1158" hidden="1" customWidth="1"/>
    <col min="2818" max="2818" width="10.42578125" style="1158" customWidth="1"/>
    <col min="2819" max="2819" width="1.42578125" style="1158" customWidth="1"/>
    <col min="2820" max="2820" width="6.5703125" style="1158" customWidth="1"/>
    <col min="2821" max="2821" width="1.5703125" style="1158" customWidth="1"/>
    <col min="2822" max="2822" width="12.5703125" style="1158" customWidth="1"/>
    <col min="2823" max="2823" width="1.5703125" style="1158" customWidth="1"/>
    <col min="2824" max="2824" width="19.5703125" style="1158" customWidth="1"/>
    <col min="2825" max="2825" width="2.5703125" style="1158" customWidth="1"/>
    <col min="2826" max="2826" width="10.5703125" style="1158" customWidth="1"/>
    <col min="2827" max="2827" width="0.5703125" style="1158" customWidth="1"/>
    <col min="2828" max="2828" width="6.42578125" style="1158" customWidth="1"/>
    <col min="2829" max="2829" width="1.5703125" style="1158" customWidth="1"/>
    <col min="2830" max="2830" width="12.5703125" style="1158" customWidth="1"/>
    <col min="2831" max="2831" width="1.5703125" style="1158" customWidth="1"/>
    <col min="2832" max="2832" width="21" style="1158" customWidth="1"/>
    <col min="2833" max="2833" width="4.5703125" style="1158" customWidth="1"/>
    <col min="2834" max="2847" width="0" style="1158" hidden="1" customWidth="1"/>
    <col min="2848" max="3072" width="9.140625" style="1158" bestFit="1"/>
    <col min="3073" max="3073" width="0" style="1158" hidden="1" customWidth="1"/>
    <col min="3074" max="3074" width="10.42578125" style="1158" customWidth="1"/>
    <col min="3075" max="3075" width="1.42578125" style="1158" customWidth="1"/>
    <col min="3076" max="3076" width="6.5703125" style="1158" customWidth="1"/>
    <col min="3077" max="3077" width="1.5703125" style="1158" customWidth="1"/>
    <col min="3078" max="3078" width="12.5703125" style="1158" customWidth="1"/>
    <col min="3079" max="3079" width="1.5703125" style="1158" customWidth="1"/>
    <col min="3080" max="3080" width="19.5703125" style="1158" customWidth="1"/>
    <col min="3081" max="3081" width="2.5703125" style="1158" customWidth="1"/>
    <col min="3082" max="3082" width="10.5703125" style="1158" customWidth="1"/>
    <col min="3083" max="3083" width="0.5703125" style="1158" customWidth="1"/>
    <col min="3084" max="3084" width="6.42578125" style="1158" customWidth="1"/>
    <col min="3085" max="3085" width="1.5703125" style="1158" customWidth="1"/>
    <col min="3086" max="3086" width="12.5703125" style="1158" customWidth="1"/>
    <col min="3087" max="3087" width="1.5703125" style="1158" customWidth="1"/>
    <col min="3088" max="3088" width="21" style="1158" customWidth="1"/>
    <col min="3089" max="3089" width="4.5703125" style="1158" customWidth="1"/>
    <col min="3090" max="3103" width="0" style="1158" hidden="1" customWidth="1"/>
    <col min="3104" max="3328" width="9.140625" style="1158" bestFit="1"/>
    <col min="3329" max="3329" width="0" style="1158" hidden="1" customWidth="1"/>
    <col min="3330" max="3330" width="10.42578125" style="1158" customWidth="1"/>
    <col min="3331" max="3331" width="1.42578125" style="1158" customWidth="1"/>
    <col min="3332" max="3332" width="6.5703125" style="1158" customWidth="1"/>
    <col min="3333" max="3333" width="1.5703125" style="1158" customWidth="1"/>
    <col min="3334" max="3334" width="12.5703125" style="1158" customWidth="1"/>
    <col min="3335" max="3335" width="1.5703125" style="1158" customWidth="1"/>
    <col min="3336" max="3336" width="19.5703125" style="1158" customWidth="1"/>
    <col min="3337" max="3337" width="2.5703125" style="1158" customWidth="1"/>
    <col min="3338" max="3338" width="10.5703125" style="1158" customWidth="1"/>
    <col min="3339" max="3339" width="0.5703125" style="1158" customWidth="1"/>
    <col min="3340" max="3340" width="6.42578125" style="1158" customWidth="1"/>
    <col min="3341" max="3341" width="1.5703125" style="1158" customWidth="1"/>
    <col min="3342" max="3342" width="12.5703125" style="1158" customWidth="1"/>
    <col min="3343" max="3343" width="1.5703125" style="1158" customWidth="1"/>
    <col min="3344" max="3344" width="21" style="1158" customWidth="1"/>
    <col min="3345" max="3345" width="4.5703125" style="1158" customWidth="1"/>
    <col min="3346" max="3359" width="0" style="1158" hidden="1" customWidth="1"/>
    <col min="3360" max="3584" width="9.140625" style="1158" bestFit="1"/>
    <col min="3585" max="3585" width="0" style="1158" hidden="1" customWidth="1"/>
    <col min="3586" max="3586" width="10.42578125" style="1158" customWidth="1"/>
    <col min="3587" max="3587" width="1.42578125" style="1158" customWidth="1"/>
    <col min="3588" max="3588" width="6.5703125" style="1158" customWidth="1"/>
    <col min="3589" max="3589" width="1.5703125" style="1158" customWidth="1"/>
    <col min="3590" max="3590" width="12.5703125" style="1158" customWidth="1"/>
    <col min="3591" max="3591" width="1.5703125" style="1158" customWidth="1"/>
    <col min="3592" max="3592" width="19.5703125" style="1158" customWidth="1"/>
    <col min="3593" max="3593" width="2.5703125" style="1158" customWidth="1"/>
    <col min="3594" max="3594" width="10.5703125" style="1158" customWidth="1"/>
    <col min="3595" max="3595" width="0.5703125" style="1158" customWidth="1"/>
    <col min="3596" max="3596" width="6.42578125" style="1158" customWidth="1"/>
    <col min="3597" max="3597" width="1.5703125" style="1158" customWidth="1"/>
    <col min="3598" max="3598" width="12.5703125" style="1158" customWidth="1"/>
    <col min="3599" max="3599" width="1.5703125" style="1158" customWidth="1"/>
    <col min="3600" max="3600" width="21" style="1158" customWidth="1"/>
    <col min="3601" max="3601" width="4.5703125" style="1158" customWidth="1"/>
    <col min="3602" max="3615" width="0" style="1158" hidden="1" customWidth="1"/>
    <col min="3616" max="3840" width="9.140625" style="1158" bestFit="1"/>
    <col min="3841" max="3841" width="0" style="1158" hidden="1" customWidth="1"/>
    <col min="3842" max="3842" width="10.42578125" style="1158" customWidth="1"/>
    <col min="3843" max="3843" width="1.42578125" style="1158" customWidth="1"/>
    <col min="3844" max="3844" width="6.5703125" style="1158" customWidth="1"/>
    <col min="3845" max="3845" width="1.5703125" style="1158" customWidth="1"/>
    <col min="3846" max="3846" width="12.5703125" style="1158" customWidth="1"/>
    <col min="3847" max="3847" width="1.5703125" style="1158" customWidth="1"/>
    <col min="3848" max="3848" width="19.5703125" style="1158" customWidth="1"/>
    <col min="3849" max="3849" width="2.5703125" style="1158" customWidth="1"/>
    <col min="3850" max="3850" width="10.5703125" style="1158" customWidth="1"/>
    <col min="3851" max="3851" width="0.5703125" style="1158" customWidth="1"/>
    <col min="3852" max="3852" width="6.42578125" style="1158" customWidth="1"/>
    <col min="3853" max="3853" width="1.5703125" style="1158" customWidth="1"/>
    <col min="3854" max="3854" width="12.5703125" style="1158" customWidth="1"/>
    <col min="3855" max="3855" width="1.5703125" style="1158" customWidth="1"/>
    <col min="3856" max="3856" width="21" style="1158" customWidth="1"/>
    <col min="3857" max="3857" width="4.5703125" style="1158" customWidth="1"/>
    <col min="3858" max="3871" width="0" style="1158" hidden="1" customWidth="1"/>
    <col min="3872" max="4096" width="9.140625" style="1158" bestFit="1"/>
    <col min="4097" max="4097" width="0" style="1158" hidden="1" customWidth="1"/>
    <col min="4098" max="4098" width="10.42578125" style="1158" customWidth="1"/>
    <col min="4099" max="4099" width="1.42578125" style="1158" customWidth="1"/>
    <col min="4100" max="4100" width="6.5703125" style="1158" customWidth="1"/>
    <col min="4101" max="4101" width="1.5703125" style="1158" customWidth="1"/>
    <col min="4102" max="4102" width="12.5703125" style="1158" customWidth="1"/>
    <col min="4103" max="4103" width="1.5703125" style="1158" customWidth="1"/>
    <col min="4104" max="4104" width="19.5703125" style="1158" customWidth="1"/>
    <col min="4105" max="4105" width="2.5703125" style="1158" customWidth="1"/>
    <col min="4106" max="4106" width="10.5703125" style="1158" customWidth="1"/>
    <col min="4107" max="4107" width="0.5703125" style="1158" customWidth="1"/>
    <col min="4108" max="4108" width="6.42578125" style="1158" customWidth="1"/>
    <col min="4109" max="4109" width="1.5703125" style="1158" customWidth="1"/>
    <col min="4110" max="4110" width="12.5703125" style="1158" customWidth="1"/>
    <col min="4111" max="4111" width="1.5703125" style="1158" customWidth="1"/>
    <col min="4112" max="4112" width="21" style="1158" customWidth="1"/>
    <col min="4113" max="4113" width="4.5703125" style="1158" customWidth="1"/>
    <col min="4114" max="4127" width="0" style="1158" hidden="1" customWidth="1"/>
    <col min="4128" max="4352" width="9.140625" style="1158" bestFit="1"/>
    <col min="4353" max="4353" width="0" style="1158" hidden="1" customWidth="1"/>
    <col min="4354" max="4354" width="10.42578125" style="1158" customWidth="1"/>
    <col min="4355" max="4355" width="1.42578125" style="1158" customWidth="1"/>
    <col min="4356" max="4356" width="6.5703125" style="1158" customWidth="1"/>
    <col min="4357" max="4357" width="1.5703125" style="1158" customWidth="1"/>
    <col min="4358" max="4358" width="12.5703125" style="1158" customWidth="1"/>
    <col min="4359" max="4359" width="1.5703125" style="1158" customWidth="1"/>
    <col min="4360" max="4360" width="19.5703125" style="1158" customWidth="1"/>
    <col min="4361" max="4361" width="2.5703125" style="1158" customWidth="1"/>
    <col min="4362" max="4362" width="10.5703125" style="1158" customWidth="1"/>
    <col min="4363" max="4363" width="0.5703125" style="1158" customWidth="1"/>
    <col min="4364" max="4364" width="6.42578125" style="1158" customWidth="1"/>
    <col min="4365" max="4365" width="1.5703125" style="1158" customWidth="1"/>
    <col min="4366" max="4366" width="12.5703125" style="1158" customWidth="1"/>
    <col min="4367" max="4367" width="1.5703125" style="1158" customWidth="1"/>
    <col min="4368" max="4368" width="21" style="1158" customWidth="1"/>
    <col min="4369" max="4369" width="4.5703125" style="1158" customWidth="1"/>
    <col min="4370" max="4383" width="0" style="1158" hidden="1" customWidth="1"/>
    <col min="4384" max="4608" width="9.140625" style="1158" bestFit="1"/>
    <col min="4609" max="4609" width="0" style="1158" hidden="1" customWidth="1"/>
    <col min="4610" max="4610" width="10.42578125" style="1158" customWidth="1"/>
    <col min="4611" max="4611" width="1.42578125" style="1158" customWidth="1"/>
    <col min="4612" max="4612" width="6.5703125" style="1158" customWidth="1"/>
    <col min="4613" max="4613" width="1.5703125" style="1158" customWidth="1"/>
    <col min="4614" max="4614" width="12.5703125" style="1158" customWidth="1"/>
    <col min="4615" max="4615" width="1.5703125" style="1158" customWidth="1"/>
    <col min="4616" max="4616" width="19.5703125" style="1158" customWidth="1"/>
    <col min="4617" max="4617" width="2.5703125" style="1158" customWidth="1"/>
    <col min="4618" max="4618" width="10.5703125" style="1158" customWidth="1"/>
    <col min="4619" max="4619" width="0.5703125" style="1158" customWidth="1"/>
    <col min="4620" max="4620" width="6.42578125" style="1158" customWidth="1"/>
    <col min="4621" max="4621" width="1.5703125" style="1158" customWidth="1"/>
    <col min="4622" max="4622" width="12.5703125" style="1158" customWidth="1"/>
    <col min="4623" max="4623" width="1.5703125" style="1158" customWidth="1"/>
    <col min="4624" max="4624" width="21" style="1158" customWidth="1"/>
    <col min="4625" max="4625" width="4.5703125" style="1158" customWidth="1"/>
    <col min="4626" max="4639" width="0" style="1158" hidden="1" customWidth="1"/>
    <col min="4640" max="4864" width="9.140625" style="1158" bestFit="1"/>
    <col min="4865" max="4865" width="0" style="1158" hidden="1" customWidth="1"/>
    <col min="4866" max="4866" width="10.42578125" style="1158" customWidth="1"/>
    <col min="4867" max="4867" width="1.42578125" style="1158" customWidth="1"/>
    <col min="4868" max="4868" width="6.5703125" style="1158" customWidth="1"/>
    <col min="4869" max="4869" width="1.5703125" style="1158" customWidth="1"/>
    <col min="4870" max="4870" width="12.5703125" style="1158" customWidth="1"/>
    <col min="4871" max="4871" width="1.5703125" style="1158" customWidth="1"/>
    <col min="4872" max="4872" width="19.5703125" style="1158" customWidth="1"/>
    <col min="4873" max="4873" width="2.5703125" style="1158" customWidth="1"/>
    <col min="4874" max="4874" width="10.5703125" style="1158" customWidth="1"/>
    <col min="4875" max="4875" width="0.5703125" style="1158" customWidth="1"/>
    <col min="4876" max="4876" width="6.42578125" style="1158" customWidth="1"/>
    <col min="4877" max="4877" width="1.5703125" style="1158" customWidth="1"/>
    <col min="4878" max="4878" width="12.5703125" style="1158" customWidth="1"/>
    <col min="4879" max="4879" width="1.5703125" style="1158" customWidth="1"/>
    <col min="4880" max="4880" width="21" style="1158" customWidth="1"/>
    <col min="4881" max="4881" width="4.5703125" style="1158" customWidth="1"/>
    <col min="4882" max="4895" width="0" style="1158" hidden="1" customWidth="1"/>
    <col min="4896" max="5120" width="9.140625" style="1158" bestFit="1"/>
    <col min="5121" max="5121" width="0" style="1158" hidden="1" customWidth="1"/>
    <col min="5122" max="5122" width="10.42578125" style="1158" customWidth="1"/>
    <col min="5123" max="5123" width="1.42578125" style="1158" customWidth="1"/>
    <col min="5124" max="5124" width="6.5703125" style="1158" customWidth="1"/>
    <col min="5125" max="5125" width="1.5703125" style="1158" customWidth="1"/>
    <col min="5126" max="5126" width="12.5703125" style="1158" customWidth="1"/>
    <col min="5127" max="5127" width="1.5703125" style="1158" customWidth="1"/>
    <col min="5128" max="5128" width="19.5703125" style="1158" customWidth="1"/>
    <col min="5129" max="5129" width="2.5703125" style="1158" customWidth="1"/>
    <col min="5130" max="5130" width="10.5703125" style="1158" customWidth="1"/>
    <col min="5131" max="5131" width="0.5703125" style="1158" customWidth="1"/>
    <col min="5132" max="5132" width="6.42578125" style="1158" customWidth="1"/>
    <col min="5133" max="5133" width="1.5703125" style="1158" customWidth="1"/>
    <col min="5134" max="5134" width="12.5703125" style="1158" customWidth="1"/>
    <col min="5135" max="5135" width="1.5703125" style="1158" customWidth="1"/>
    <col min="5136" max="5136" width="21" style="1158" customWidth="1"/>
    <col min="5137" max="5137" width="4.5703125" style="1158" customWidth="1"/>
    <col min="5138" max="5151" width="0" style="1158" hidden="1" customWidth="1"/>
    <col min="5152" max="5376" width="9.140625" style="1158" bestFit="1"/>
    <col min="5377" max="5377" width="0" style="1158" hidden="1" customWidth="1"/>
    <col min="5378" max="5378" width="10.42578125" style="1158" customWidth="1"/>
    <col min="5379" max="5379" width="1.42578125" style="1158" customWidth="1"/>
    <col min="5380" max="5380" width="6.5703125" style="1158" customWidth="1"/>
    <col min="5381" max="5381" width="1.5703125" style="1158" customWidth="1"/>
    <col min="5382" max="5382" width="12.5703125" style="1158" customWidth="1"/>
    <col min="5383" max="5383" width="1.5703125" style="1158" customWidth="1"/>
    <col min="5384" max="5384" width="19.5703125" style="1158" customWidth="1"/>
    <col min="5385" max="5385" width="2.5703125" style="1158" customWidth="1"/>
    <col min="5386" max="5386" width="10.5703125" style="1158" customWidth="1"/>
    <col min="5387" max="5387" width="0.5703125" style="1158" customWidth="1"/>
    <col min="5388" max="5388" width="6.42578125" style="1158" customWidth="1"/>
    <col min="5389" max="5389" width="1.5703125" style="1158" customWidth="1"/>
    <col min="5390" max="5390" width="12.5703125" style="1158" customWidth="1"/>
    <col min="5391" max="5391" width="1.5703125" style="1158" customWidth="1"/>
    <col min="5392" max="5392" width="21" style="1158" customWidth="1"/>
    <col min="5393" max="5393" width="4.5703125" style="1158" customWidth="1"/>
    <col min="5394" max="5407" width="0" style="1158" hidden="1" customWidth="1"/>
    <col min="5408" max="5632" width="9.140625" style="1158" bestFit="1"/>
    <col min="5633" max="5633" width="0" style="1158" hidden="1" customWidth="1"/>
    <col min="5634" max="5634" width="10.42578125" style="1158" customWidth="1"/>
    <col min="5635" max="5635" width="1.42578125" style="1158" customWidth="1"/>
    <col min="5636" max="5636" width="6.5703125" style="1158" customWidth="1"/>
    <col min="5637" max="5637" width="1.5703125" style="1158" customWidth="1"/>
    <col min="5638" max="5638" width="12.5703125" style="1158" customWidth="1"/>
    <col min="5639" max="5639" width="1.5703125" style="1158" customWidth="1"/>
    <col min="5640" max="5640" width="19.5703125" style="1158" customWidth="1"/>
    <col min="5641" max="5641" width="2.5703125" style="1158" customWidth="1"/>
    <col min="5642" max="5642" width="10.5703125" style="1158" customWidth="1"/>
    <col min="5643" max="5643" width="0.5703125" style="1158" customWidth="1"/>
    <col min="5644" max="5644" width="6.42578125" style="1158" customWidth="1"/>
    <col min="5645" max="5645" width="1.5703125" style="1158" customWidth="1"/>
    <col min="5646" max="5646" width="12.5703125" style="1158" customWidth="1"/>
    <col min="5647" max="5647" width="1.5703125" style="1158" customWidth="1"/>
    <col min="5648" max="5648" width="21" style="1158" customWidth="1"/>
    <col min="5649" max="5649" width="4.5703125" style="1158" customWidth="1"/>
    <col min="5650" max="5663" width="0" style="1158" hidden="1" customWidth="1"/>
    <col min="5664" max="5888" width="9.140625" style="1158" bestFit="1"/>
    <col min="5889" max="5889" width="0" style="1158" hidden="1" customWidth="1"/>
    <col min="5890" max="5890" width="10.42578125" style="1158" customWidth="1"/>
    <col min="5891" max="5891" width="1.42578125" style="1158" customWidth="1"/>
    <col min="5892" max="5892" width="6.5703125" style="1158" customWidth="1"/>
    <col min="5893" max="5893" width="1.5703125" style="1158" customWidth="1"/>
    <col min="5894" max="5894" width="12.5703125" style="1158" customWidth="1"/>
    <col min="5895" max="5895" width="1.5703125" style="1158" customWidth="1"/>
    <col min="5896" max="5896" width="19.5703125" style="1158" customWidth="1"/>
    <col min="5897" max="5897" width="2.5703125" style="1158" customWidth="1"/>
    <col min="5898" max="5898" width="10.5703125" style="1158" customWidth="1"/>
    <col min="5899" max="5899" width="0.5703125" style="1158" customWidth="1"/>
    <col min="5900" max="5900" width="6.42578125" style="1158" customWidth="1"/>
    <col min="5901" max="5901" width="1.5703125" style="1158" customWidth="1"/>
    <col min="5902" max="5902" width="12.5703125" style="1158" customWidth="1"/>
    <col min="5903" max="5903" width="1.5703125" style="1158" customWidth="1"/>
    <col min="5904" max="5904" width="21" style="1158" customWidth="1"/>
    <col min="5905" max="5905" width="4.5703125" style="1158" customWidth="1"/>
    <col min="5906" max="5919" width="0" style="1158" hidden="1" customWidth="1"/>
    <col min="5920" max="6144" width="9.140625" style="1158" bestFit="1"/>
    <col min="6145" max="6145" width="0" style="1158" hidden="1" customWidth="1"/>
    <col min="6146" max="6146" width="10.42578125" style="1158" customWidth="1"/>
    <col min="6147" max="6147" width="1.42578125" style="1158" customWidth="1"/>
    <col min="6148" max="6148" width="6.5703125" style="1158" customWidth="1"/>
    <col min="6149" max="6149" width="1.5703125" style="1158" customWidth="1"/>
    <col min="6150" max="6150" width="12.5703125" style="1158" customWidth="1"/>
    <col min="6151" max="6151" width="1.5703125" style="1158" customWidth="1"/>
    <col min="6152" max="6152" width="19.5703125" style="1158" customWidth="1"/>
    <col min="6153" max="6153" width="2.5703125" style="1158" customWidth="1"/>
    <col min="6154" max="6154" width="10.5703125" style="1158" customWidth="1"/>
    <col min="6155" max="6155" width="0.5703125" style="1158" customWidth="1"/>
    <col min="6156" max="6156" width="6.42578125" style="1158" customWidth="1"/>
    <col min="6157" max="6157" width="1.5703125" style="1158" customWidth="1"/>
    <col min="6158" max="6158" width="12.5703125" style="1158" customWidth="1"/>
    <col min="6159" max="6159" width="1.5703125" style="1158" customWidth="1"/>
    <col min="6160" max="6160" width="21" style="1158" customWidth="1"/>
    <col min="6161" max="6161" width="4.5703125" style="1158" customWidth="1"/>
    <col min="6162" max="6175" width="0" style="1158" hidden="1" customWidth="1"/>
    <col min="6176" max="6400" width="9.140625" style="1158" bestFit="1"/>
    <col min="6401" max="6401" width="0" style="1158" hidden="1" customWidth="1"/>
    <col min="6402" max="6402" width="10.42578125" style="1158" customWidth="1"/>
    <col min="6403" max="6403" width="1.42578125" style="1158" customWidth="1"/>
    <col min="6404" max="6404" width="6.5703125" style="1158" customWidth="1"/>
    <col min="6405" max="6405" width="1.5703125" style="1158" customWidth="1"/>
    <col min="6406" max="6406" width="12.5703125" style="1158" customWidth="1"/>
    <col min="6407" max="6407" width="1.5703125" style="1158" customWidth="1"/>
    <col min="6408" max="6408" width="19.5703125" style="1158" customWidth="1"/>
    <col min="6409" max="6409" width="2.5703125" style="1158" customWidth="1"/>
    <col min="6410" max="6410" width="10.5703125" style="1158" customWidth="1"/>
    <col min="6411" max="6411" width="0.5703125" style="1158" customWidth="1"/>
    <col min="6412" max="6412" width="6.42578125" style="1158" customWidth="1"/>
    <col min="6413" max="6413" width="1.5703125" style="1158" customWidth="1"/>
    <col min="6414" max="6414" width="12.5703125" style="1158" customWidth="1"/>
    <col min="6415" max="6415" width="1.5703125" style="1158" customWidth="1"/>
    <col min="6416" max="6416" width="21" style="1158" customWidth="1"/>
    <col min="6417" max="6417" width="4.5703125" style="1158" customWidth="1"/>
    <col min="6418" max="6431" width="0" style="1158" hidden="1" customWidth="1"/>
    <col min="6432" max="6656" width="9.140625" style="1158" bestFit="1"/>
    <col min="6657" max="6657" width="0" style="1158" hidden="1" customWidth="1"/>
    <col min="6658" max="6658" width="10.42578125" style="1158" customWidth="1"/>
    <col min="6659" max="6659" width="1.42578125" style="1158" customWidth="1"/>
    <col min="6660" max="6660" width="6.5703125" style="1158" customWidth="1"/>
    <col min="6661" max="6661" width="1.5703125" style="1158" customWidth="1"/>
    <col min="6662" max="6662" width="12.5703125" style="1158" customWidth="1"/>
    <col min="6663" max="6663" width="1.5703125" style="1158" customWidth="1"/>
    <col min="6664" max="6664" width="19.5703125" style="1158" customWidth="1"/>
    <col min="6665" max="6665" width="2.5703125" style="1158" customWidth="1"/>
    <col min="6666" max="6666" width="10.5703125" style="1158" customWidth="1"/>
    <col min="6667" max="6667" width="0.5703125" style="1158" customWidth="1"/>
    <col min="6668" max="6668" width="6.42578125" style="1158" customWidth="1"/>
    <col min="6669" max="6669" width="1.5703125" style="1158" customWidth="1"/>
    <col min="6670" max="6670" width="12.5703125" style="1158" customWidth="1"/>
    <col min="6671" max="6671" width="1.5703125" style="1158" customWidth="1"/>
    <col min="6672" max="6672" width="21" style="1158" customWidth="1"/>
    <col min="6673" max="6673" width="4.5703125" style="1158" customWidth="1"/>
    <col min="6674" max="6687" width="0" style="1158" hidden="1" customWidth="1"/>
    <col min="6688" max="6912" width="9.140625" style="1158" bestFit="1"/>
    <col min="6913" max="6913" width="0" style="1158" hidden="1" customWidth="1"/>
    <col min="6914" max="6914" width="10.42578125" style="1158" customWidth="1"/>
    <col min="6915" max="6915" width="1.42578125" style="1158" customWidth="1"/>
    <col min="6916" max="6916" width="6.5703125" style="1158" customWidth="1"/>
    <col min="6917" max="6917" width="1.5703125" style="1158" customWidth="1"/>
    <col min="6918" max="6918" width="12.5703125" style="1158" customWidth="1"/>
    <col min="6919" max="6919" width="1.5703125" style="1158" customWidth="1"/>
    <col min="6920" max="6920" width="19.5703125" style="1158" customWidth="1"/>
    <col min="6921" max="6921" width="2.5703125" style="1158" customWidth="1"/>
    <col min="6922" max="6922" width="10.5703125" style="1158" customWidth="1"/>
    <col min="6923" max="6923" width="0.5703125" style="1158" customWidth="1"/>
    <col min="6924" max="6924" width="6.42578125" style="1158" customWidth="1"/>
    <col min="6925" max="6925" width="1.5703125" style="1158" customWidth="1"/>
    <col min="6926" max="6926" width="12.5703125" style="1158" customWidth="1"/>
    <col min="6927" max="6927" width="1.5703125" style="1158" customWidth="1"/>
    <col min="6928" max="6928" width="21" style="1158" customWidth="1"/>
    <col min="6929" max="6929" width="4.5703125" style="1158" customWidth="1"/>
    <col min="6930" max="6943" width="0" style="1158" hidden="1" customWidth="1"/>
    <col min="6944" max="7168" width="9.140625" style="1158" bestFit="1"/>
    <col min="7169" max="7169" width="0" style="1158" hidden="1" customWidth="1"/>
    <col min="7170" max="7170" width="10.42578125" style="1158" customWidth="1"/>
    <col min="7171" max="7171" width="1.42578125" style="1158" customWidth="1"/>
    <col min="7172" max="7172" width="6.5703125" style="1158" customWidth="1"/>
    <col min="7173" max="7173" width="1.5703125" style="1158" customWidth="1"/>
    <col min="7174" max="7174" width="12.5703125" style="1158" customWidth="1"/>
    <col min="7175" max="7175" width="1.5703125" style="1158" customWidth="1"/>
    <col min="7176" max="7176" width="19.5703125" style="1158" customWidth="1"/>
    <col min="7177" max="7177" width="2.5703125" style="1158" customWidth="1"/>
    <col min="7178" max="7178" width="10.5703125" style="1158" customWidth="1"/>
    <col min="7179" max="7179" width="0.5703125" style="1158" customWidth="1"/>
    <col min="7180" max="7180" width="6.42578125" style="1158" customWidth="1"/>
    <col min="7181" max="7181" width="1.5703125" style="1158" customWidth="1"/>
    <col min="7182" max="7182" width="12.5703125" style="1158" customWidth="1"/>
    <col min="7183" max="7183" width="1.5703125" style="1158" customWidth="1"/>
    <col min="7184" max="7184" width="21" style="1158" customWidth="1"/>
    <col min="7185" max="7185" width="4.5703125" style="1158" customWidth="1"/>
    <col min="7186" max="7199" width="0" style="1158" hidden="1" customWidth="1"/>
    <col min="7200" max="7424" width="9.140625" style="1158" bestFit="1"/>
    <col min="7425" max="7425" width="0" style="1158" hidden="1" customWidth="1"/>
    <col min="7426" max="7426" width="10.42578125" style="1158" customWidth="1"/>
    <col min="7427" max="7427" width="1.42578125" style="1158" customWidth="1"/>
    <col min="7428" max="7428" width="6.5703125" style="1158" customWidth="1"/>
    <col min="7429" max="7429" width="1.5703125" style="1158" customWidth="1"/>
    <col min="7430" max="7430" width="12.5703125" style="1158" customWidth="1"/>
    <col min="7431" max="7431" width="1.5703125" style="1158" customWidth="1"/>
    <col min="7432" max="7432" width="19.5703125" style="1158" customWidth="1"/>
    <col min="7433" max="7433" width="2.5703125" style="1158" customWidth="1"/>
    <col min="7434" max="7434" width="10.5703125" style="1158" customWidth="1"/>
    <col min="7435" max="7435" width="0.5703125" style="1158" customWidth="1"/>
    <col min="7436" max="7436" width="6.42578125" style="1158" customWidth="1"/>
    <col min="7437" max="7437" width="1.5703125" style="1158" customWidth="1"/>
    <col min="7438" max="7438" width="12.5703125" style="1158" customWidth="1"/>
    <col min="7439" max="7439" width="1.5703125" style="1158" customWidth="1"/>
    <col min="7440" max="7440" width="21" style="1158" customWidth="1"/>
    <col min="7441" max="7441" width="4.5703125" style="1158" customWidth="1"/>
    <col min="7442" max="7455" width="0" style="1158" hidden="1" customWidth="1"/>
    <col min="7456" max="7680" width="9.140625" style="1158" bestFit="1"/>
    <col min="7681" max="7681" width="0" style="1158" hidden="1" customWidth="1"/>
    <col min="7682" max="7682" width="10.42578125" style="1158" customWidth="1"/>
    <col min="7683" max="7683" width="1.42578125" style="1158" customWidth="1"/>
    <col min="7684" max="7684" width="6.5703125" style="1158" customWidth="1"/>
    <col min="7685" max="7685" width="1.5703125" style="1158" customWidth="1"/>
    <col min="7686" max="7686" width="12.5703125" style="1158" customWidth="1"/>
    <col min="7687" max="7687" width="1.5703125" style="1158" customWidth="1"/>
    <col min="7688" max="7688" width="19.5703125" style="1158" customWidth="1"/>
    <col min="7689" max="7689" width="2.5703125" style="1158" customWidth="1"/>
    <col min="7690" max="7690" width="10.5703125" style="1158" customWidth="1"/>
    <col min="7691" max="7691" width="0.5703125" style="1158" customWidth="1"/>
    <col min="7692" max="7692" width="6.42578125" style="1158" customWidth="1"/>
    <col min="7693" max="7693" width="1.5703125" style="1158" customWidth="1"/>
    <col min="7694" max="7694" width="12.5703125" style="1158" customWidth="1"/>
    <col min="7695" max="7695" width="1.5703125" style="1158" customWidth="1"/>
    <col min="7696" max="7696" width="21" style="1158" customWidth="1"/>
    <col min="7697" max="7697" width="4.5703125" style="1158" customWidth="1"/>
    <col min="7698" max="7711" width="0" style="1158" hidden="1" customWidth="1"/>
    <col min="7712" max="7936" width="9.140625" style="1158" bestFit="1"/>
    <col min="7937" max="7937" width="0" style="1158" hidden="1" customWidth="1"/>
    <col min="7938" max="7938" width="10.42578125" style="1158" customWidth="1"/>
    <col min="7939" max="7939" width="1.42578125" style="1158" customWidth="1"/>
    <col min="7940" max="7940" width="6.5703125" style="1158" customWidth="1"/>
    <col min="7941" max="7941" width="1.5703125" style="1158" customWidth="1"/>
    <col min="7942" max="7942" width="12.5703125" style="1158" customWidth="1"/>
    <col min="7943" max="7943" width="1.5703125" style="1158" customWidth="1"/>
    <col min="7944" max="7944" width="19.5703125" style="1158" customWidth="1"/>
    <col min="7945" max="7945" width="2.5703125" style="1158" customWidth="1"/>
    <col min="7946" max="7946" width="10.5703125" style="1158" customWidth="1"/>
    <col min="7947" max="7947" width="0.5703125" style="1158" customWidth="1"/>
    <col min="7948" max="7948" width="6.42578125" style="1158" customWidth="1"/>
    <col min="7949" max="7949" width="1.5703125" style="1158" customWidth="1"/>
    <col min="7950" max="7950" width="12.5703125" style="1158" customWidth="1"/>
    <col min="7951" max="7951" width="1.5703125" style="1158" customWidth="1"/>
    <col min="7952" max="7952" width="21" style="1158" customWidth="1"/>
    <col min="7953" max="7953" width="4.5703125" style="1158" customWidth="1"/>
    <col min="7954" max="7967" width="0" style="1158" hidden="1" customWidth="1"/>
    <col min="7968" max="8192" width="9.140625" style="1158" bestFit="1"/>
    <col min="8193" max="8193" width="0" style="1158" hidden="1" customWidth="1"/>
    <col min="8194" max="8194" width="10.42578125" style="1158" customWidth="1"/>
    <col min="8195" max="8195" width="1.42578125" style="1158" customWidth="1"/>
    <col min="8196" max="8196" width="6.5703125" style="1158" customWidth="1"/>
    <col min="8197" max="8197" width="1.5703125" style="1158" customWidth="1"/>
    <col min="8198" max="8198" width="12.5703125" style="1158" customWidth="1"/>
    <col min="8199" max="8199" width="1.5703125" style="1158" customWidth="1"/>
    <col min="8200" max="8200" width="19.5703125" style="1158" customWidth="1"/>
    <col min="8201" max="8201" width="2.5703125" style="1158" customWidth="1"/>
    <col min="8202" max="8202" width="10.5703125" style="1158" customWidth="1"/>
    <col min="8203" max="8203" width="0.5703125" style="1158" customWidth="1"/>
    <col min="8204" max="8204" width="6.42578125" style="1158" customWidth="1"/>
    <col min="8205" max="8205" width="1.5703125" style="1158" customWidth="1"/>
    <col min="8206" max="8206" width="12.5703125" style="1158" customWidth="1"/>
    <col min="8207" max="8207" width="1.5703125" style="1158" customWidth="1"/>
    <col min="8208" max="8208" width="21" style="1158" customWidth="1"/>
    <col min="8209" max="8209" width="4.5703125" style="1158" customWidth="1"/>
    <col min="8210" max="8223" width="0" style="1158" hidden="1" customWidth="1"/>
    <col min="8224" max="8448" width="9.140625" style="1158" bestFit="1"/>
    <col min="8449" max="8449" width="0" style="1158" hidden="1" customWidth="1"/>
    <col min="8450" max="8450" width="10.42578125" style="1158" customWidth="1"/>
    <col min="8451" max="8451" width="1.42578125" style="1158" customWidth="1"/>
    <col min="8452" max="8452" width="6.5703125" style="1158" customWidth="1"/>
    <col min="8453" max="8453" width="1.5703125" style="1158" customWidth="1"/>
    <col min="8454" max="8454" width="12.5703125" style="1158" customWidth="1"/>
    <col min="8455" max="8455" width="1.5703125" style="1158" customWidth="1"/>
    <col min="8456" max="8456" width="19.5703125" style="1158" customWidth="1"/>
    <col min="8457" max="8457" width="2.5703125" style="1158" customWidth="1"/>
    <col min="8458" max="8458" width="10.5703125" style="1158" customWidth="1"/>
    <col min="8459" max="8459" width="0.5703125" style="1158" customWidth="1"/>
    <col min="8460" max="8460" width="6.42578125" style="1158" customWidth="1"/>
    <col min="8461" max="8461" width="1.5703125" style="1158" customWidth="1"/>
    <col min="8462" max="8462" width="12.5703125" style="1158" customWidth="1"/>
    <col min="8463" max="8463" width="1.5703125" style="1158" customWidth="1"/>
    <col min="8464" max="8464" width="21" style="1158" customWidth="1"/>
    <col min="8465" max="8465" width="4.5703125" style="1158" customWidth="1"/>
    <col min="8466" max="8479" width="0" style="1158" hidden="1" customWidth="1"/>
    <col min="8480" max="8704" width="9.140625" style="1158" bestFit="1"/>
    <col min="8705" max="8705" width="0" style="1158" hidden="1" customWidth="1"/>
    <col min="8706" max="8706" width="10.42578125" style="1158" customWidth="1"/>
    <col min="8707" max="8707" width="1.42578125" style="1158" customWidth="1"/>
    <col min="8708" max="8708" width="6.5703125" style="1158" customWidth="1"/>
    <col min="8709" max="8709" width="1.5703125" style="1158" customWidth="1"/>
    <col min="8710" max="8710" width="12.5703125" style="1158" customWidth="1"/>
    <col min="8711" max="8711" width="1.5703125" style="1158" customWidth="1"/>
    <col min="8712" max="8712" width="19.5703125" style="1158" customWidth="1"/>
    <col min="8713" max="8713" width="2.5703125" style="1158" customWidth="1"/>
    <col min="8714" max="8714" width="10.5703125" style="1158" customWidth="1"/>
    <col min="8715" max="8715" width="0.5703125" style="1158" customWidth="1"/>
    <col min="8716" max="8716" width="6.42578125" style="1158" customWidth="1"/>
    <col min="8717" max="8717" width="1.5703125" style="1158" customWidth="1"/>
    <col min="8718" max="8718" width="12.5703125" style="1158" customWidth="1"/>
    <col min="8719" max="8719" width="1.5703125" style="1158" customWidth="1"/>
    <col min="8720" max="8720" width="21" style="1158" customWidth="1"/>
    <col min="8721" max="8721" width="4.5703125" style="1158" customWidth="1"/>
    <col min="8722" max="8735" width="0" style="1158" hidden="1" customWidth="1"/>
    <col min="8736" max="8960" width="9.140625" style="1158" bestFit="1"/>
    <col min="8961" max="8961" width="0" style="1158" hidden="1" customWidth="1"/>
    <col min="8962" max="8962" width="10.42578125" style="1158" customWidth="1"/>
    <col min="8963" max="8963" width="1.42578125" style="1158" customWidth="1"/>
    <col min="8964" max="8964" width="6.5703125" style="1158" customWidth="1"/>
    <col min="8965" max="8965" width="1.5703125" style="1158" customWidth="1"/>
    <col min="8966" max="8966" width="12.5703125" style="1158" customWidth="1"/>
    <col min="8967" max="8967" width="1.5703125" style="1158" customWidth="1"/>
    <col min="8968" max="8968" width="19.5703125" style="1158" customWidth="1"/>
    <col min="8969" max="8969" width="2.5703125" style="1158" customWidth="1"/>
    <col min="8970" max="8970" width="10.5703125" style="1158" customWidth="1"/>
    <col min="8971" max="8971" width="0.5703125" style="1158" customWidth="1"/>
    <col min="8972" max="8972" width="6.42578125" style="1158" customWidth="1"/>
    <col min="8973" max="8973" width="1.5703125" style="1158" customWidth="1"/>
    <col min="8974" max="8974" width="12.5703125" style="1158" customWidth="1"/>
    <col min="8975" max="8975" width="1.5703125" style="1158" customWidth="1"/>
    <col min="8976" max="8976" width="21" style="1158" customWidth="1"/>
    <col min="8977" max="8977" width="4.5703125" style="1158" customWidth="1"/>
    <col min="8978" max="8991" width="0" style="1158" hidden="1" customWidth="1"/>
    <col min="8992" max="9216" width="9.140625" style="1158" bestFit="1"/>
    <col min="9217" max="9217" width="0" style="1158" hidden="1" customWidth="1"/>
    <col min="9218" max="9218" width="10.42578125" style="1158" customWidth="1"/>
    <col min="9219" max="9219" width="1.42578125" style="1158" customWidth="1"/>
    <col min="9220" max="9220" width="6.5703125" style="1158" customWidth="1"/>
    <col min="9221" max="9221" width="1.5703125" style="1158" customWidth="1"/>
    <col min="9222" max="9222" width="12.5703125" style="1158" customWidth="1"/>
    <col min="9223" max="9223" width="1.5703125" style="1158" customWidth="1"/>
    <col min="9224" max="9224" width="19.5703125" style="1158" customWidth="1"/>
    <col min="9225" max="9225" width="2.5703125" style="1158" customWidth="1"/>
    <col min="9226" max="9226" width="10.5703125" style="1158" customWidth="1"/>
    <col min="9227" max="9227" width="0.5703125" style="1158" customWidth="1"/>
    <col min="9228" max="9228" width="6.42578125" style="1158" customWidth="1"/>
    <col min="9229" max="9229" width="1.5703125" style="1158" customWidth="1"/>
    <col min="9230" max="9230" width="12.5703125" style="1158" customWidth="1"/>
    <col min="9231" max="9231" width="1.5703125" style="1158" customWidth="1"/>
    <col min="9232" max="9232" width="21" style="1158" customWidth="1"/>
    <col min="9233" max="9233" width="4.5703125" style="1158" customWidth="1"/>
    <col min="9234" max="9247" width="0" style="1158" hidden="1" customWidth="1"/>
    <col min="9248" max="9472" width="9.140625" style="1158" bestFit="1"/>
    <col min="9473" max="9473" width="0" style="1158" hidden="1" customWidth="1"/>
    <col min="9474" max="9474" width="10.42578125" style="1158" customWidth="1"/>
    <col min="9475" max="9475" width="1.42578125" style="1158" customWidth="1"/>
    <col min="9476" max="9476" width="6.5703125" style="1158" customWidth="1"/>
    <col min="9477" max="9477" width="1.5703125" style="1158" customWidth="1"/>
    <col min="9478" max="9478" width="12.5703125" style="1158" customWidth="1"/>
    <col min="9479" max="9479" width="1.5703125" style="1158" customWidth="1"/>
    <col min="9480" max="9480" width="19.5703125" style="1158" customWidth="1"/>
    <col min="9481" max="9481" width="2.5703125" style="1158" customWidth="1"/>
    <col min="9482" max="9482" width="10.5703125" style="1158" customWidth="1"/>
    <col min="9483" max="9483" width="0.5703125" style="1158" customWidth="1"/>
    <col min="9484" max="9484" width="6.42578125" style="1158" customWidth="1"/>
    <col min="9485" max="9485" width="1.5703125" style="1158" customWidth="1"/>
    <col min="9486" max="9486" width="12.5703125" style="1158" customWidth="1"/>
    <col min="9487" max="9487" width="1.5703125" style="1158" customWidth="1"/>
    <col min="9488" max="9488" width="21" style="1158" customWidth="1"/>
    <col min="9489" max="9489" width="4.5703125" style="1158" customWidth="1"/>
    <col min="9490" max="9503" width="0" style="1158" hidden="1" customWidth="1"/>
    <col min="9504" max="9728" width="9.140625" style="1158" bestFit="1"/>
    <col min="9729" max="9729" width="0" style="1158" hidden="1" customWidth="1"/>
    <col min="9730" max="9730" width="10.42578125" style="1158" customWidth="1"/>
    <col min="9731" max="9731" width="1.42578125" style="1158" customWidth="1"/>
    <col min="9732" max="9732" width="6.5703125" style="1158" customWidth="1"/>
    <col min="9733" max="9733" width="1.5703125" style="1158" customWidth="1"/>
    <col min="9734" max="9734" width="12.5703125" style="1158" customWidth="1"/>
    <col min="9735" max="9735" width="1.5703125" style="1158" customWidth="1"/>
    <col min="9736" max="9736" width="19.5703125" style="1158" customWidth="1"/>
    <col min="9737" max="9737" width="2.5703125" style="1158" customWidth="1"/>
    <col min="9738" max="9738" width="10.5703125" style="1158" customWidth="1"/>
    <col min="9739" max="9739" width="0.5703125" style="1158" customWidth="1"/>
    <col min="9740" max="9740" width="6.42578125" style="1158" customWidth="1"/>
    <col min="9741" max="9741" width="1.5703125" style="1158" customWidth="1"/>
    <col min="9742" max="9742" width="12.5703125" style="1158" customWidth="1"/>
    <col min="9743" max="9743" width="1.5703125" style="1158" customWidth="1"/>
    <col min="9744" max="9744" width="21" style="1158" customWidth="1"/>
    <col min="9745" max="9745" width="4.5703125" style="1158" customWidth="1"/>
    <col min="9746" max="9759" width="0" style="1158" hidden="1" customWidth="1"/>
    <col min="9760" max="9984" width="9.140625" style="1158" bestFit="1"/>
    <col min="9985" max="9985" width="0" style="1158" hidden="1" customWidth="1"/>
    <col min="9986" max="9986" width="10.42578125" style="1158" customWidth="1"/>
    <col min="9987" max="9987" width="1.42578125" style="1158" customWidth="1"/>
    <col min="9988" max="9988" width="6.5703125" style="1158" customWidth="1"/>
    <col min="9989" max="9989" width="1.5703125" style="1158" customWidth="1"/>
    <col min="9990" max="9990" width="12.5703125" style="1158" customWidth="1"/>
    <col min="9991" max="9991" width="1.5703125" style="1158" customWidth="1"/>
    <col min="9992" max="9992" width="19.5703125" style="1158" customWidth="1"/>
    <col min="9993" max="9993" width="2.5703125" style="1158" customWidth="1"/>
    <col min="9994" max="9994" width="10.5703125" style="1158" customWidth="1"/>
    <col min="9995" max="9995" width="0.5703125" style="1158" customWidth="1"/>
    <col min="9996" max="9996" width="6.42578125" style="1158" customWidth="1"/>
    <col min="9997" max="9997" width="1.5703125" style="1158" customWidth="1"/>
    <col min="9998" max="9998" width="12.5703125" style="1158" customWidth="1"/>
    <col min="9999" max="9999" width="1.5703125" style="1158" customWidth="1"/>
    <col min="10000" max="10000" width="21" style="1158" customWidth="1"/>
    <col min="10001" max="10001" width="4.5703125" style="1158" customWidth="1"/>
    <col min="10002" max="10015" width="0" style="1158" hidden="1" customWidth="1"/>
    <col min="10016" max="10240" width="9.140625" style="1158" bestFit="1"/>
    <col min="10241" max="10241" width="0" style="1158" hidden="1" customWidth="1"/>
    <col min="10242" max="10242" width="10.42578125" style="1158" customWidth="1"/>
    <col min="10243" max="10243" width="1.42578125" style="1158" customWidth="1"/>
    <col min="10244" max="10244" width="6.5703125" style="1158" customWidth="1"/>
    <col min="10245" max="10245" width="1.5703125" style="1158" customWidth="1"/>
    <col min="10246" max="10246" width="12.5703125" style="1158" customWidth="1"/>
    <col min="10247" max="10247" width="1.5703125" style="1158" customWidth="1"/>
    <col min="10248" max="10248" width="19.5703125" style="1158" customWidth="1"/>
    <col min="10249" max="10249" width="2.5703125" style="1158" customWidth="1"/>
    <col min="10250" max="10250" width="10.5703125" style="1158" customWidth="1"/>
    <col min="10251" max="10251" width="0.5703125" style="1158" customWidth="1"/>
    <col min="10252" max="10252" width="6.42578125" style="1158" customWidth="1"/>
    <col min="10253" max="10253" width="1.5703125" style="1158" customWidth="1"/>
    <col min="10254" max="10254" width="12.5703125" style="1158" customWidth="1"/>
    <col min="10255" max="10255" width="1.5703125" style="1158" customWidth="1"/>
    <col min="10256" max="10256" width="21" style="1158" customWidth="1"/>
    <col min="10257" max="10257" width="4.5703125" style="1158" customWidth="1"/>
    <col min="10258" max="10271" width="0" style="1158" hidden="1" customWidth="1"/>
    <col min="10272" max="10496" width="9.140625" style="1158" bestFit="1"/>
    <col min="10497" max="10497" width="0" style="1158" hidden="1" customWidth="1"/>
    <col min="10498" max="10498" width="10.42578125" style="1158" customWidth="1"/>
    <col min="10499" max="10499" width="1.42578125" style="1158" customWidth="1"/>
    <col min="10500" max="10500" width="6.5703125" style="1158" customWidth="1"/>
    <col min="10501" max="10501" width="1.5703125" style="1158" customWidth="1"/>
    <col min="10502" max="10502" width="12.5703125" style="1158" customWidth="1"/>
    <col min="10503" max="10503" width="1.5703125" style="1158" customWidth="1"/>
    <col min="10504" max="10504" width="19.5703125" style="1158" customWidth="1"/>
    <col min="10505" max="10505" width="2.5703125" style="1158" customWidth="1"/>
    <col min="10506" max="10506" width="10.5703125" style="1158" customWidth="1"/>
    <col min="10507" max="10507" width="0.5703125" style="1158" customWidth="1"/>
    <col min="10508" max="10508" width="6.42578125" style="1158" customWidth="1"/>
    <col min="10509" max="10509" width="1.5703125" style="1158" customWidth="1"/>
    <col min="10510" max="10510" width="12.5703125" style="1158" customWidth="1"/>
    <col min="10511" max="10511" width="1.5703125" style="1158" customWidth="1"/>
    <col min="10512" max="10512" width="21" style="1158" customWidth="1"/>
    <col min="10513" max="10513" width="4.5703125" style="1158" customWidth="1"/>
    <col min="10514" max="10527" width="0" style="1158" hidden="1" customWidth="1"/>
    <col min="10528" max="10752" width="9.140625" style="1158" bestFit="1"/>
    <col min="10753" max="10753" width="0" style="1158" hidden="1" customWidth="1"/>
    <col min="10754" max="10754" width="10.42578125" style="1158" customWidth="1"/>
    <col min="10755" max="10755" width="1.42578125" style="1158" customWidth="1"/>
    <col min="10756" max="10756" width="6.5703125" style="1158" customWidth="1"/>
    <col min="10757" max="10757" width="1.5703125" style="1158" customWidth="1"/>
    <col min="10758" max="10758" width="12.5703125" style="1158" customWidth="1"/>
    <col min="10759" max="10759" width="1.5703125" style="1158" customWidth="1"/>
    <col min="10760" max="10760" width="19.5703125" style="1158" customWidth="1"/>
    <col min="10761" max="10761" width="2.5703125" style="1158" customWidth="1"/>
    <col min="10762" max="10762" width="10.5703125" style="1158" customWidth="1"/>
    <col min="10763" max="10763" width="0.5703125" style="1158" customWidth="1"/>
    <col min="10764" max="10764" width="6.42578125" style="1158" customWidth="1"/>
    <col min="10765" max="10765" width="1.5703125" style="1158" customWidth="1"/>
    <col min="10766" max="10766" width="12.5703125" style="1158" customWidth="1"/>
    <col min="10767" max="10767" width="1.5703125" style="1158" customWidth="1"/>
    <col min="10768" max="10768" width="21" style="1158" customWidth="1"/>
    <col min="10769" max="10769" width="4.5703125" style="1158" customWidth="1"/>
    <col min="10770" max="10783" width="0" style="1158" hidden="1" customWidth="1"/>
    <col min="10784" max="11008" width="9.140625" style="1158" bestFit="1"/>
    <col min="11009" max="11009" width="0" style="1158" hidden="1" customWidth="1"/>
    <col min="11010" max="11010" width="10.42578125" style="1158" customWidth="1"/>
    <col min="11011" max="11011" width="1.42578125" style="1158" customWidth="1"/>
    <col min="11012" max="11012" width="6.5703125" style="1158" customWidth="1"/>
    <col min="11013" max="11013" width="1.5703125" style="1158" customWidth="1"/>
    <col min="11014" max="11014" width="12.5703125" style="1158" customWidth="1"/>
    <col min="11015" max="11015" width="1.5703125" style="1158" customWidth="1"/>
    <col min="11016" max="11016" width="19.5703125" style="1158" customWidth="1"/>
    <col min="11017" max="11017" width="2.5703125" style="1158" customWidth="1"/>
    <col min="11018" max="11018" width="10.5703125" style="1158" customWidth="1"/>
    <col min="11019" max="11019" width="0.5703125" style="1158" customWidth="1"/>
    <col min="11020" max="11020" width="6.42578125" style="1158" customWidth="1"/>
    <col min="11021" max="11021" width="1.5703125" style="1158" customWidth="1"/>
    <col min="11022" max="11022" width="12.5703125" style="1158" customWidth="1"/>
    <col min="11023" max="11023" width="1.5703125" style="1158" customWidth="1"/>
    <col min="11024" max="11024" width="21" style="1158" customWidth="1"/>
    <col min="11025" max="11025" width="4.5703125" style="1158" customWidth="1"/>
    <col min="11026" max="11039" width="0" style="1158" hidden="1" customWidth="1"/>
    <col min="11040" max="11264" width="9.140625" style="1158" bestFit="1"/>
    <col min="11265" max="11265" width="0" style="1158" hidden="1" customWidth="1"/>
    <col min="11266" max="11266" width="10.42578125" style="1158" customWidth="1"/>
    <col min="11267" max="11267" width="1.42578125" style="1158" customWidth="1"/>
    <col min="11268" max="11268" width="6.5703125" style="1158" customWidth="1"/>
    <col min="11269" max="11269" width="1.5703125" style="1158" customWidth="1"/>
    <col min="11270" max="11270" width="12.5703125" style="1158" customWidth="1"/>
    <col min="11271" max="11271" width="1.5703125" style="1158" customWidth="1"/>
    <col min="11272" max="11272" width="19.5703125" style="1158" customWidth="1"/>
    <col min="11273" max="11273" width="2.5703125" style="1158" customWidth="1"/>
    <col min="11274" max="11274" width="10.5703125" style="1158" customWidth="1"/>
    <col min="11275" max="11275" width="0.5703125" style="1158" customWidth="1"/>
    <col min="11276" max="11276" width="6.42578125" style="1158" customWidth="1"/>
    <col min="11277" max="11277" width="1.5703125" style="1158" customWidth="1"/>
    <col min="11278" max="11278" width="12.5703125" style="1158" customWidth="1"/>
    <col min="11279" max="11279" width="1.5703125" style="1158" customWidth="1"/>
    <col min="11280" max="11280" width="21" style="1158" customWidth="1"/>
    <col min="11281" max="11281" width="4.5703125" style="1158" customWidth="1"/>
    <col min="11282" max="11295" width="0" style="1158" hidden="1" customWidth="1"/>
    <col min="11296" max="11520" width="9.140625" style="1158" bestFit="1"/>
    <col min="11521" max="11521" width="0" style="1158" hidden="1" customWidth="1"/>
    <col min="11522" max="11522" width="10.42578125" style="1158" customWidth="1"/>
    <col min="11523" max="11523" width="1.42578125" style="1158" customWidth="1"/>
    <col min="11524" max="11524" width="6.5703125" style="1158" customWidth="1"/>
    <col min="11525" max="11525" width="1.5703125" style="1158" customWidth="1"/>
    <col min="11526" max="11526" width="12.5703125" style="1158" customWidth="1"/>
    <col min="11527" max="11527" width="1.5703125" style="1158" customWidth="1"/>
    <col min="11528" max="11528" width="19.5703125" style="1158" customWidth="1"/>
    <col min="11529" max="11529" width="2.5703125" style="1158" customWidth="1"/>
    <col min="11530" max="11530" width="10.5703125" style="1158" customWidth="1"/>
    <col min="11531" max="11531" width="0.5703125" style="1158" customWidth="1"/>
    <col min="11532" max="11532" width="6.42578125" style="1158" customWidth="1"/>
    <col min="11533" max="11533" width="1.5703125" style="1158" customWidth="1"/>
    <col min="11534" max="11534" width="12.5703125" style="1158" customWidth="1"/>
    <col min="11535" max="11535" width="1.5703125" style="1158" customWidth="1"/>
    <col min="11536" max="11536" width="21" style="1158" customWidth="1"/>
    <col min="11537" max="11537" width="4.5703125" style="1158" customWidth="1"/>
    <col min="11538" max="11551" width="0" style="1158" hidden="1" customWidth="1"/>
    <col min="11552" max="11776" width="9.140625" style="1158" bestFit="1"/>
    <col min="11777" max="11777" width="0" style="1158" hidden="1" customWidth="1"/>
    <col min="11778" max="11778" width="10.42578125" style="1158" customWidth="1"/>
    <col min="11779" max="11779" width="1.42578125" style="1158" customWidth="1"/>
    <col min="11780" max="11780" width="6.5703125" style="1158" customWidth="1"/>
    <col min="11781" max="11781" width="1.5703125" style="1158" customWidth="1"/>
    <col min="11782" max="11782" width="12.5703125" style="1158" customWidth="1"/>
    <col min="11783" max="11783" width="1.5703125" style="1158" customWidth="1"/>
    <col min="11784" max="11784" width="19.5703125" style="1158" customWidth="1"/>
    <col min="11785" max="11785" width="2.5703125" style="1158" customWidth="1"/>
    <col min="11786" max="11786" width="10.5703125" style="1158" customWidth="1"/>
    <col min="11787" max="11787" width="0.5703125" style="1158" customWidth="1"/>
    <col min="11788" max="11788" width="6.42578125" style="1158" customWidth="1"/>
    <col min="11789" max="11789" width="1.5703125" style="1158" customWidth="1"/>
    <col min="11790" max="11790" width="12.5703125" style="1158" customWidth="1"/>
    <col min="11791" max="11791" width="1.5703125" style="1158" customWidth="1"/>
    <col min="11792" max="11792" width="21" style="1158" customWidth="1"/>
    <col min="11793" max="11793" width="4.5703125" style="1158" customWidth="1"/>
    <col min="11794" max="11807" width="0" style="1158" hidden="1" customWidth="1"/>
    <col min="11808" max="12032" width="9.140625" style="1158" bestFit="1"/>
    <col min="12033" max="12033" width="0" style="1158" hidden="1" customWidth="1"/>
    <col min="12034" max="12034" width="10.42578125" style="1158" customWidth="1"/>
    <col min="12035" max="12035" width="1.42578125" style="1158" customWidth="1"/>
    <col min="12036" max="12036" width="6.5703125" style="1158" customWidth="1"/>
    <col min="12037" max="12037" width="1.5703125" style="1158" customWidth="1"/>
    <col min="12038" max="12038" width="12.5703125" style="1158" customWidth="1"/>
    <col min="12039" max="12039" width="1.5703125" style="1158" customWidth="1"/>
    <col min="12040" max="12040" width="19.5703125" style="1158" customWidth="1"/>
    <col min="12041" max="12041" width="2.5703125" style="1158" customWidth="1"/>
    <col min="12042" max="12042" width="10.5703125" style="1158" customWidth="1"/>
    <col min="12043" max="12043" width="0.5703125" style="1158" customWidth="1"/>
    <col min="12044" max="12044" width="6.42578125" style="1158" customWidth="1"/>
    <col min="12045" max="12045" width="1.5703125" style="1158" customWidth="1"/>
    <col min="12046" max="12046" width="12.5703125" style="1158" customWidth="1"/>
    <col min="12047" max="12047" width="1.5703125" style="1158" customWidth="1"/>
    <col min="12048" max="12048" width="21" style="1158" customWidth="1"/>
    <col min="12049" max="12049" width="4.5703125" style="1158" customWidth="1"/>
    <col min="12050" max="12063" width="0" style="1158" hidden="1" customWidth="1"/>
    <col min="12064" max="12288" width="9.140625" style="1158" bestFit="1"/>
    <col min="12289" max="12289" width="0" style="1158" hidden="1" customWidth="1"/>
    <col min="12290" max="12290" width="10.42578125" style="1158" customWidth="1"/>
    <col min="12291" max="12291" width="1.42578125" style="1158" customWidth="1"/>
    <col min="12292" max="12292" width="6.5703125" style="1158" customWidth="1"/>
    <col min="12293" max="12293" width="1.5703125" style="1158" customWidth="1"/>
    <col min="12294" max="12294" width="12.5703125" style="1158" customWidth="1"/>
    <col min="12295" max="12295" width="1.5703125" style="1158" customWidth="1"/>
    <col min="12296" max="12296" width="19.5703125" style="1158" customWidth="1"/>
    <col min="12297" max="12297" width="2.5703125" style="1158" customWidth="1"/>
    <col min="12298" max="12298" width="10.5703125" style="1158" customWidth="1"/>
    <col min="12299" max="12299" width="0.5703125" style="1158" customWidth="1"/>
    <col min="12300" max="12300" width="6.42578125" style="1158" customWidth="1"/>
    <col min="12301" max="12301" width="1.5703125" style="1158" customWidth="1"/>
    <col min="12302" max="12302" width="12.5703125" style="1158" customWidth="1"/>
    <col min="12303" max="12303" width="1.5703125" style="1158" customWidth="1"/>
    <col min="12304" max="12304" width="21" style="1158" customWidth="1"/>
    <col min="12305" max="12305" width="4.5703125" style="1158" customWidth="1"/>
    <col min="12306" max="12319" width="0" style="1158" hidden="1" customWidth="1"/>
    <col min="12320" max="12544" width="9.140625" style="1158" bestFit="1"/>
    <col min="12545" max="12545" width="0" style="1158" hidden="1" customWidth="1"/>
    <col min="12546" max="12546" width="10.42578125" style="1158" customWidth="1"/>
    <col min="12547" max="12547" width="1.42578125" style="1158" customWidth="1"/>
    <col min="12548" max="12548" width="6.5703125" style="1158" customWidth="1"/>
    <col min="12549" max="12549" width="1.5703125" style="1158" customWidth="1"/>
    <col min="12550" max="12550" width="12.5703125" style="1158" customWidth="1"/>
    <col min="12551" max="12551" width="1.5703125" style="1158" customWidth="1"/>
    <col min="12552" max="12552" width="19.5703125" style="1158" customWidth="1"/>
    <col min="12553" max="12553" width="2.5703125" style="1158" customWidth="1"/>
    <col min="12554" max="12554" width="10.5703125" style="1158" customWidth="1"/>
    <col min="12555" max="12555" width="0.5703125" style="1158" customWidth="1"/>
    <col min="12556" max="12556" width="6.42578125" style="1158" customWidth="1"/>
    <col min="12557" max="12557" width="1.5703125" style="1158" customWidth="1"/>
    <col min="12558" max="12558" width="12.5703125" style="1158" customWidth="1"/>
    <col min="12559" max="12559" width="1.5703125" style="1158" customWidth="1"/>
    <col min="12560" max="12560" width="21" style="1158" customWidth="1"/>
    <col min="12561" max="12561" width="4.5703125" style="1158" customWidth="1"/>
    <col min="12562" max="12575" width="0" style="1158" hidden="1" customWidth="1"/>
    <col min="12576" max="12800" width="9.140625" style="1158" bestFit="1"/>
    <col min="12801" max="12801" width="0" style="1158" hidden="1" customWidth="1"/>
    <col min="12802" max="12802" width="10.42578125" style="1158" customWidth="1"/>
    <col min="12803" max="12803" width="1.42578125" style="1158" customWidth="1"/>
    <col min="12804" max="12804" width="6.5703125" style="1158" customWidth="1"/>
    <col min="12805" max="12805" width="1.5703125" style="1158" customWidth="1"/>
    <col min="12806" max="12806" width="12.5703125" style="1158" customWidth="1"/>
    <col min="12807" max="12807" width="1.5703125" style="1158" customWidth="1"/>
    <col min="12808" max="12808" width="19.5703125" style="1158" customWidth="1"/>
    <col min="12809" max="12809" width="2.5703125" style="1158" customWidth="1"/>
    <col min="12810" max="12810" width="10.5703125" style="1158" customWidth="1"/>
    <col min="12811" max="12811" width="0.5703125" style="1158" customWidth="1"/>
    <col min="12812" max="12812" width="6.42578125" style="1158" customWidth="1"/>
    <col min="12813" max="12813" width="1.5703125" style="1158" customWidth="1"/>
    <col min="12814" max="12814" width="12.5703125" style="1158" customWidth="1"/>
    <col min="12815" max="12815" width="1.5703125" style="1158" customWidth="1"/>
    <col min="12816" max="12816" width="21" style="1158" customWidth="1"/>
    <col min="12817" max="12817" width="4.5703125" style="1158" customWidth="1"/>
    <col min="12818" max="12831" width="0" style="1158" hidden="1" customWidth="1"/>
    <col min="12832" max="13056" width="9.140625" style="1158" bestFit="1"/>
    <col min="13057" max="13057" width="0" style="1158" hidden="1" customWidth="1"/>
    <col min="13058" max="13058" width="10.42578125" style="1158" customWidth="1"/>
    <col min="13059" max="13059" width="1.42578125" style="1158" customWidth="1"/>
    <col min="13060" max="13060" width="6.5703125" style="1158" customWidth="1"/>
    <col min="13061" max="13061" width="1.5703125" style="1158" customWidth="1"/>
    <col min="13062" max="13062" width="12.5703125" style="1158" customWidth="1"/>
    <col min="13063" max="13063" width="1.5703125" style="1158" customWidth="1"/>
    <col min="13064" max="13064" width="19.5703125" style="1158" customWidth="1"/>
    <col min="13065" max="13065" width="2.5703125" style="1158" customWidth="1"/>
    <col min="13066" max="13066" width="10.5703125" style="1158" customWidth="1"/>
    <col min="13067" max="13067" width="0.5703125" style="1158" customWidth="1"/>
    <col min="13068" max="13068" width="6.42578125" style="1158" customWidth="1"/>
    <col min="13069" max="13069" width="1.5703125" style="1158" customWidth="1"/>
    <col min="13070" max="13070" width="12.5703125" style="1158" customWidth="1"/>
    <col min="13071" max="13071" width="1.5703125" style="1158" customWidth="1"/>
    <col min="13072" max="13072" width="21" style="1158" customWidth="1"/>
    <col min="13073" max="13073" width="4.5703125" style="1158" customWidth="1"/>
    <col min="13074" max="13087" width="0" style="1158" hidden="1" customWidth="1"/>
    <col min="13088" max="13312" width="9.140625" style="1158" bestFit="1"/>
    <col min="13313" max="13313" width="0" style="1158" hidden="1" customWidth="1"/>
    <col min="13314" max="13314" width="10.42578125" style="1158" customWidth="1"/>
    <col min="13315" max="13315" width="1.42578125" style="1158" customWidth="1"/>
    <col min="13316" max="13316" width="6.5703125" style="1158" customWidth="1"/>
    <col min="13317" max="13317" width="1.5703125" style="1158" customWidth="1"/>
    <col min="13318" max="13318" width="12.5703125" style="1158" customWidth="1"/>
    <col min="13319" max="13319" width="1.5703125" style="1158" customWidth="1"/>
    <col min="13320" max="13320" width="19.5703125" style="1158" customWidth="1"/>
    <col min="13321" max="13321" width="2.5703125" style="1158" customWidth="1"/>
    <col min="13322" max="13322" width="10.5703125" style="1158" customWidth="1"/>
    <col min="13323" max="13323" width="0.5703125" style="1158" customWidth="1"/>
    <col min="13324" max="13324" width="6.42578125" style="1158" customWidth="1"/>
    <col min="13325" max="13325" width="1.5703125" style="1158" customWidth="1"/>
    <col min="13326" max="13326" width="12.5703125" style="1158" customWidth="1"/>
    <col min="13327" max="13327" width="1.5703125" style="1158" customWidth="1"/>
    <col min="13328" max="13328" width="21" style="1158" customWidth="1"/>
    <col min="13329" max="13329" width="4.5703125" style="1158" customWidth="1"/>
    <col min="13330" max="13343" width="0" style="1158" hidden="1" customWidth="1"/>
    <col min="13344" max="13568" width="9.140625" style="1158" bestFit="1"/>
    <col min="13569" max="13569" width="0" style="1158" hidden="1" customWidth="1"/>
    <col min="13570" max="13570" width="10.42578125" style="1158" customWidth="1"/>
    <col min="13571" max="13571" width="1.42578125" style="1158" customWidth="1"/>
    <col min="13572" max="13572" width="6.5703125" style="1158" customWidth="1"/>
    <col min="13573" max="13573" width="1.5703125" style="1158" customWidth="1"/>
    <col min="13574" max="13574" width="12.5703125" style="1158" customWidth="1"/>
    <col min="13575" max="13575" width="1.5703125" style="1158" customWidth="1"/>
    <col min="13576" max="13576" width="19.5703125" style="1158" customWidth="1"/>
    <col min="13577" max="13577" width="2.5703125" style="1158" customWidth="1"/>
    <col min="13578" max="13578" width="10.5703125" style="1158" customWidth="1"/>
    <col min="13579" max="13579" width="0.5703125" style="1158" customWidth="1"/>
    <col min="13580" max="13580" width="6.42578125" style="1158" customWidth="1"/>
    <col min="13581" max="13581" width="1.5703125" style="1158" customWidth="1"/>
    <col min="13582" max="13582" width="12.5703125" style="1158" customWidth="1"/>
    <col min="13583" max="13583" width="1.5703125" style="1158" customWidth="1"/>
    <col min="13584" max="13584" width="21" style="1158" customWidth="1"/>
    <col min="13585" max="13585" width="4.5703125" style="1158" customWidth="1"/>
    <col min="13586" max="13599" width="0" style="1158" hidden="1" customWidth="1"/>
    <col min="13600" max="13824" width="9.140625" style="1158" bestFit="1"/>
    <col min="13825" max="13825" width="0" style="1158" hidden="1" customWidth="1"/>
    <col min="13826" max="13826" width="10.42578125" style="1158" customWidth="1"/>
    <col min="13827" max="13827" width="1.42578125" style="1158" customWidth="1"/>
    <col min="13828" max="13828" width="6.5703125" style="1158" customWidth="1"/>
    <col min="13829" max="13829" width="1.5703125" style="1158" customWidth="1"/>
    <col min="13830" max="13830" width="12.5703125" style="1158" customWidth="1"/>
    <col min="13831" max="13831" width="1.5703125" style="1158" customWidth="1"/>
    <col min="13832" max="13832" width="19.5703125" style="1158" customWidth="1"/>
    <col min="13833" max="13833" width="2.5703125" style="1158" customWidth="1"/>
    <col min="13834" max="13834" width="10.5703125" style="1158" customWidth="1"/>
    <col min="13835" max="13835" width="0.5703125" style="1158" customWidth="1"/>
    <col min="13836" max="13836" width="6.42578125" style="1158" customWidth="1"/>
    <col min="13837" max="13837" width="1.5703125" style="1158" customWidth="1"/>
    <col min="13838" max="13838" width="12.5703125" style="1158" customWidth="1"/>
    <col min="13839" max="13839" width="1.5703125" style="1158" customWidth="1"/>
    <col min="13840" max="13840" width="21" style="1158" customWidth="1"/>
    <col min="13841" max="13841" width="4.5703125" style="1158" customWidth="1"/>
    <col min="13842" max="13855" width="0" style="1158" hidden="1" customWidth="1"/>
    <col min="13856" max="14080" width="9.140625" style="1158" bestFit="1"/>
    <col min="14081" max="14081" width="0" style="1158" hidden="1" customWidth="1"/>
    <col min="14082" max="14082" width="10.42578125" style="1158" customWidth="1"/>
    <col min="14083" max="14083" width="1.42578125" style="1158" customWidth="1"/>
    <col min="14084" max="14084" width="6.5703125" style="1158" customWidth="1"/>
    <col min="14085" max="14085" width="1.5703125" style="1158" customWidth="1"/>
    <col min="14086" max="14086" width="12.5703125" style="1158" customWidth="1"/>
    <col min="14087" max="14087" width="1.5703125" style="1158" customWidth="1"/>
    <col min="14088" max="14088" width="19.5703125" style="1158" customWidth="1"/>
    <col min="14089" max="14089" width="2.5703125" style="1158" customWidth="1"/>
    <col min="14090" max="14090" width="10.5703125" style="1158" customWidth="1"/>
    <col min="14091" max="14091" width="0.5703125" style="1158" customWidth="1"/>
    <col min="14092" max="14092" width="6.42578125" style="1158" customWidth="1"/>
    <col min="14093" max="14093" width="1.5703125" style="1158" customWidth="1"/>
    <col min="14094" max="14094" width="12.5703125" style="1158" customWidth="1"/>
    <col min="14095" max="14095" width="1.5703125" style="1158" customWidth="1"/>
    <col min="14096" max="14096" width="21" style="1158" customWidth="1"/>
    <col min="14097" max="14097" width="4.5703125" style="1158" customWidth="1"/>
    <col min="14098" max="14111" width="0" style="1158" hidden="1" customWidth="1"/>
    <col min="14112" max="14336" width="9.140625" style="1158" bestFit="1"/>
    <col min="14337" max="14337" width="0" style="1158" hidden="1" customWidth="1"/>
    <col min="14338" max="14338" width="10.42578125" style="1158" customWidth="1"/>
    <col min="14339" max="14339" width="1.42578125" style="1158" customWidth="1"/>
    <col min="14340" max="14340" width="6.5703125" style="1158" customWidth="1"/>
    <col min="14341" max="14341" width="1.5703125" style="1158" customWidth="1"/>
    <col min="14342" max="14342" width="12.5703125" style="1158" customWidth="1"/>
    <col min="14343" max="14343" width="1.5703125" style="1158" customWidth="1"/>
    <col min="14344" max="14344" width="19.5703125" style="1158" customWidth="1"/>
    <col min="14345" max="14345" width="2.5703125" style="1158" customWidth="1"/>
    <col min="14346" max="14346" width="10.5703125" style="1158" customWidth="1"/>
    <col min="14347" max="14347" width="0.5703125" style="1158" customWidth="1"/>
    <col min="14348" max="14348" width="6.42578125" style="1158" customWidth="1"/>
    <col min="14349" max="14349" width="1.5703125" style="1158" customWidth="1"/>
    <col min="14350" max="14350" width="12.5703125" style="1158" customWidth="1"/>
    <col min="14351" max="14351" width="1.5703125" style="1158" customWidth="1"/>
    <col min="14352" max="14352" width="21" style="1158" customWidth="1"/>
    <col min="14353" max="14353" width="4.5703125" style="1158" customWidth="1"/>
    <col min="14354" max="14367" width="0" style="1158" hidden="1" customWidth="1"/>
    <col min="14368" max="14592" width="9.140625" style="1158" bestFit="1"/>
    <col min="14593" max="14593" width="0" style="1158" hidden="1" customWidth="1"/>
    <col min="14594" max="14594" width="10.42578125" style="1158" customWidth="1"/>
    <col min="14595" max="14595" width="1.42578125" style="1158" customWidth="1"/>
    <col min="14596" max="14596" width="6.5703125" style="1158" customWidth="1"/>
    <col min="14597" max="14597" width="1.5703125" style="1158" customWidth="1"/>
    <col min="14598" max="14598" width="12.5703125" style="1158" customWidth="1"/>
    <col min="14599" max="14599" width="1.5703125" style="1158" customWidth="1"/>
    <col min="14600" max="14600" width="19.5703125" style="1158" customWidth="1"/>
    <col min="14601" max="14601" width="2.5703125" style="1158" customWidth="1"/>
    <col min="14602" max="14602" width="10.5703125" style="1158" customWidth="1"/>
    <col min="14603" max="14603" width="0.5703125" style="1158" customWidth="1"/>
    <col min="14604" max="14604" width="6.42578125" style="1158" customWidth="1"/>
    <col min="14605" max="14605" width="1.5703125" style="1158" customWidth="1"/>
    <col min="14606" max="14606" width="12.5703125" style="1158" customWidth="1"/>
    <col min="14607" max="14607" width="1.5703125" style="1158" customWidth="1"/>
    <col min="14608" max="14608" width="21" style="1158" customWidth="1"/>
    <col min="14609" max="14609" width="4.5703125" style="1158" customWidth="1"/>
    <col min="14610" max="14623" width="0" style="1158" hidden="1" customWidth="1"/>
    <col min="14624" max="14848" width="9.140625" style="1158" bestFit="1"/>
    <col min="14849" max="14849" width="0" style="1158" hidden="1" customWidth="1"/>
    <col min="14850" max="14850" width="10.42578125" style="1158" customWidth="1"/>
    <col min="14851" max="14851" width="1.42578125" style="1158" customWidth="1"/>
    <col min="14852" max="14852" width="6.5703125" style="1158" customWidth="1"/>
    <col min="14853" max="14853" width="1.5703125" style="1158" customWidth="1"/>
    <col min="14854" max="14854" width="12.5703125" style="1158" customWidth="1"/>
    <col min="14855" max="14855" width="1.5703125" style="1158" customWidth="1"/>
    <col min="14856" max="14856" width="19.5703125" style="1158" customWidth="1"/>
    <col min="14857" max="14857" width="2.5703125" style="1158" customWidth="1"/>
    <col min="14858" max="14858" width="10.5703125" style="1158" customWidth="1"/>
    <col min="14859" max="14859" width="0.5703125" style="1158" customWidth="1"/>
    <col min="14860" max="14860" width="6.42578125" style="1158" customWidth="1"/>
    <col min="14861" max="14861" width="1.5703125" style="1158" customWidth="1"/>
    <col min="14862" max="14862" width="12.5703125" style="1158" customWidth="1"/>
    <col min="14863" max="14863" width="1.5703125" style="1158" customWidth="1"/>
    <col min="14864" max="14864" width="21" style="1158" customWidth="1"/>
    <col min="14865" max="14865" width="4.5703125" style="1158" customWidth="1"/>
    <col min="14866" max="14879" width="0" style="1158" hidden="1" customWidth="1"/>
    <col min="14880" max="15104" width="9.140625" style="1158" bestFit="1"/>
    <col min="15105" max="15105" width="0" style="1158" hidden="1" customWidth="1"/>
    <col min="15106" max="15106" width="10.42578125" style="1158" customWidth="1"/>
    <col min="15107" max="15107" width="1.42578125" style="1158" customWidth="1"/>
    <col min="15108" max="15108" width="6.5703125" style="1158" customWidth="1"/>
    <col min="15109" max="15109" width="1.5703125" style="1158" customWidth="1"/>
    <col min="15110" max="15110" width="12.5703125" style="1158" customWidth="1"/>
    <col min="15111" max="15111" width="1.5703125" style="1158" customWidth="1"/>
    <col min="15112" max="15112" width="19.5703125" style="1158" customWidth="1"/>
    <col min="15113" max="15113" width="2.5703125" style="1158" customWidth="1"/>
    <col min="15114" max="15114" width="10.5703125" style="1158" customWidth="1"/>
    <col min="15115" max="15115" width="0.5703125" style="1158" customWidth="1"/>
    <col min="15116" max="15116" width="6.42578125" style="1158" customWidth="1"/>
    <col min="15117" max="15117" width="1.5703125" style="1158" customWidth="1"/>
    <col min="15118" max="15118" width="12.5703125" style="1158" customWidth="1"/>
    <col min="15119" max="15119" width="1.5703125" style="1158" customWidth="1"/>
    <col min="15120" max="15120" width="21" style="1158" customWidth="1"/>
    <col min="15121" max="15121" width="4.5703125" style="1158" customWidth="1"/>
    <col min="15122" max="15135" width="0" style="1158" hidden="1" customWidth="1"/>
    <col min="15136" max="15360" width="9.140625" style="1158" bestFit="1"/>
    <col min="15361" max="15361" width="0" style="1158" hidden="1" customWidth="1"/>
    <col min="15362" max="15362" width="10.42578125" style="1158" customWidth="1"/>
    <col min="15363" max="15363" width="1.42578125" style="1158" customWidth="1"/>
    <col min="15364" max="15364" width="6.5703125" style="1158" customWidth="1"/>
    <col min="15365" max="15365" width="1.5703125" style="1158" customWidth="1"/>
    <col min="15366" max="15366" width="12.5703125" style="1158" customWidth="1"/>
    <col min="15367" max="15367" width="1.5703125" style="1158" customWidth="1"/>
    <col min="15368" max="15368" width="19.5703125" style="1158" customWidth="1"/>
    <col min="15369" max="15369" width="2.5703125" style="1158" customWidth="1"/>
    <col min="15370" max="15370" width="10.5703125" style="1158" customWidth="1"/>
    <col min="15371" max="15371" width="0.5703125" style="1158" customWidth="1"/>
    <col min="15372" max="15372" width="6.42578125" style="1158" customWidth="1"/>
    <col min="15373" max="15373" width="1.5703125" style="1158" customWidth="1"/>
    <col min="15374" max="15374" width="12.5703125" style="1158" customWidth="1"/>
    <col min="15375" max="15375" width="1.5703125" style="1158" customWidth="1"/>
    <col min="15376" max="15376" width="21" style="1158" customWidth="1"/>
    <col min="15377" max="15377" width="4.5703125" style="1158" customWidth="1"/>
    <col min="15378" max="15391" width="0" style="1158" hidden="1" customWidth="1"/>
    <col min="15392" max="15616" width="9.140625" style="1158" bestFit="1"/>
    <col min="15617" max="15617" width="0" style="1158" hidden="1" customWidth="1"/>
    <col min="15618" max="15618" width="10.42578125" style="1158" customWidth="1"/>
    <col min="15619" max="15619" width="1.42578125" style="1158" customWidth="1"/>
    <col min="15620" max="15620" width="6.5703125" style="1158" customWidth="1"/>
    <col min="15621" max="15621" width="1.5703125" style="1158" customWidth="1"/>
    <col min="15622" max="15622" width="12.5703125" style="1158" customWidth="1"/>
    <col min="15623" max="15623" width="1.5703125" style="1158" customWidth="1"/>
    <col min="15624" max="15624" width="19.5703125" style="1158" customWidth="1"/>
    <col min="15625" max="15625" width="2.5703125" style="1158" customWidth="1"/>
    <col min="15626" max="15626" width="10.5703125" style="1158" customWidth="1"/>
    <col min="15627" max="15627" width="0.5703125" style="1158" customWidth="1"/>
    <col min="15628" max="15628" width="6.42578125" style="1158" customWidth="1"/>
    <col min="15629" max="15629" width="1.5703125" style="1158" customWidth="1"/>
    <col min="15630" max="15630" width="12.5703125" style="1158" customWidth="1"/>
    <col min="15631" max="15631" width="1.5703125" style="1158" customWidth="1"/>
    <col min="15632" max="15632" width="21" style="1158" customWidth="1"/>
    <col min="15633" max="15633" width="4.5703125" style="1158" customWidth="1"/>
    <col min="15634" max="15647" width="0" style="1158" hidden="1" customWidth="1"/>
    <col min="15648" max="15872" width="9.140625" style="1158" bestFit="1"/>
    <col min="15873" max="15873" width="0" style="1158" hidden="1" customWidth="1"/>
    <col min="15874" max="15874" width="10.42578125" style="1158" customWidth="1"/>
    <col min="15875" max="15875" width="1.42578125" style="1158" customWidth="1"/>
    <col min="15876" max="15876" width="6.5703125" style="1158" customWidth="1"/>
    <col min="15877" max="15877" width="1.5703125" style="1158" customWidth="1"/>
    <col min="15878" max="15878" width="12.5703125" style="1158" customWidth="1"/>
    <col min="15879" max="15879" width="1.5703125" style="1158" customWidth="1"/>
    <col min="15880" max="15880" width="19.5703125" style="1158" customWidth="1"/>
    <col min="15881" max="15881" width="2.5703125" style="1158" customWidth="1"/>
    <col min="15882" max="15882" width="10.5703125" style="1158" customWidth="1"/>
    <col min="15883" max="15883" width="0.5703125" style="1158" customWidth="1"/>
    <col min="15884" max="15884" width="6.42578125" style="1158" customWidth="1"/>
    <col min="15885" max="15885" width="1.5703125" style="1158" customWidth="1"/>
    <col min="15886" max="15886" width="12.5703125" style="1158" customWidth="1"/>
    <col min="15887" max="15887" width="1.5703125" style="1158" customWidth="1"/>
    <col min="15888" max="15888" width="21" style="1158" customWidth="1"/>
    <col min="15889" max="15889" width="4.5703125" style="1158" customWidth="1"/>
    <col min="15890" max="15903" width="0" style="1158" hidden="1" customWidth="1"/>
    <col min="15904" max="16128" width="9.140625" style="1158" bestFit="1"/>
    <col min="16129" max="16129" width="0" style="1158" hidden="1" customWidth="1"/>
    <col min="16130" max="16130" width="10.42578125" style="1158" customWidth="1"/>
    <col min="16131" max="16131" width="1.42578125" style="1158" customWidth="1"/>
    <col min="16132" max="16132" width="6.5703125" style="1158" customWidth="1"/>
    <col min="16133" max="16133" width="1.5703125" style="1158" customWidth="1"/>
    <col min="16134" max="16134" width="12.5703125" style="1158" customWidth="1"/>
    <col min="16135" max="16135" width="1.5703125" style="1158" customWidth="1"/>
    <col min="16136" max="16136" width="19.5703125" style="1158" customWidth="1"/>
    <col min="16137" max="16137" width="2.5703125" style="1158" customWidth="1"/>
    <col min="16138" max="16138" width="10.5703125" style="1158" customWidth="1"/>
    <col min="16139" max="16139" width="0.5703125" style="1158" customWidth="1"/>
    <col min="16140" max="16140" width="6.42578125" style="1158" customWidth="1"/>
    <col min="16141" max="16141" width="1.5703125" style="1158" customWidth="1"/>
    <col min="16142" max="16142" width="12.5703125" style="1158" customWidth="1"/>
    <col min="16143" max="16143" width="1.5703125" style="1158" customWidth="1"/>
    <col min="16144" max="16144" width="21" style="1158" customWidth="1"/>
    <col min="16145" max="16145" width="4.5703125" style="1158" customWidth="1"/>
    <col min="16146" max="16159" width="0" style="1158" hidden="1" customWidth="1"/>
    <col min="16160" max="16384" width="9.140625" style="1158" bestFit="1"/>
  </cols>
  <sheetData>
    <row r="1" spans="2:32" ht="25.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520" t="s">
        <v>535</v>
      </c>
      <c r="AF1" s="2241" t="str">
        <f>IF(Index!$B$74="na","NA","")</f>
        <v/>
      </c>
    </row>
    <row r="2" spans="2:32" ht="15" customHeight="1" x14ac:dyDescent="0.25">
      <c r="B2" s="2754" t="str">
        <f>Index!A2</f>
        <v>2023 ACFR Worksheets</v>
      </c>
      <c r="C2" s="2754"/>
      <c r="D2" s="2754"/>
      <c r="E2" s="2754"/>
      <c r="F2" s="2754"/>
      <c r="G2" s="2754"/>
      <c r="H2" s="2754"/>
      <c r="I2" s="2754"/>
      <c r="J2" s="2754"/>
      <c r="K2" s="2754"/>
      <c r="L2" s="2754"/>
      <c r="M2" s="2754"/>
      <c r="N2" s="2754"/>
      <c r="O2" s="2754"/>
      <c r="P2" s="2754"/>
      <c r="Q2" s="2520"/>
      <c r="AF2" s="2241"/>
    </row>
    <row r="3" spans="2:32" ht="15" customHeight="1" x14ac:dyDescent="0.25">
      <c r="B3" s="2755" t="s">
        <v>1893</v>
      </c>
      <c r="C3" s="2755"/>
      <c r="D3" s="2755"/>
      <c r="E3" s="2755"/>
      <c r="F3" s="2755"/>
      <c r="G3" s="2755"/>
      <c r="H3" s="2755"/>
      <c r="I3" s="2755"/>
      <c r="J3" s="2755"/>
      <c r="K3" s="2755"/>
      <c r="L3" s="2755"/>
      <c r="M3" s="2755"/>
      <c r="N3" s="2755"/>
      <c r="O3" s="2755"/>
      <c r="P3" s="2755"/>
      <c r="Q3" s="2520"/>
      <c r="AF3" s="2241"/>
    </row>
    <row r="4" spans="2:32" ht="15" customHeight="1" x14ac:dyDescent="0.25">
      <c r="B4" s="2755" t="s">
        <v>1894</v>
      </c>
      <c r="C4" s="2755"/>
      <c r="D4" s="2755"/>
      <c r="E4" s="2755"/>
      <c r="F4" s="2755"/>
      <c r="G4" s="2755"/>
      <c r="H4" s="2755"/>
      <c r="I4" s="2755"/>
      <c r="J4" s="2755"/>
      <c r="K4" s="2755"/>
      <c r="L4" s="2755"/>
      <c r="M4" s="2755"/>
      <c r="N4" s="2755"/>
      <c r="O4" s="2755"/>
      <c r="P4" s="2755"/>
      <c r="Q4" s="2241"/>
    </row>
    <row r="5" spans="2:32" s="1153" customFormat="1" ht="15" customHeight="1" x14ac:dyDescent="0.25">
      <c r="B5" s="1196"/>
      <c r="C5" s="1196"/>
      <c r="D5" s="1196"/>
      <c r="E5" s="2176"/>
      <c r="F5" s="2176"/>
      <c r="G5" s="2176"/>
      <c r="H5" s="2176"/>
      <c r="I5" s="2177"/>
      <c r="J5" s="2176"/>
      <c r="K5" s="2176"/>
      <c r="L5" s="2176"/>
      <c r="M5" s="2176"/>
      <c r="N5" s="2176"/>
      <c r="O5" s="2176"/>
      <c r="P5" s="143" t="s">
        <v>1592</v>
      </c>
      <c r="Q5" s="2177"/>
    </row>
    <row r="6" spans="2:32" s="1153" customFormat="1" ht="15" customHeight="1" x14ac:dyDescent="0.2">
      <c r="B6" s="2321" t="s">
        <v>317</v>
      </c>
      <c r="C6" s="2177"/>
      <c r="D6" s="2767" t="str">
        <f>Index!E10</f>
        <v>01</v>
      </c>
      <c r="E6" s="2767"/>
      <c r="F6" s="2767"/>
      <c r="G6" s="2767"/>
      <c r="H6" s="2767"/>
      <c r="I6" s="2177"/>
      <c r="J6" s="2768" t="s">
        <v>319</v>
      </c>
      <c r="K6" s="2768"/>
      <c r="L6" s="2768"/>
      <c r="M6" s="2769" t="str">
        <f>CONCATENATE(Index!$E$12," ",Index!$E$14)</f>
        <v xml:space="preserve"> </v>
      </c>
      <c r="N6" s="2769"/>
      <c r="O6" s="2769"/>
      <c r="P6" s="2769"/>
      <c r="Q6" s="2177"/>
    </row>
    <row r="7" spans="2:32" s="1153" customFormat="1" ht="15" customHeight="1" x14ac:dyDescent="0.2">
      <c r="B7" s="2321" t="s">
        <v>318</v>
      </c>
      <c r="C7" s="2177"/>
      <c r="D7" s="2770" t="str">
        <f>Index!E11</f>
        <v>North Carolina General Assembly</v>
      </c>
      <c r="E7" s="2770"/>
      <c r="F7" s="2770"/>
      <c r="G7" s="2770"/>
      <c r="H7" s="2770"/>
      <c r="I7" s="2177"/>
      <c r="J7" s="2768" t="s">
        <v>71</v>
      </c>
      <c r="K7" s="2768"/>
      <c r="L7" s="2768"/>
      <c r="M7" s="2771">
        <f>Index!E13</f>
        <v>0</v>
      </c>
      <c r="N7" s="2771"/>
      <c r="O7" s="2771"/>
      <c r="P7" s="2771"/>
      <c r="Q7" s="2177"/>
    </row>
    <row r="8" spans="2:32" s="1153" customFormat="1" ht="15" customHeight="1" thickBot="1" x14ac:dyDescent="0.25">
      <c r="B8" s="2178"/>
      <c r="C8" s="2178"/>
      <c r="D8" s="2178"/>
      <c r="E8" s="2178"/>
      <c r="F8" s="2178"/>
      <c r="G8" s="2178"/>
      <c r="H8" s="2178"/>
      <c r="I8" s="2179"/>
      <c r="J8" s="2178"/>
      <c r="K8" s="2178"/>
      <c r="L8" s="2178"/>
      <c r="M8" s="2178"/>
      <c r="N8" s="2178"/>
      <c r="O8" s="2178"/>
      <c r="P8" s="2178"/>
      <c r="Q8" s="2177"/>
    </row>
    <row r="9" spans="2:32" s="1153" customFormat="1" ht="15" customHeight="1" x14ac:dyDescent="0.2">
      <c r="B9" s="2177"/>
      <c r="C9" s="2177"/>
      <c r="D9" s="2177"/>
      <c r="E9" s="2177"/>
      <c r="F9" s="2177"/>
      <c r="G9" s="2177"/>
      <c r="H9" s="2177"/>
      <c r="I9" s="2180"/>
      <c r="J9" s="2177"/>
      <c r="K9" s="2177"/>
      <c r="L9" s="2177"/>
      <c r="M9" s="2177"/>
      <c r="N9" s="2177"/>
      <c r="O9" s="2177"/>
      <c r="P9" s="2177"/>
      <c r="Q9" s="2177"/>
    </row>
    <row r="10" spans="2:32" s="1153" customFormat="1" ht="15" customHeight="1" thickBot="1" x14ac:dyDescent="0.25">
      <c r="B10" s="2761" t="s">
        <v>1889</v>
      </c>
      <c r="C10" s="2761"/>
      <c r="D10" s="2761"/>
      <c r="E10" s="2761"/>
      <c r="F10" s="2761"/>
      <c r="G10" s="2761"/>
      <c r="H10" s="2761"/>
      <c r="I10" s="2180"/>
      <c r="J10" s="2761" t="s">
        <v>1890</v>
      </c>
      <c r="K10" s="2761"/>
      <c r="L10" s="2761"/>
      <c r="M10" s="2761"/>
      <c r="N10" s="2761"/>
      <c r="O10" s="2761"/>
      <c r="P10" s="2761"/>
      <c r="Q10" s="2177"/>
    </row>
    <row r="11" spans="2:32" s="1153" customFormat="1" ht="15" customHeight="1" x14ac:dyDescent="0.2">
      <c r="B11" s="2177"/>
      <c r="C11" s="2177"/>
      <c r="D11" s="2177"/>
      <c r="E11" s="2177"/>
      <c r="F11" s="1171" t="s">
        <v>1823</v>
      </c>
      <c r="G11" s="2177"/>
      <c r="H11" s="2177"/>
      <c r="I11" s="1171"/>
      <c r="J11" s="2177"/>
      <c r="K11" s="2177"/>
      <c r="L11" s="2177"/>
      <c r="M11" s="2177"/>
      <c r="N11" s="1171" t="s">
        <v>1825</v>
      </c>
      <c r="O11" s="2177"/>
      <c r="P11" s="2177"/>
      <c r="Q11" s="2177"/>
    </row>
    <row r="12" spans="2:32" s="1153" customFormat="1" ht="15" customHeight="1" x14ac:dyDescent="0.2">
      <c r="B12" s="1171" t="s">
        <v>1879</v>
      </c>
      <c r="C12" s="2177"/>
      <c r="D12" s="1171" t="s">
        <v>1596</v>
      </c>
      <c r="E12" s="2177"/>
      <c r="F12" s="1171" t="s">
        <v>748</v>
      </c>
      <c r="G12" s="2177"/>
      <c r="H12" s="2177"/>
      <c r="I12" s="1171"/>
      <c r="J12" s="1171" t="s">
        <v>1879</v>
      </c>
      <c r="K12" s="2177"/>
      <c r="L12" s="1171" t="s">
        <v>1596</v>
      </c>
      <c r="M12" s="2177"/>
      <c r="N12" s="1171" t="s">
        <v>748</v>
      </c>
      <c r="O12" s="2177"/>
      <c r="P12" s="2177"/>
      <c r="Q12" s="2177"/>
    </row>
    <row r="13" spans="2:32" s="1153" customFormat="1" ht="15" customHeight="1" thickBot="1" x14ac:dyDescent="0.25">
      <c r="B13" s="2318" t="s">
        <v>1880</v>
      </c>
      <c r="C13" s="1171"/>
      <c r="D13" s="2318" t="s">
        <v>1880</v>
      </c>
      <c r="E13" s="1171"/>
      <c r="F13" s="2318" t="s">
        <v>1881</v>
      </c>
      <c r="G13" s="2177"/>
      <c r="H13" s="2318" t="s">
        <v>1347</v>
      </c>
      <c r="I13" s="1171"/>
      <c r="J13" s="2318" t="s">
        <v>1880</v>
      </c>
      <c r="K13" s="1171"/>
      <c r="L13" s="2318" t="s">
        <v>1880</v>
      </c>
      <c r="M13" s="1171"/>
      <c r="N13" s="2318" t="s">
        <v>1882</v>
      </c>
      <c r="O13" s="2177"/>
      <c r="P13" s="2318" t="s">
        <v>1347</v>
      </c>
      <c r="Q13" s="1171" t="s">
        <v>50</v>
      </c>
    </row>
    <row r="14" spans="2:32" s="1153" customFormat="1" ht="15" customHeight="1" x14ac:dyDescent="0.2">
      <c r="B14" s="1250" t="s">
        <v>1891</v>
      </c>
      <c r="C14" s="1251"/>
      <c r="D14" s="1252">
        <v>1100</v>
      </c>
      <c r="E14" s="1251"/>
      <c r="F14" s="1252">
        <v>438101</v>
      </c>
      <c r="G14" s="1253"/>
      <c r="H14" s="1254">
        <v>200000</v>
      </c>
      <c r="I14" s="1255"/>
      <c r="J14" s="1256" t="s">
        <v>1892</v>
      </c>
      <c r="K14" s="1251"/>
      <c r="L14" s="1252">
        <v>1100</v>
      </c>
      <c r="M14" s="1251"/>
      <c r="N14" s="1252">
        <v>538101</v>
      </c>
      <c r="O14" s="1255"/>
      <c r="P14" s="1254">
        <v>200000</v>
      </c>
      <c r="Q14" s="313" t="str">
        <f t="shared" ref="Q14:Q32" si="0">IF(AND(R14,X14,AD14,AE14),"","*")</f>
        <v/>
      </c>
      <c r="R14" s="2078" t="b">
        <f t="shared" ref="R14:R32" si="1">IF(OR(S14=0,S14=4),TRUE, FALSE)</f>
        <v>1</v>
      </c>
      <c r="S14" s="2078">
        <f t="shared" ref="S14:S32" si="2">COUNTIF(T14:W14,FALSE)</f>
        <v>4</v>
      </c>
      <c r="T14" s="2181" t="b">
        <f t="shared" ref="T14:T32" si="3">ISBLANK(B14)</f>
        <v>0</v>
      </c>
      <c r="U14" s="2181" t="b">
        <f t="shared" ref="U14:U32" si="4">ISBLANK(D14)</f>
        <v>0</v>
      </c>
      <c r="V14" s="2181" t="b">
        <f t="shared" ref="V14:V32" si="5">ISBLANK(F14)</f>
        <v>0</v>
      </c>
      <c r="W14" s="2181" t="b">
        <f t="shared" ref="W14:W32" si="6">ISBLANK(H14)</f>
        <v>0</v>
      </c>
      <c r="X14" s="2078" t="b">
        <f t="shared" ref="X14:X32" si="7">IF(OR(Y14=0,Y14=4),TRUE, FALSE)</f>
        <v>1</v>
      </c>
      <c r="Y14" s="2078">
        <f t="shared" ref="Y14:Y32" si="8">COUNTIF(Z14:AC14,FALSE)</f>
        <v>4</v>
      </c>
      <c r="Z14" s="2181" t="b">
        <f t="shared" ref="Z14:Z32" si="9">ISBLANK(J14)</f>
        <v>0</v>
      </c>
      <c r="AA14" s="2181" t="b">
        <f t="shared" ref="AA14:AA32" si="10">ISBLANK(L14)</f>
        <v>0</v>
      </c>
      <c r="AB14" s="2181" t="b">
        <f t="shared" ref="AB14:AB32" si="11">ISBLANK(N14)</f>
        <v>0</v>
      </c>
      <c r="AC14" s="2181" t="b">
        <f t="shared" ref="AC14:AC32" si="12">ISBLANK(P14)</f>
        <v>0</v>
      </c>
      <c r="AD14" s="1144" t="b">
        <f t="shared" ref="AD14:AD32" si="13">IF(ISBLANK(F14),TRUE,VALUE(LEFT(F14,4))=4381)</f>
        <v>1</v>
      </c>
      <c r="AE14" s="1144" t="b">
        <f t="shared" ref="AE14:AE32" si="14">IF(ISBLANK(N14),TRUE,VALUE(LEFT(N14,4))=5381)</f>
        <v>1</v>
      </c>
      <c r="AF14" s="1257" t="s">
        <v>1885</v>
      </c>
    </row>
    <row r="15" spans="2:32" s="1153" customFormat="1" ht="15" customHeight="1" x14ac:dyDescent="0.2">
      <c r="B15" s="2182"/>
      <c r="C15" s="2183"/>
      <c r="D15" s="2184"/>
      <c r="E15" s="2183"/>
      <c r="F15" s="2184"/>
      <c r="G15" s="1171"/>
      <c r="H15" s="2185"/>
      <c r="I15" s="2177"/>
      <c r="J15" s="2182"/>
      <c r="K15" s="2183"/>
      <c r="L15" s="2184"/>
      <c r="M15" s="2183"/>
      <c r="N15" s="2184"/>
      <c r="O15" s="2177"/>
      <c r="P15" s="2185"/>
      <c r="Q15" s="313" t="str">
        <f t="shared" si="0"/>
        <v/>
      </c>
      <c r="R15" s="2078" t="b">
        <f t="shared" si="1"/>
        <v>1</v>
      </c>
      <c r="S15" s="2078">
        <f t="shared" si="2"/>
        <v>0</v>
      </c>
      <c r="T15" s="2181" t="b">
        <f t="shared" si="3"/>
        <v>1</v>
      </c>
      <c r="U15" s="2181" t="b">
        <f t="shared" si="4"/>
        <v>1</v>
      </c>
      <c r="V15" s="2181" t="b">
        <f t="shared" si="5"/>
        <v>1</v>
      </c>
      <c r="W15" s="2181" t="b">
        <f t="shared" si="6"/>
        <v>1</v>
      </c>
      <c r="X15" s="2078" t="b">
        <f t="shared" si="7"/>
        <v>1</v>
      </c>
      <c r="Y15" s="2078">
        <f t="shared" si="8"/>
        <v>0</v>
      </c>
      <c r="Z15" s="2181" t="b">
        <f t="shared" si="9"/>
        <v>1</v>
      </c>
      <c r="AA15" s="2181" t="b">
        <f t="shared" si="10"/>
        <v>1</v>
      </c>
      <c r="AB15" s="2181" t="b">
        <f t="shared" si="11"/>
        <v>1</v>
      </c>
      <c r="AC15" s="2181" t="b">
        <f t="shared" si="12"/>
        <v>1</v>
      </c>
      <c r="AD15" s="1144" t="b">
        <f t="shared" si="13"/>
        <v>1</v>
      </c>
      <c r="AE15" s="1144" t="b">
        <f t="shared" si="14"/>
        <v>1</v>
      </c>
    </row>
    <row r="16" spans="2:32" s="1153" customFormat="1" ht="15" customHeight="1" x14ac:dyDescent="0.2">
      <c r="B16" s="2182"/>
      <c r="C16" s="2183"/>
      <c r="D16" s="2184"/>
      <c r="E16" s="2183"/>
      <c r="F16" s="2184"/>
      <c r="G16" s="1171"/>
      <c r="H16" s="2185"/>
      <c r="I16" s="2177"/>
      <c r="J16" s="2182"/>
      <c r="K16" s="2183"/>
      <c r="L16" s="2184"/>
      <c r="M16" s="2183"/>
      <c r="N16" s="2184"/>
      <c r="O16" s="2177"/>
      <c r="P16" s="2185"/>
      <c r="Q16" s="313" t="str">
        <f t="shared" si="0"/>
        <v/>
      </c>
      <c r="R16" s="2078" t="b">
        <f t="shared" si="1"/>
        <v>1</v>
      </c>
      <c r="S16" s="2078">
        <f t="shared" si="2"/>
        <v>0</v>
      </c>
      <c r="T16" s="2181" t="b">
        <f t="shared" si="3"/>
        <v>1</v>
      </c>
      <c r="U16" s="2181" t="b">
        <f t="shared" si="4"/>
        <v>1</v>
      </c>
      <c r="V16" s="2181" t="b">
        <f t="shared" si="5"/>
        <v>1</v>
      </c>
      <c r="W16" s="2181" t="b">
        <f t="shared" si="6"/>
        <v>1</v>
      </c>
      <c r="X16" s="2078" t="b">
        <f t="shared" si="7"/>
        <v>1</v>
      </c>
      <c r="Y16" s="2078">
        <f t="shared" si="8"/>
        <v>0</v>
      </c>
      <c r="Z16" s="2181" t="b">
        <f t="shared" si="9"/>
        <v>1</v>
      </c>
      <c r="AA16" s="2181" t="b">
        <f t="shared" si="10"/>
        <v>1</v>
      </c>
      <c r="AB16" s="2181" t="b">
        <f t="shared" si="11"/>
        <v>1</v>
      </c>
      <c r="AC16" s="2181" t="b">
        <f t="shared" si="12"/>
        <v>1</v>
      </c>
      <c r="AD16" s="1144" t="b">
        <f t="shared" si="13"/>
        <v>1</v>
      </c>
      <c r="AE16" s="1144" t="b">
        <f t="shared" si="14"/>
        <v>1</v>
      </c>
    </row>
    <row r="17" spans="2:31" s="1153" customFormat="1" ht="15" customHeight="1" x14ac:dyDescent="0.2">
      <c r="B17" s="2182"/>
      <c r="C17" s="2183"/>
      <c r="D17" s="2184"/>
      <c r="E17" s="2183"/>
      <c r="F17" s="2184"/>
      <c r="G17" s="1171"/>
      <c r="H17" s="2185"/>
      <c r="I17" s="2177"/>
      <c r="J17" s="2182"/>
      <c r="K17" s="2183"/>
      <c r="L17" s="2184"/>
      <c r="M17" s="2183"/>
      <c r="N17" s="2184"/>
      <c r="O17" s="2177"/>
      <c r="P17" s="2185"/>
      <c r="Q17" s="313" t="str">
        <f t="shared" si="0"/>
        <v/>
      </c>
      <c r="R17" s="2078" t="b">
        <f t="shared" si="1"/>
        <v>1</v>
      </c>
      <c r="S17" s="2078">
        <f t="shared" si="2"/>
        <v>0</v>
      </c>
      <c r="T17" s="2181" t="b">
        <f t="shared" si="3"/>
        <v>1</v>
      </c>
      <c r="U17" s="2181" t="b">
        <f t="shared" si="4"/>
        <v>1</v>
      </c>
      <c r="V17" s="2181" t="b">
        <f t="shared" si="5"/>
        <v>1</v>
      </c>
      <c r="W17" s="2181" t="b">
        <f t="shared" si="6"/>
        <v>1</v>
      </c>
      <c r="X17" s="2078" t="b">
        <f t="shared" si="7"/>
        <v>1</v>
      </c>
      <c r="Y17" s="2078">
        <f t="shared" si="8"/>
        <v>0</v>
      </c>
      <c r="Z17" s="2181" t="b">
        <f t="shared" si="9"/>
        <v>1</v>
      </c>
      <c r="AA17" s="2181" t="b">
        <f t="shared" si="10"/>
        <v>1</v>
      </c>
      <c r="AB17" s="2181" t="b">
        <f t="shared" si="11"/>
        <v>1</v>
      </c>
      <c r="AC17" s="2181" t="b">
        <f t="shared" si="12"/>
        <v>1</v>
      </c>
      <c r="AD17" s="1144" t="b">
        <f t="shared" si="13"/>
        <v>1</v>
      </c>
      <c r="AE17" s="1144" t="b">
        <f t="shared" si="14"/>
        <v>1</v>
      </c>
    </row>
    <row r="18" spans="2:31" s="1153" customFormat="1" ht="15" customHeight="1" x14ac:dyDescent="0.2">
      <c r="B18" s="2182"/>
      <c r="C18" s="2183"/>
      <c r="D18" s="2184"/>
      <c r="E18" s="2183"/>
      <c r="F18" s="2184"/>
      <c r="G18" s="1171"/>
      <c r="H18" s="2185"/>
      <c r="I18" s="2177"/>
      <c r="J18" s="2182"/>
      <c r="K18" s="2183"/>
      <c r="L18" s="2184"/>
      <c r="M18" s="2183"/>
      <c r="N18" s="2184"/>
      <c r="O18" s="2177"/>
      <c r="P18" s="2185"/>
      <c r="Q18" s="313" t="str">
        <f t="shared" si="0"/>
        <v/>
      </c>
      <c r="R18" s="2078" t="b">
        <f t="shared" si="1"/>
        <v>1</v>
      </c>
      <c r="S18" s="2078">
        <f t="shared" si="2"/>
        <v>0</v>
      </c>
      <c r="T18" s="2181" t="b">
        <f t="shared" si="3"/>
        <v>1</v>
      </c>
      <c r="U18" s="2181" t="b">
        <f t="shared" si="4"/>
        <v>1</v>
      </c>
      <c r="V18" s="2181" t="b">
        <f t="shared" si="5"/>
        <v>1</v>
      </c>
      <c r="W18" s="2181" t="b">
        <f t="shared" si="6"/>
        <v>1</v>
      </c>
      <c r="X18" s="2078" t="b">
        <f t="shared" si="7"/>
        <v>1</v>
      </c>
      <c r="Y18" s="2078">
        <f t="shared" si="8"/>
        <v>0</v>
      </c>
      <c r="Z18" s="2181" t="b">
        <f t="shared" si="9"/>
        <v>1</v>
      </c>
      <c r="AA18" s="2181" t="b">
        <f t="shared" si="10"/>
        <v>1</v>
      </c>
      <c r="AB18" s="2181" t="b">
        <f t="shared" si="11"/>
        <v>1</v>
      </c>
      <c r="AC18" s="2181" t="b">
        <f t="shared" si="12"/>
        <v>1</v>
      </c>
      <c r="AD18" s="1144" t="b">
        <f t="shared" si="13"/>
        <v>1</v>
      </c>
      <c r="AE18" s="1144" t="b">
        <f t="shared" si="14"/>
        <v>1</v>
      </c>
    </row>
    <row r="19" spans="2:31" s="1153" customFormat="1" ht="15" customHeight="1" x14ac:dyDescent="0.2">
      <c r="B19" s="2182"/>
      <c r="C19" s="2183"/>
      <c r="D19" s="2184"/>
      <c r="E19" s="2183"/>
      <c r="F19" s="2184"/>
      <c r="G19" s="1171"/>
      <c r="H19" s="2185"/>
      <c r="I19" s="2177"/>
      <c r="J19" s="2182"/>
      <c r="K19" s="2183"/>
      <c r="L19" s="2184"/>
      <c r="M19" s="2183"/>
      <c r="N19" s="2184"/>
      <c r="O19" s="2177"/>
      <c r="P19" s="2185"/>
      <c r="Q19" s="313" t="str">
        <f t="shared" si="0"/>
        <v/>
      </c>
      <c r="R19" s="2078" t="b">
        <f t="shared" si="1"/>
        <v>1</v>
      </c>
      <c r="S19" s="2078">
        <f t="shared" si="2"/>
        <v>0</v>
      </c>
      <c r="T19" s="2181" t="b">
        <f t="shared" si="3"/>
        <v>1</v>
      </c>
      <c r="U19" s="2181" t="b">
        <f t="shared" si="4"/>
        <v>1</v>
      </c>
      <c r="V19" s="2181" t="b">
        <f t="shared" si="5"/>
        <v>1</v>
      </c>
      <c r="W19" s="2181" t="b">
        <f t="shared" si="6"/>
        <v>1</v>
      </c>
      <c r="X19" s="2078" t="b">
        <f t="shared" si="7"/>
        <v>1</v>
      </c>
      <c r="Y19" s="2078">
        <f t="shared" si="8"/>
        <v>0</v>
      </c>
      <c r="Z19" s="2181" t="b">
        <f t="shared" si="9"/>
        <v>1</v>
      </c>
      <c r="AA19" s="2181" t="b">
        <f t="shared" si="10"/>
        <v>1</v>
      </c>
      <c r="AB19" s="2181" t="b">
        <f t="shared" si="11"/>
        <v>1</v>
      </c>
      <c r="AC19" s="2181" t="b">
        <f t="shared" si="12"/>
        <v>1</v>
      </c>
      <c r="AD19" s="1144" t="b">
        <f t="shared" si="13"/>
        <v>1</v>
      </c>
      <c r="AE19" s="1144" t="b">
        <f t="shared" si="14"/>
        <v>1</v>
      </c>
    </row>
    <row r="20" spans="2:31" s="1153" customFormat="1" ht="15" customHeight="1" x14ac:dyDescent="0.2">
      <c r="B20" s="2182"/>
      <c r="C20" s="2183"/>
      <c r="D20" s="2184"/>
      <c r="E20" s="2183"/>
      <c r="F20" s="2184"/>
      <c r="G20" s="1171"/>
      <c r="H20" s="2185"/>
      <c r="I20" s="2177"/>
      <c r="J20" s="2182"/>
      <c r="K20" s="2183"/>
      <c r="L20" s="2184"/>
      <c r="M20" s="2183"/>
      <c r="N20" s="2184"/>
      <c r="O20" s="2177"/>
      <c r="P20" s="2185"/>
      <c r="Q20" s="313" t="str">
        <f t="shared" si="0"/>
        <v/>
      </c>
      <c r="R20" s="2078" t="b">
        <f t="shared" si="1"/>
        <v>1</v>
      </c>
      <c r="S20" s="2078">
        <f t="shared" si="2"/>
        <v>0</v>
      </c>
      <c r="T20" s="2181" t="b">
        <f t="shared" si="3"/>
        <v>1</v>
      </c>
      <c r="U20" s="2181" t="b">
        <f t="shared" si="4"/>
        <v>1</v>
      </c>
      <c r="V20" s="2181" t="b">
        <f t="shared" si="5"/>
        <v>1</v>
      </c>
      <c r="W20" s="2181" t="b">
        <f t="shared" si="6"/>
        <v>1</v>
      </c>
      <c r="X20" s="2078" t="b">
        <f t="shared" si="7"/>
        <v>1</v>
      </c>
      <c r="Y20" s="2078">
        <f t="shared" si="8"/>
        <v>0</v>
      </c>
      <c r="Z20" s="2181" t="b">
        <f t="shared" si="9"/>
        <v>1</v>
      </c>
      <c r="AA20" s="2181" t="b">
        <f t="shared" si="10"/>
        <v>1</v>
      </c>
      <c r="AB20" s="2181" t="b">
        <f t="shared" si="11"/>
        <v>1</v>
      </c>
      <c r="AC20" s="2181" t="b">
        <f t="shared" si="12"/>
        <v>1</v>
      </c>
      <c r="AD20" s="1144" t="b">
        <f t="shared" si="13"/>
        <v>1</v>
      </c>
      <c r="AE20" s="1144" t="b">
        <f t="shared" si="14"/>
        <v>1</v>
      </c>
    </row>
    <row r="21" spans="2:31" s="1153" customFormat="1" ht="15" customHeight="1" x14ac:dyDescent="0.2">
      <c r="B21" s="2182"/>
      <c r="C21" s="2183"/>
      <c r="D21" s="2184"/>
      <c r="E21" s="2183"/>
      <c r="F21" s="2184"/>
      <c r="G21" s="1171"/>
      <c r="H21" s="2185"/>
      <c r="I21" s="2177"/>
      <c r="J21" s="2182"/>
      <c r="K21" s="2183"/>
      <c r="L21" s="2184"/>
      <c r="M21" s="2183"/>
      <c r="N21" s="2184"/>
      <c r="O21" s="2177"/>
      <c r="P21" s="2185"/>
      <c r="Q21" s="313" t="str">
        <f t="shared" si="0"/>
        <v/>
      </c>
      <c r="R21" s="2078" t="b">
        <f t="shared" si="1"/>
        <v>1</v>
      </c>
      <c r="S21" s="2078">
        <f t="shared" si="2"/>
        <v>0</v>
      </c>
      <c r="T21" s="2181" t="b">
        <f t="shared" si="3"/>
        <v>1</v>
      </c>
      <c r="U21" s="2181" t="b">
        <f t="shared" si="4"/>
        <v>1</v>
      </c>
      <c r="V21" s="2181" t="b">
        <f t="shared" si="5"/>
        <v>1</v>
      </c>
      <c r="W21" s="2181" t="b">
        <f t="shared" si="6"/>
        <v>1</v>
      </c>
      <c r="X21" s="2078" t="b">
        <f t="shared" si="7"/>
        <v>1</v>
      </c>
      <c r="Y21" s="2078">
        <f t="shared" si="8"/>
        <v>0</v>
      </c>
      <c r="Z21" s="2181" t="b">
        <f t="shared" si="9"/>
        <v>1</v>
      </c>
      <c r="AA21" s="2181" t="b">
        <f t="shared" si="10"/>
        <v>1</v>
      </c>
      <c r="AB21" s="2181" t="b">
        <f t="shared" si="11"/>
        <v>1</v>
      </c>
      <c r="AC21" s="2181" t="b">
        <f t="shared" si="12"/>
        <v>1</v>
      </c>
      <c r="AD21" s="1144" t="b">
        <f t="shared" si="13"/>
        <v>1</v>
      </c>
      <c r="AE21" s="1144" t="b">
        <f t="shared" si="14"/>
        <v>1</v>
      </c>
    </row>
    <row r="22" spans="2:31" s="1153" customFormat="1" ht="15" customHeight="1" x14ac:dyDescent="0.2">
      <c r="B22" s="2182"/>
      <c r="C22" s="2183"/>
      <c r="D22" s="2184"/>
      <c r="E22" s="2183"/>
      <c r="F22" s="2184"/>
      <c r="G22" s="1171"/>
      <c r="H22" s="2185"/>
      <c r="I22" s="2177"/>
      <c r="J22" s="2182"/>
      <c r="K22" s="2183"/>
      <c r="L22" s="2184"/>
      <c r="M22" s="2183"/>
      <c r="N22" s="2184"/>
      <c r="O22" s="2177"/>
      <c r="P22" s="2185"/>
      <c r="Q22" s="313" t="str">
        <f t="shared" si="0"/>
        <v/>
      </c>
      <c r="R22" s="2078" t="b">
        <f t="shared" si="1"/>
        <v>1</v>
      </c>
      <c r="S22" s="2078">
        <f t="shared" si="2"/>
        <v>0</v>
      </c>
      <c r="T22" s="2181" t="b">
        <f t="shared" si="3"/>
        <v>1</v>
      </c>
      <c r="U22" s="2181" t="b">
        <f t="shared" si="4"/>
        <v>1</v>
      </c>
      <c r="V22" s="2181" t="b">
        <f t="shared" si="5"/>
        <v>1</v>
      </c>
      <c r="W22" s="2181" t="b">
        <f t="shared" si="6"/>
        <v>1</v>
      </c>
      <c r="X22" s="2078" t="b">
        <f t="shared" si="7"/>
        <v>1</v>
      </c>
      <c r="Y22" s="2078">
        <f t="shared" si="8"/>
        <v>0</v>
      </c>
      <c r="Z22" s="2181" t="b">
        <f t="shared" si="9"/>
        <v>1</v>
      </c>
      <c r="AA22" s="2181" t="b">
        <f t="shared" si="10"/>
        <v>1</v>
      </c>
      <c r="AB22" s="2181" t="b">
        <f t="shared" si="11"/>
        <v>1</v>
      </c>
      <c r="AC22" s="2181" t="b">
        <f t="shared" si="12"/>
        <v>1</v>
      </c>
      <c r="AD22" s="1144" t="b">
        <f t="shared" si="13"/>
        <v>1</v>
      </c>
      <c r="AE22" s="1144" t="b">
        <f t="shared" si="14"/>
        <v>1</v>
      </c>
    </row>
    <row r="23" spans="2:31" s="1153" customFormat="1" ht="15" customHeight="1" x14ac:dyDescent="0.2">
      <c r="B23" s="2182"/>
      <c r="C23" s="2183"/>
      <c r="D23" s="2184"/>
      <c r="E23" s="2183"/>
      <c r="F23" s="2184"/>
      <c r="G23" s="1171"/>
      <c r="H23" s="2185"/>
      <c r="I23" s="2177"/>
      <c r="J23" s="2182"/>
      <c r="K23" s="2183"/>
      <c r="L23" s="2184"/>
      <c r="M23" s="2183"/>
      <c r="N23" s="2184"/>
      <c r="O23" s="2177"/>
      <c r="P23" s="2185"/>
      <c r="Q23" s="313" t="str">
        <f t="shared" si="0"/>
        <v/>
      </c>
      <c r="R23" s="2078" t="b">
        <f t="shared" si="1"/>
        <v>1</v>
      </c>
      <c r="S23" s="2078">
        <f t="shared" si="2"/>
        <v>0</v>
      </c>
      <c r="T23" s="2181" t="b">
        <f t="shared" si="3"/>
        <v>1</v>
      </c>
      <c r="U23" s="2181" t="b">
        <f t="shared" si="4"/>
        <v>1</v>
      </c>
      <c r="V23" s="2181" t="b">
        <f t="shared" si="5"/>
        <v>1</v>
      </c>
      <c r="W23" s="2181" t="b">
        <f t="shared" si="6"/>
        <v>1</v>
      </c>
      <c r="X23" s="2078" t="b">
        <f t="shared" si="7"/>
        <v>1</v>
      </c>
      <c r="Y23" s="2078">
        <f t="shared" si="8"/>
        <v>0</v>
      </c>
      <c r="Z23" s="2181" t="b">
        <f t="shared" si="9"/>
        <v>1</v>
      </c>
      <c r="AA23" s="2181" t="b">
        <f t="shared" si="10"/>
        <v>1</v>
      </c>
      <c r="AB23" s="2181" t="b">
        <f t="shared" si="11"/>
        <v>1</v>
      </c>
      <c r="AC23" s="2181" t="b">
        <f t="shared" si="12"/>
        <v>1</v>
      </c>
      <c r="AD23" s="1144" t="b">
        <f t="shared" si="13"/>
        <v>1</v>
      </c>
      <c r="AE23" s="1144" t="b">
        <f t="shared" si="14"/>
        <v>1</v>
      </c>
    </row>
    <row r="24" spans="2:31" s="1153" customFormat="1" ht="15" customHeight="1" x14ac:dyDescent="0.2">
      <c r="B24" s="2182"/>
      <c r="C24" s="2183"/>
      <c r="D24" s="2184"/>
      <c r="E24" s="2183"/>
      <c r="F24" s="2184"/>
      <c r="G24" s="1171"/>
      <c r="H24" s="2185"/>
      <c r="I24" s="2177"/>
      <c r="J24" s="2182"/>
      <c r="K24" s="2183"/>
      <c r="L24" s="2184"/>
      <c r="M24" s="2183"/>
      <c r="N24" s="2184"/>
      <c r="O24" s="2177"/>
      <c r="P24" s="2185"/>
      <c r="Q24" s="313" t="str">
        <f t="shared" si="0"/>
        <v/>
      </c>
      <c r="R24" s="2078" t="b">
        <f t="shared" si="1"/>
        <v>1</v>
      </c>
      <c r="S24" s="2078">
        <f t="shared" si="2"/>
        <v>0</v>
      </c>
      <c r="T24" s="2181" t="b">
        <f t="shared" si="3"/>
        <v>1</v>
      </c>
      <c r="U24" s="2181" t="b">
        <f t="shared" si="4"/>
        <v>1</v>
      </c>
      <c r="V24" s="2181" t="b">
        <f t="shared" si="5"/>
        <v>1</v>
      </c>
      <c r="W24" s="2181" t="b">
        <f t="shared" si="6"/>
        <v>1</v>
      </c>
      <c r="X24" s="2078" t="b">
        <f t="shared" si="7"/>
        <v>1</v>
      </c>
      <c r="Y24" s="2078">
        <f t="shared" si="8"/>
        <v>0</v>
      </c>
      <c r="Z24" s="2181" t="b">
        <f t="shared" si="9"/>
        <v>1</v>
      </c>
      <c r="AA24" s="2181" t="b">
        <f t="shared" si="10"/>
        <v>1</v>
      </c>
      <c r="AB24" s="2181" t="b">
        <f t="shared" si="11"/>
        <v>1</v>
      </c>
      <c r="AC24" s="2181" t="b">
        <f t="shared" si="12"/>
        <v>1</v>
      </c>
      <c r="AD24" s="1144" t="b">
        <f t="shared" si="13"/>
        <v>1</v>
      </c>
      <c r="AE24" s="1144" t="b">
        <f t="shared" si="14"/>
        <v>1</v>
      </c>
    </row>
    <row r="25" spans="2:31" s="1153" customFormat="1" ht="15" customHeight="1" x14ac:dyDescent="0.2">
      <c r="B25" s="2182"/>
      <c r="C25" s="2183"/>
      <c r="D25" s="2184"/>
      <c r="E25" s="2183"/>
      <c r="F25" s="2184"/>
      <c r="G25" s="1171"/>
      <c r="H25" s="2185"/>
      <c r="I25" s="2177"/>
      <c r="J25" s="2182"/>
      <c r="K25" s="2183"/>
      <c r="L25" s="2184"/>
      <c r="M25" s="2183"/>
      <c r="N25" s="2184"/>
      <c r="O25" s="2177"/>
      <c r="P25" s="2185"/>
      <c r="Q25" s="313" t="str">
        <f t="shared" si="0"/>
        <v/>
      </c>
      <c r="R25" s="2078" t="b">
        <f t="shared" si="1"/>
        <v>1</v>
      </c>
      <c r="S25" s="2078">
        <f t="shared" si="2"/>
        <v>0</v>
      </c>
      <c r="T25" s="2181" t="b">
        <f t="shared" si="3"/>
        <v>1</v>
      </c>
      <c r="U25" s="2181" t="b">
        <f t="shared" si="4"/>
        <v>1</v>
      </c>
      <c r="V25" s="2181" t="b">
        <f t="shared" si="5"/>
        <v>1</v>
      </c>
      <c r="W25" s="2181" t="b">
        <f t="shared" si="6"/>
        <v>1</v>
      </c>
      <c r="X25" s="2078" t="b">
        <f t="shared" si="7"/>
        <v>1</v>
      </c>
      <c r="Y25" s="2078">
        <f t="shared" si="8"/>
        <v>0</v>
      </c>
      <c r="Z25" s="2181" t="b">
        <f t="shared" si="9"/>
        <v>1</v>
      </c>
      <c r="AA25" s="2181" t="b">
        <f t="shared" si="10"/>
        <v>1</v>
      </c>
      <c r="AB25" s="2181" t="b">
        <f t="shared" si="11"/>
        <v>1</v>
      </c>
      <c r="AC25" s="2181" t="b">
        <f t="shared" si="12"/>
        <v>1</v>
      </c>
      <c r="AD25" s="1144" t="b">
        <f t="shared" si="13"/>
        <v>1</v>
      </c>
      <c r="AE25" s="1144" t="b">
        <f t="shared" si="14"/>
        <v>1</v>
      </c>
    </row>
    <row r="26" spans="2:31" s="1153" customFormat="1" ht="15" customHeight="1" x14ac:dyDescent="0.2">
      <c r="B26" s="2182"/>
      <c r="C26" s="2183"/>
      <c r="D26" s="2184"/>
      <c r="E26" s="2183"/>
      <c r="F26" s="2184"/>
      <c r="G26" s="1171"/>
      <c r="H26" s="2185"/>
      <c r="I26" s="2177"/>
      <c r="J26" s="2182"/>
      <c r="K26" s="2183"/>
      <c r="L26" s="2184"/>
      <c r="M26" s="2183"/>
      <c r="N26" s="2184"/>
      <c r="O26" s="2177"/>
      <c r="P26" s="2185"/>
      <c r="Q26" s="313" t="str">
        <f t="shared" si="0"/>
        <v/>
      </c>
      <c r="R26" s="2078" t="b">
        <f t="shared" si="1"/>
        <v>1</v>
      </c>
      <c r="S26" s="2078">
        <f t="shared" si="2"/>
        <v>0</v>
      </c>
      <c r="T26" s="2181" t="b">
        <f t="shared" si="3"/>
        <v>1</v>
      </c>
      <c r="U26" s="2181" t="b">
        <f t="shared" si="4"/>
        <v>1</v>
      </c>
      <c r="V26" s="2181" t="b">
        <f t="shared" si="5"/>
        <v>1</v>
      </c>
      <c r="W26" s="2181" t="b">
        <f t="shared" si="6"/>
        <v>1</v>
      </c>
      <c r="X26" s="2078" t="b">
        <f t="shared" si="7"/>
        <v>1</v>
      </c>
      <c r="Y26" s="2078">
        <f t="shared" si="8"/>
        <v>0</v>
      </c>
      <c r="Z26" s="2181" t="b">
        <f t="shared" si="9"/>
        <v>1</v>
      </c>
      <c r="AA26" s="2181" t="b">
        <f t="shared" si="10"/>
        <v>1</v>
      </c>
      <c r="AB26" s="2181" t="b">
        <f t="shared" si="11"/>
        <v>1</v>
      </c>
      <c r="AC26" s="2181" t="b">
        <f t="shared" si="12"/>
        <v>1</v>
      </c>
      <c r="AD26" s="1144" t="b">
        <f t="shared" si="13"/>
        <v>1</v>
      </c>
      <c r="AE26" s="1144" t="b">
        <f t="shared" si="14"/>
        <v>1</v>
      </c>
    </row>
    <row r="27" spans="2:31" s="1153" customFormat="1" ht="15" customHeight="1" x14ac:dyDescent="0.2">
      <c r="B27" s="2182"/>
      <c r="C27" s="2183"/>
      <c r="D27" s="2184"/>
      <c r="E27" s="2183"/>
      <c r="F27" s="2184"/>
      <c r="G27" s="1171"/>
      <c r="H27" s="2185"/>
      <c r="I27" s="2177"/>
      <c r="J27" s="2182"/>
      <c r="K27" s="2183"/>
      <c r="L27" s="2184"/>
      <c r="M27" s="2183"/>
      <c r="N27" s="2184"/>
      <c r="O27" s="2177"/>
      <c r="P27" s="2185"/>
      <c r="Q27" s="313" t="str">
        <f t="shared" si="0"/>
        <v/>
      </c>
      <c r="R27" s="2078" t="b">
        <f t="shared" si="1"/>
        <v>1</v>
      </c>
      <c r="S27" s="2078">
        <f t="shared" si="2"/>
        <v>0</v>
      </c>
      <c r="T27" s="2181" t="b">
        <f t="shared" si="3"/>
        <v>1</v>
      </c>
      <c r="U27" s="2181" t="b">
        <f t="shared" si="4"/>
        <v>1</v>
      </c>
      <c r="V27" s="2181" t="b">
        <f t="shared" si="5"/>
        <v>1</v>
      </c>
      <c r="W27" s="2181" t="b">
        <f t="shared" si="6"/>
        <v>1</v>
      </c>
      <c r="X27" s="2078" t="b">
        <f t="shared" si="7"/>
        <v>1</v>
      </c>
      <c r="Y27" s="2078">
        <f t="shared" si="8"/>
        <v>0</v>
      </c>
      <c r="Z27" s="2181" t="b">
        <f t="shared" si="9"/>
        <v>1</v>
      </c>
      <c r="AA27" s="2181" t="b">
        <f t="shared" si="10"/>
        <v>1</v>
      </c>
      <c r="AB27" s="2181" t="b">
        <f t="shared" si="11"/>
        <v>1</v>
      </c>
      <c r="AC27" s="2181" t="b">
        <f t="shared" si="12"/>
        <v>1</v>
      </c>
      <c r="AD27" s="1144" t="b">
        <f t="shared" si="13"/>
        <v>1</v>
      </c>
      <c r="AE27" s="1144" t="b">
        <f t="shared" si="14"/>
        <v>1</v>
      </c>
    </row>
    <row r="28" spans="2:31" s="1153" customFormat="1" ht="15" customHeight="1" x14ac:dyDescent="0.2">
      <c r="B28" s="2182"/>
      <c r="C28" s="2183"/>
      <c r="D28" s="2184"/>
      <c r="E28" s="2183"/>
      <c r="F28" s="2184"/>
      <c r="G28" s="1171"/>
      <c r="H28" s="2185"/>
      <c r="I28" s="2177"/>
      <c r="J28" s="2182"/>
      <c r="K28" s="2183"/>
      <c r="L28" s="2184"/>
      <c r="M28" s="2183"/>
      <c r="N28" s="2184"/>
      <c r="O28" s="2177"/>
      <c r="P28" s="2185"/>
      <c r="Q28" s="313" t="str">
        <f t="shared" si="0"/>
        <v/>
      </c>
      <c r="R28" s="2078" t="b">
        <f t="shared" si="1"/>
        <v>1</v>
      </c>
      <c r="S28" s="2078">
        <f t="shared" si="2"/>
        <v>0</v>
      </c>
      <c r="T28" s="2181" t="b">
        <f t="shared" si="3"/>
        <v>1</v>
      </c>
      <c r="U28" s="2181" t="b">
        <f t="shared" si="4"/>
        <v>1</v>
      </c>
      <c r="V28" s="2181" t="b">
        <f t="shared" si="5"/>
        <v>1</v>
      </c>
      <c r="W28" s="2181" t="b">
        <f t="shared" si="6"/>
        <v>1</v>
      </c>
      <c r="X28" s="2078" t="b">
        <f t="shared" si="7"/>
        <v>1</v>
      </c>
      <c r="Y28" s="2078">
        <f t="shared" si="8"/>
        <v>0</v>
      </c>
      <c r="Z28" s="2181" t="b">
        <f t="shared" si="9"/>
        <v>1</v>
      </c>
      <c r="AA28" s="2181" t="b">
        <f t="shared" si="10"/>
        <v>1</v>
      </c>
      <c r="AB28" s="2181" t="b">
        <f t="shared" si="11"/>
        <v>1</v>
      </c>
      <c r="AC28" s="2181" t="b">
        <f t="shared" si="12"/>
        <v>1</v>
      </c>
      <c r="AD28" s="1144" t="b">
        <f t="shared" si="13"/>
        <v>1</v>
      </c>
      <c r="AE28" s="1144" t="b">
        <f t="shared" si="14"/>
        <v>1</v>
      </c>
    </row>
    <row r="29" spans="2:31" s="1153" customFormat="1" ht="15" customHeight="1" x14ac:dyDescent="0.2">
      <c r="B29" s="2182"/>
      <c r="C29" s="2183"/>
      <c r="D29" s="2184"/>
      <c r="E29" s="2183"/>
      <c r="F29" s="2184"/>
      <c r="G29" s="1171"/>
      <c r="H29" s="2185"/>
      <c r="I29" s="2177"/>
      <c r="J29" s="2182"/>
      <c r="K29" s="2183"/>
      <c r="L29" s="2184"/>
      <c r="M29" s="2183"/>
      <c r="N29" s="2184"/>
      <c r="O29" s="2177"/>
      <c r="P29" s="2185"/>
      <c r="Q29" s="313" t="str">
        <f t="shared" si="0"/>
        <v/>
      </c>
      <c r="R29" s="2078" t="b">
        <f t="shared" si="1"/>
        <v>1</v>
      </c>
      <c r="S29" s="2078">
        <f t="shared" si="2"/>
        <v>0</v>
      </c>
      <c r="T29" s="2181" t="b">
        <f t="shared" si="3"/>
        <v>1</v>
      </c>
      <c r="U29" s="2181" t="b">
        <f t="shared" si="4"/>
        <v>1</v>
      </c>
      <c r="V29" s="2181" t="b">
        <f t="shared" si="5"/>
        <v>1</v>
      </c>
      <c r="W29" s="2181" t="b">
        <f t="shared" si="6"/>
        <v>1</v>
      </c>
      <c r="X29" s="2078" t="b">
        <f t="shared" si="7"/>
        <v>1</v>
      </c>
      <c r="Y29" s="2078">
        <f t="shared" si="8"/>
        <v>0</v>
      </c>
      <c r="Z29" s="2181" t="b">
        <f t="shared" si="9"/>
        <v>1</v>
      </c>
      <c r="AA29" s="2181" t="b">
        <f t="shared" si="10"/>
        <v>1</v>
      </c>
      <c r="AB29" s="2181" t="b">
        <f t="shared" si="11"/>
        <v>1</v>
      </c>
      <c r="AC29" s="2181" t="b">
        <f t="shared" si="12"/>
        <v>1</v>
      </c>
      <c r="AD29" s="1144" t="b">
        <f t="shared" si="13"/>
        <v>1</v>
      </c>
      <c r="AE29" s="1144" t="b">
        <f t="shared" si="14"/>
        <v>1</v>
      </c>
    </row>
    <row r="30" spans="2:31" s="1153" customFormat="1" ht="15" customHeight="1" x14ac:dyDescent="0.2">
      <c r="B30" s="2182"/>
      <c r="C30" s="2183"/>
      <c r="D30" s="2184"/>
      <c r="E30" s="2183"/>
      <c r="F30" s="2184"/>
      <c r="G30" s="1171"/>
      <c r="H30" s="2185"/>
      <c r="I30" s="2177"/>
      <c r="J30" s="2182"/>
      <c r="K30" s="2183"/>
      <c r="L30" s="2184"/>
      <c r="M30" s="2183"/>
      <c r="N30" s="2184"/>
      <c r="O30" s="2177"/>
      <c r="P30" s="2185"/>
      <c r="Q30" s="313" t="str">
        <f t="shared" si="0"/>
        <v/>
      </c>
      <c r="R30" s="2078" t="b">
        <f t="shared" si="1"/>
        <v>1</v>
      </c>
      <c r="S30" s="2078">
        <f t="shared" si="2"/>
        <v>0</v>
      </c>
      <c r="T30" s="2181" t="b">
        <f t="shared" si="3"/>
        <v>1</v>
      </c>
      <c r="U30" s="2181" t="b">
        <f t="shared" si="4"/>
        <v>1</v>
      </c>
      <c r="V30" s="2181" t="b">
        <f t="shared" si="5"/>
        <v>1</v>
      </c>
      <c r="W30" s="2181" t="b">
        <f t="shared" si="6"/>
        <v>1</v>
      </c>
      <c r="X30" s="2078" t="b">
        <f t="shared" si="7"/>
        <v>1</v>
      </c>
      <c r="Y30" s="2078">
        <f t="shared" si="8"/>
        <v>0</v>
      </c>
      <c r="Z30" s="2181" t="b">
        <f t="shared" si="9"/>
        <v>1</v>
      </c>
      <c r="AA30" s="2181" t="b">
        <f t="shared" si="10"/>
        <v>1</v>
      </c>
      <c r="AB30" s="2181" t="b">
        <f t="shared" si="11"/>
        <v>1</v>
      </c>
      <c r="AC30" s="2181" t="b">
        <f t="shared" si="12"/>
        <v>1</v>
      </c>
      <c r="AD30" s="1144" t="b">
        <f t="shared" si="13"/>
        <v>1</v>
      </c>
      <c r="AE30" s="1144" t="b">
        <f t="shared" si="14"/>
        <v>1</v>
      </c>
    </row>
    <row r="31" spans="2:31" s="1153" customFormat="1" ht="15" customHeight="1" x14ac:dyDescent="0.2">
      <c r="B31" s="2182"/>
      <c r="C31" s="2183"/>
      <c r="D31" s="2184"/>
      <c r="E31" s="2183"/>
      <c r="F31" s="2184"/>
      <c r="G31" s="1171"/>
      <c r="H31" s="2185"/>
      <c r="I31" s="2177"/>
      <c r="J31" s="2182"/>
      <c r="K31" s="2183"/>
      <c r="L31" s="2184"/>
      <c r="M31" s="2183"/>
      <c r="N31" s="2184"/>
      <c r="O31" s="2177"/>
      <c r="P31" s="2185"/>
      <c r="Q31" s="313" t="str">
        <f t="shared" si="0"/>
        <v/>
      </c>
      <c r="R31" s="2078" t="b">
        <f t="shared" si="1"/>
        <v>1</v>
      </c>
      <c r="S31" s="2078">
        <f t="shared" si="2"/>
        <v>0</v>
      </c>
      <c r="T31" s="2181" t="b">
        <f t="shared" si="3"/>
        <v>1</v>
      </c>
      <c r="U31" s="2181" t="b">
        <f t="shared" si="4"/>
        <v>1</v>
      </c>
      <c r="V31" s="2181" t="b">
        <f t="shared" si="5"/>
        <v>1</v>
      </c>
      <c r="W31" s="2181" t="b">
        <f t="shared" si="6"/>
        <v>1</v>
      </c>
      <c r="X31" s="2078" t="b">
        <f t="shared" si="7"/>
        <v>1</v>
      </c>
      <c r="Y31" s="2078">
        <f t="shared" si="8"/>
        <v>0</v>
      </c>
      <c r="Z31" s="2181" t="b">
        <f t="shared" si="9"/>
        <v>1</v>
      </c>
      <c r="AA31" s="2181" t="b">
        <f t="shared" si="10"/>
        <v>1</v>
      </c>
      <c r="AB31" s="2181" t="b">
        <f t="shared" si="11"/>
        <v>1</v>
      </c>
      <c r="AC31" s="2181" t="b">
        <f t="shared" si="12"/>
        <v>1</v>
      </c>
      <c r="AD31" s="1144" t="b">
        <f t="shared" si="13"/>
        <v>1</v>
      </c>
      <c r="AE31" s="1144" t="b">
        <f t="shared" si="14"/>
        <v>1</v>
      </c>
    </row>
    <row r="32" spans="2:31" s="1153" customFormat="1" ht="15" customHeight="1" x14ac:dyDescent="0.2">
      <c r="B32" s="2182"/>
      <c r="C32" s="2183"/>
      <c r="D32" s="2184"/>
      <c r="E32" s="2183"/>
      <c r="F32" s="2184"/>
      <c r="G32" s="1171"/>
      <c r="H32" s="2185"/>
      <c r="I32" s="2177"/>
      <c r="J32" s="2182"/>
      <c r="K32" s="2183"/>
      <c r="L32" s="2184"/>
      <c r="M32" s="2183"/>
      <c r="N32" s="2184"/>
      <c r="O32" s="2177"/>
      <c r="P32" s="2185"/>
      <c r="Q32" s="313" t="str">
        <f t="shared" si="0"/>
        <v/>
      </c>
      <c r="R32" s="2078" t="b">
        <f t="shared" si="1"/>
        <v>1</v>
      </c>
      <c r="S32" s="2078">
        <f t="shared" si="2"/>
        <v>0</v>
      </c>
      <c r="T32" s="2181" t="b">
        <f t="shared" si="3"/>
        <v>1</v>
      </c>
      <c r="U32" s="2181" t="b">
        <f t="shared" si="4"/>
        <v>1</v>
      </c>
      <c r="V32" s="2181" t="b">
        <f t="shared" si="5"/>
        <v>1</v>
      </c>
      <c r="W32" s="2181" t="b">
        <f t="shared" si="6"/>
        <v>1</v>
      </c>
      <c r="X32" s="2078" t="b">
        <f t="shared" si="7"/>
        <v>1</v>
      </c>
      <c r="Y32" s="2078">
        <f t="shared" si="8"/>
        <v>0</v>
      </c>
      <c r="Z32" s="2181" t="b">
        <f t="shared" si="9"/>
        <v>1</v>
      </c>
      <c r="AA32" s="2181" t="b">
        <f t="shared" si="10"/>
        <v>1</v>
      </c>
      <c r="AB32" s="2181" t="b">
        <f t="shared" si="11"/>
        <v>1</v>
      </c>
      <c r="AC32" s="2181" t="b">
        <f t="shared" si="12"/>
        <v>1</v>
      </c>
      <c r="AD32" s="1144" t="b">
        <f t="shared" si="13"/>
        <v>1</v>
      </c>
      <c r="AE32" s="1144" t="b">
        <f t="shared" si="14"/>
        <v>1</v>
      </c>
    </row>
    <row r="33" spans="2:31" s="1153" customFormat="1" ht="15" customHeight="1" thickBot="1" x14ac:dyDescent="0.25">
      <c r="B33" s="2177"/>
      <c r="C33" s="2177"/>
      <c r="D33" s="2177"/>
      <c r="E33" s="2177"/>
      <c r="F33" s="1171" t="s">
        <v>1829</v>
      </c>
      <c r="G33" s="1171"/>
      <c r="H33" s="2186">
        <f>SUM(H15:H32)</f>
        <v>0</v>
      </c>
      <c r="I33" s="2177"/>
      <c r="J33" s="2177"/>
      <c r="K33" s="2177"/>
      <c r="L33" s="2177"/>
      <c r="M33" s="2177"/>
      <c r="N33" s="1171" t="s">
        <v>1830</v>
      </c>
      <c r="O33" s="1171"/>
      <c r="P33" s="2186">
        <f>SUM(P15:P32)</f>
        <v>0</v>
      </c>
      <c r="Q33" s="2177"/>
      <c r="R33" s="2078">
        <f>COUNTIF(R14:R32,FALSE)</f>
        <v>0</v>
      </c>
      <c r="S33" s="1149"/>
      <c r="T33" s="1149"/>
      <c r="U33" s="1149"/>
      <c r="V33" s="1149"/>
      <c r="W33" s="1149"/>
      <c r="X33" s="2078">
        <f>COUNTIF(X14:X32,FALSE)</f>
        <v>0</v>
      </c>
      <c r="Y33" s="1149"/>
      <c r="Z33" s="1149"/>
      <c r="AA33" s="1149"/>
      <c r="AB33" s="1149"/>
      <c r="AC33" s="1149"/>
      <c r="AD33" s="1149">
        <f>COUNTIF(AD14:AD32,FALSE)</f>
        <v>0</v>
      </c>
      <c r="AE33" s="1149">
        <f>COUNTIF(AE14:AE32,FALSE)</f>
        <v>0</v>
      </c>
    </row>
    <row r="34" spans="2:31" s="1184" customFormat="1" ht="21.75" customHeight="1" x14ac:dyDescent="0.2">
      <c r="B34" s="2187"/>
      <c r="C34" s="2187"/>
      <c r="D34" s="2187"/>
      <c r="E34" s="2187"/>
      <c r="F34" s="2319" t="s">
        <v>50</v>
      </c>
      <c r="G34" s="2319"/>
      <c r="H34" s="1198" t="s">
        <v>1831</v>
      </c>
      <c r="I34" s="2187"/>
      <c r="J34" s="2187"/>
      <c r="K34" s="2187"/>
      <c r="L34" s="2187"/>
      <c r="M34" s="2187"/>
      <c r="N34" s="2763" t="str">
        <f>IF(P34&lt;&gt;0,"Out of Balance","")</f>
        <v/>
      </c>
      <c r="O34" s="2763"/>
      <c r="P34" s="2188">
        <f>+H33-P33</f>
        <v>0</v>
      </c>
      <c r="Q34" s="2187"/>
    </row>
    <row r="35" spans="2:31" ht="20.85" customHeight="1" x14ac:dyDescent="0.25">
      <c r="B35" s="1161"/>
      <c r="C35" s="1161"/>
      <c r="D35" s="1161"/>
      <c r="E35" s="1161"/>
      <c r="F35" s="1161"/>
      <c r="G35" s="1161"/>
      <c r="H35" s="1161"/>
      <c r="I35" s="1161"/>
      <c r="J35" s="1161"/>
      <c r="K35" s="1161"/>
      <c r="L35" s="1161"/>
      <c r="M35" s="1161"/>
      <c r="N35" s="1161"/>
      <c r="O35" s="1161"/>
      <c r="P35" s="1161"/>
      <c r="Q35" s="1161"/>
    </row>
    <row r="37" spans="2:31" x14ac:dyDescent="0.25">
      <c r="B37" s="2189"/>
    </row>
    <row r="38" spans="2:31" x14ac:dyDescent="0.25">
      <c r="B38" s="2189"/>
    </row>
    <row r="117" spans="1:2" x14ac:dyDescent="0.25">
      <c r="A117" s="445" t="str">
        <f ca="1">MID(CELL("filename",A4),FIND("]",CELL("filename",A4))+1,256)</f>
        <v>546</v>
      </c>
      <c r="B117" s="445" t="s">
        <v>636</v>
      </c>
    </row>
    <row r="118" spans="1:2" x14ac:dyDescent="0.25">
      <c r="A118" s="445" t="s">
        <v>380</v>
      </c>
      <c r="B118" s="445" t="str">
        <f t="shared" ref="B118:B127" ca="1" si="15">IF(ISNA(INDEX(ErrorTable,MATCH($A$117&amp;$A118&amp;FALSE,ErrorKey,0),6)),"",INDEX(ErrorTable,MATCH($A$117&amp;$A118&amp;FALSE,ErrorKey,0),6))</f>
        <v/>
      </c>
    </row>
    <row r="119" spans="1:2" x14ac:dyDescent="0.25">
      <c r="A119" s="445" t="s">
        <v>381</v>
      </c>
      <c r="B119" s="445" t="str">
        <f t="shared" ca="1" si="15"/>
        <v/>
      </c>
    </row>
    <row r="120" spans="1:2" x14ac:dyDescent="0.25">
      <c r="A120" s="445" t="s">
        <v>382</v>
      </c>
      <c r="B120" s="445" t="str">
        <f t="shared" ca="1" si="15"/>
        <v/>
      </c>
    </row>
    <row r="121" spans="1:2" x14ac:dyDescent="0.25">
      <c r="A121" s="445" t="s">
        <v>383</v>
      </c>
      <c r="B121" s="445" t="str">
        <f t="shared" ca="1" si="15"/>
        <v/>
      </c>
    </row>
    <row r="122" spans="1:2" x14ac:dyDescent="0.25">
      <c r="A122" s="445" t="s">
        <v>384</v>
      </c>
      <c r="B122" s="445" t="str">
        <f t="shared" ca="1" si="15"/>
        <v/>
      </c>
    </row>
    <row r="123" spans="1:2" x14ac:dyDescent="0.25">
      <c r="A123" s="445" t="s">
        <v>385</v>
      </c>
      <c r="B123" s="445" t="str">
        <f t="shared" ca="1" si="15"/>
        <v/>
      </c>
    </row>
    <row r="124" spans="1:2" x14ac:dyDescent="0.25">
      <c r="A124" s="445" t="s">
        <v>386</v>
      </c>
      <c r="B124" s="445" t="str">
        <f t="shared" ca="1" si="15"/>
        <v/>
      </c>
    </row>
    <row r="125" spans="1:2" x14ac:dyDescent="0.25">
      <c r="A125" s="445" t="s">
        <v>387</v>
      </c>
      <c r="B125" s="445" t="str">
        <f t="shared" ca="1" si="15"/>
        <v/>
      </c>
    </row>
    <row r="126" spans="1:2" x14ac:dyDescent="0.25">
      <c r="A126" s="445" t="s">
        <v>388</v>
      </c>
      <c r="B126" s="445" t="str">
        <f t="shared" ca="1" si="15"/>
        <v/>
      </c>
    </row>
    <row r="127" spans="1:2" x14ac:dyDescent="0.25">
      <c r="A127" s="445" t="s">
        <v>389</v>
      </c>
      <c r="B127" s="445" t="str">
        <f t="shared" ca="1" si="15"/>
        <v/>
      </c>
    </row>
  </sheetData>
  <sheetProtection algorithmName="SHA-512" hashValue="bb6WN9vPPjP/Q01gfISl9JtqKIbY4kCbgnFFwdB78iwsYicEJvU1cKkZgLgtSfvJO3F0DVPGZpjLe423FNDt3A==" saltValue="Y7w7l2JfbXGnbw7ea+fDow==" spinCount="100000" sheet="1" autoFilter="0"/>
  <dataConsolidate link="1"/>
  <mergeCells count="14">
    <mergeCell ref="N34:O34"/>
    <mergeCell ref="B1:P1"/>
    <mergeCell ref="Q1:Q3"/>
    <mergeCell ref="B2:P2"/>
    <mergeCell ref="B3:P3"/>
    <mergeCell ref="B4:P4"/>
    <mergeCell ref="D6:H6"/>
    <mergeCell ref="J6:L6"/>
    <mergeCell ref="M6:P6"/>
    <mergeCell ref="D7:H7"/>
    <mergeCell ref="J7:L7"/>
    <mergeCell ref="M7:P7"/>
    <mergeCell ref="B10:H10"/>
    <mergeCell ref="J10:P10"/>
  </mergeCells>
  <conditionalFormatting sqref="Q1:Q4">
    <cfRule type="cellIs" dxfId="60" priority="2" stopIfTrue="1" operator="equal">
      <formula>"na"</formula>
    </cfRule>
  </conditionalFormatting>
  <conditionalFormatting sqref="AF1:AF3">
    <cfRule type="cellIs" dxfId="59" priority="1" stopIfTrue="1" operator="equal">
      <formula>"na"</formula>
    </cfRule>
  </conditionalFormatting>
  <dataValidations count="3">
    <dataValidation operator="notEqual" allowBlank="1" showInputMessage="1" showErrorMessage="1" errorTitle="Wrong Account" error="NCAS Accounts 438030 and 538030 are NOT transfer accounts. Please contact your OSC analyst before proceeding." sqref="F15:F32 N15:N32" xr:uid="{66C02C9F-B92C-44EE-B178-35C2EA0769CA}"/>
    <dataValidation type="textLength" operator="equal" allowBlank="1" showInputMessage="1" showErrorMessage="1" errorTitle="Invalid data!" error="GASB number must be 4 digits." sqref="IZ14:IZ32 SV14:SV32 ACR14:ACR32 AMN14:AMN32 AWJ14:AWJ32 BGF14:BGF32 BQB14:BQB32 BZX14:BZX32 CJT14:CJT32 CTP14:CTP32 DDL14:DDL32 DNH14:DNH32 DXD14:DXD32 EGZ14:EGZ32 EQV14:EQV32 FAR14:FAR32 FKN14:FKN32 FUJ14:FUJ32 GEF14:GEF32 GOB14:GOB32 GXX14:GXX32 HHT14:HHT32 HRP14:HRP32 IBL14:IBL32 ILH14:ILH32 IVD14:IVD32 JEZ14:JEZ32 JOV14:JOV32 JYR14:JYR32 KIN14:KIN32 KSJ14:KSJ32 LCF14:LCF32 LMB14:LMB32 LVX14:LVX32 MFT14:MFT32 MPP14:MPP32 MZL14:MZL32 NJH14:NJH32 NTD14:NTD32 OCZ14:OCZ32 OMV14:OMV32 OWR14:OWR32 PGN14:PGN32 PQJ14:PQJ32 QAF14:QAF32 QKB14:QKB32 QTX14:QTX32 RDT14:RDT32 RNP14:RNP32 RXL14:RXL32 SHH14:SHH32 SRD14:SRD32 TAZ14:TAZ32 TKV14:TKV32 TUR14:TUR32 UEN14:UEN32 UOJ14:UOJ32 UYF14:UYF32 VIB14:VIB32 VRX14:VRX32 WBT14:WBT32 WLP14:WLP32 WVL14:WVL32 D65629:D65647 IZ65629:IZ65647 SV65629:SV65647 ACR65629:ACR65647 AMN65629:AMN65647 AWJ65629:AWJ65647 BGF65629:BGF65647 BQB65629:BQB65647 BZX65629:BZX65647 CJT65629:CJT65647 CTP65629:CTP65647 DDL65629:DDL65647 DNH65629:DNH65647 DXD65629:DXD65647 EGZ65629:EGZ65647 EQV65629:EQV65647 FAR65629:FAR65647 FKN65629:FKN65647 FUJ65629:FUJ65647 GEF65629:GEF65647 GOB65629:GOB65647 GXX65629:GXX65647 HHT65629:HHT65647 HRP65629:HRP65647 IBL65629:IBL65647 ILH65629:ILH65647 IVD65629:IVD65647 JEZ65629:JEZ65647 JOV65629:JOV65647 JYR65629:JYR65647 KIN65629:KIN65647 KSJ65629:KSJ65647 LCF65629:LCF65647 LMB65629:LMB65647 LVX65629:LVX65647 MFT65629:MFT65647 MPP65629:MPP65647 MZL65629:MZL65647 NJH65629:NJH65647 NTD65629:NTD65647 OCZ65629:OCZ65647 OMV65629:OMV65647 OWR65629:OWR65647 PGN65629:PGN65647 PQJ65629:PQJ65647 QAF65629:QAF65647 QKB65629:QKB65647 QTX65629:QTX65647 RDT65629:RDT65647 RNP65629:RNP65647 RXL65629:RXL65647 SHH65629:SHH65647 SRD65629:SRD65647 TAZ65629:TAZ65647 TKV65629:TKV65647 TUR65629:TUR65647 UEN65629:UEN65647 UOJ65629:UOJ65647 UYF65629:UYF65647 VIB65629:VIB65647 VRX65629:VRX65647 WBT65629:WBT65647 WLP65629:WLP65647 WVL65629:WVL65647 D131165:D131183 IZ131165:IZ131183 SV131165:SV131183 ACR131165:ACR131183 AMN131165:AMN131183 AWJ131165:AWJ131183 BGF131165:BGF131183 BQB131165:BQB131183 BZX131165:BZX131183 CJT131165:CJT131183 CTP131165:CTP131183 DDL131165:DDL131183 DNH131165:DNH131183 DXD131165:DXD131183 EGZ131165:EGZ131183 EQV131165:EQV131183 FAR131165:FAR131183 FKN131165:FKN131183 FUJ131165:FUJ131183 GEF131165:GEF131183 GOB131165:GOB131183 GXX131165:GXX131183 HHT131165:HHT131183 HRP131165:HRP131183 IBL131165:IBL131183 ILH131165:ILH131183 IVD131165:IVD131183 JEZ131165:JEZ131183 JOV131165:JOV131183 JYR131165:JYR131183 KIN131165:KIN131183 KSJ131165:KSJ131183 LCF131165:LCF131183 LMB131165:LMB131183 LVX131165:LVX131183 MFT131165:MFT131183 MPP131165:MPP131183 MZL131165:MZL131183 NJH131165:NJH131183 NTD131165:NTD131183 OCZ131165:OCZ131183 OMV131165:OMV131183 OWR131165:OWR131183 PGN131165:PGN131183 PQJ131165:PQJ131183 QAF131165:QAF131183 QKB131165:QKB131183 QTX131165:QTX131183 RDT131165:RDT131183 RNP131165:RNP131183 RXL131165:RXL131183 SHH131165:SHH131183 SRD131165:SRD131183 TAZ131165:TAZ131183 TKV131165:TKV131183 TUR131165:TUR131183 UEN131165:UEN131183 UOJ131165:UOJ131183 UYF131165:UYF131183 VIB131165:VIB131183 VRX131165:VRX131183 WBT131165:WBT131183 WLP131165:WLP131183 WVL131165:WVL131183 D196701:D196719 IZ196701:IZ196719 SV196701:SV196719 ACR196701:ACR196719 AMN196701:AMN196719 AWJ196701:AWJ196719 BGF196701:BGF196719 BQB196701:BQB196719 BZX196701:BZX196719 CJT196701:CJT196719 CTP196701:CTP196719 DDL196701:DDL196719 DNH196701:DNH196719 DXD196701:DXD196719 EGZ196701:EGZ196719 EQV196701:EQV196719 FAR196701:FAR196719 FKN196701:FKN196719 FUJ196701:FUJ196719 GEF196701:GEF196719 GOB196701:GOB196719 GXX196701:GXX196719 HHT196701:HHT196719 HRP196701:HRP196719 IBL196701:IBL196719 ILH196701:ILH196719 IVD196701:IVD196719 JEZ196701:JEZ196719 JOV196701:JOV196719 JYR196701:JYR196719 KIN196701:KIN196719 KSJ196701:KSJ196719 LCF196701:LCF196719 LMB196701:LMB196719 LVX196701:LVX196719 MFT196701:MFT196719 MPP196701:MPP196719 MZL196701:MZL196719 NJH196701:NJH196719 NTD196701:NTD196719 OCZ196701:OCZ196719 OMV196701:OMV196719 OWR196701:OWR196719 PGN196701:PGN196719 PQJ196701:PQJ196719 QAF196701:QAF196719 QKB196701:QKB196719 QTX196701:QTX196719 RDT196701:RDT196719 RNP196701:RNP196719 RXL196701:RXL196719 SHH196701:SHH196719 SRD196701:SRD196719 TAZ196701:TAZ196719 TKV196701:TKV196719 TUR196701:TUR196719 UEN196701:UEN196719 UOJ196701:UOJ196719 UYF196701:UYF196719 VIB196701:VIB196719 VRX196701:VRX196719 WBT196701:WBT196719 WLP196701:WLP196719 WVL196701:WVL196719 D262237:D262255 IZ262237:IZ262255 SV262237:SV262255 ACR262237:ACR262255 AMN262237:AMN262255 AWJ262237:AWJ262255 BGF262237:BGF262255 BQB262237:BQB262255 BZX262237:BZX262255 CJT262237:CJT262255 CTP262237:CTP262255 DDL262237:DDL262255 DNH262237:DNH262255 DXD262237:DXD262255 EGZ262237:EGZ262255 EQV262237:EQV262255 FAR262237:FAR262255 FKN262237:FKN262255 FUJ262237:FUJ262255 GEF262237:GEF262255 GOB262237:GOB262255 GXX262237:GXX262255 HHT262237:HHT262255 HRP262237:HRP262255 IBL262237:IBL262255 ILH262237:ILH262255 IVD262237:IVD262255 JEZ262237:JEZ262255 JOV262237:JOV262255 JYR262237:JYR262255 KIN262237:KIN262255 KSJ262237:KSJ262255 LCF262237:LCF262255 LMB262237:LMB262255 LVX262237:LVX262255 MFT262237:MFT262255 MPP262237:MPP262255 MZL262237:MZL262255 NJH262237:NJH262255 NTD262237:NTD262255 OCZ262237:OCZ262255 OMV262237:OMV262255 OWR262237:OWR262255 PGN262237:PGN262255 PQJ262237:PQJ262255 QAF262237:QAF262255 QKB262237:QKB262255 QTX262237:QTX262255 RDT262237:RDT262255 RNP262237:RNP262255 RXL262237:RXL262255 SHH262237:SHH262255 SRD262237:SRD262255 TAZ262237:TAZ262255 TKV262237:TKV262255 TUR262237:TUR262255 UEN262237:UEN262255 UOJ262237:UOJ262255 UYF262237:UYF262255 VIB262237:VIB262255 VRX262237:VRX262255 WBT262237:WBT262255 WLP262237:WLP262255 WVL262237:WVL262255 D327773:D327791 IZ327773:IZ327791 SV327773:SV327791 ACR327773:ACR327791 AMN327773:AMN327791 AWJ327773:AWJ327791 BGF327773:BGF327791 BQB327773:BQB327791 BZX327773:BZX327791 CJT327773:CJT327791 CTP327773:CTP327791 DDL327773:DDL327791 DNH327773:DNH327791 DXD327773:DXD327791 EGZ327773:EGZ327791 EQV327773:EQV327791 FAR327773:FAR327791 FKN327773:FKN327791 FUJ327773:FUJ327791 GEF327773:GEF327791 GOB327773:GOB327791 GXX327773:GXX327791 HHT327773:HHT327791 HRP327773:HRP327791 IBL327773:IBL327791 ILH327773:ILH327791 IVD327773:IVD327791 JEZ327773:JEZ327791 JOV327773:JOV327791 JYR327773:JYR327791 KIN327773:KIN327791 KSJ327773:KSJ327791 LCF327773:LCF327791 LMB327773:LMB327791 LVX327773:LVX327791 MFT327773:MFT327791 MPP327773:MPP327791 MZL327773:MZL327791 NJH327773:NJH327791 NTD327773:NTD327791 OCZ327773:OCZ327791 OMV327773:OMV327791 OWR327773:OWR327791 PGN327773:PGN327791 PQJ327773:PQJ327791 QAF327773:QAF327791 QKB327773:QKB327791 QTX327773:QTX327791 RDT327773:RDT327791 RNP327773:RNP327791 RXL327773:RXL327791 SHH327773:SHH327791 SRD327773:SRD327791 TAZ327773:TAZ327791 TKV327773:TKV327791 TUR327773:TUR327791 UEN327773:UEN327791 UOJ327773:UOJ327791 UYF327773:UYF327791 VIB327773:VIB327791 VRX327773:VRX327791 WBT327773:WBT327791 WLP327773:WLP327791 WVL327773:WVL327791 D393309:D393327 IZ393309:IZ393327 SV393309:SV393327 ACR393309:ACR393327 AMN393309:AMN393327 AWJ393309:AWJ393327 BGF393309:BGF393327 BQB393309:BQB393327 BZX393309:BZX393327 CJT393309:CJT393327 CTP393309:CTP393327 DDL393309:DDL393327 DNH393309:DNH393327 DXD393309:DXD393327 EGZ393309:EGZ393327 EQV393309:EQV393327 FAR393309:FAR393327 FKN393309:FKN393327 FUJ393309:FUJ393327 GEF393309:GEF393327 GOB393309:GOB393327 GXX393309:GXX393327 HHT393309:HHT393327 HRP393309:HRP393327 IBL393309:IBL393327 ILH393309:ILH393327 IVD393309:IVD393327 JEZ393309:JEZ393327 JOV393309:JOV393327 JYR393309:JYR393327 KIN393309:KIN393327 KSJ393309:KSJ393327 LCF393309:LCF393327 LMB393309:LMB393327 LVX393309:LVX393327 MFT393309:MFT393327 MPP393309:MPP393327 MZL393309:MZL393327 NJH393309:NJH393327 NTD393309:NTD393327 OCZ393309:OCZ393327 OMV393309:OMV393327 OWR393309:OWR393327 PGN393309:PGN393327 PQJ393309:PQJ393327 QAF393309:QAF393327 QKB393309:QKB393327 QTX393309:QTX393327 RDT393309:RDT393327 RNP393309:RNP393327 RXL393309:RXL393327 SHH393309:SHH393327 SRD393309:SRD393327 TAZ393309:TAZ393327 TKV393309:TKV393327 TUR393309:TUR393327 UEN393309:UEN393327 UOJ393309:UOJ393327 UYF393309:UYF393327 VIB393309:VIB393327 VRX393309:VRX393327 WBT393309:WBT393327 WLP393309:WLP393327 WVL393309:WVL393327 D458845:D458863 IZ458845:IZ458863 SV458845:SV458863 ACR458845:ACR458863 AMN458845:AMN458863 AWJ458845:AWJ458863 BGF458845:BGF458863 BQB458845:BQB458863 BZX458845:BZX458863 CJT458845:CJT458863 CTP458845:CTP458863 DDL458845:DDL458863 DNH458845:DNH458863 DXD458845:DXD458863 EGZ458845:EGZ458863 EQV458845:EQV458863 FAR458845:FAR458863 FKN458845:FKN458863 FUJ458845:FUJ458863 GEF458845:GEF458863 GOB458845:GOB458863 GXX458845:GXX458863 HHT458845:HHT458863 HRP458845:HRP458863 IBL458845:IBL458863 ILH458845:ILH458863 IVD458845:IVD458863 JEZ458845:JEZ458863 JOV458845:JOV458863 JYR458845:JYR458863 KIN458845:KIN458863 KSJ458845:KSJ458863 LCF458845:LCF458863 LMB458845:LMB458863 LVX458845:LVX458863 MFT458845:MFT458863 MPP458845:MPP458863 MZL458845:MZL458863 NJH458845:NJH458863 NTD458845:NTD458863 OCZ458845:OCZ458863 OMV458845:OMV458863 OWR458845:OWR458863 PGN458845:PGN458863 PQJ458845:PQJ458863 QAF458845:QAF458863 QKB458845:QKB458863 QTX458845:QTX458863 RDT458845:RDT458863 RNP458845:RNP458863 RXL458845:RXL458863 SHH458845:SHH458863 SRD458845:SRD458863 TAZ458845:TAZ458863 TKV458845:TKV458863 TUR458845:TUR458863 UEN458845:UEN458863 UOJ458845:UOJ458863 UYF458845:UYF458863 VIB458845:VIB458863 VRX458845:VRX458863 WBT458845:WBT458863 WLP458845:WLP458863 WVL458845:WVL458863 D524381:D524399 IZ524381:IZ524399 SV524381:SV524399 ACR524381:ACR524399 AMN524381:AMN524399 AWJ524381:AWJ524399 BGF524381:BGF524399 BQB524381:BQB524399 BZX524381:BZX524399 CJT524381:CJT524399 CTP524381:CTP524399 DDL524381:DDL524399 DNH524381:DNH524399 DXD524381:DXD524399 EGZ524381:EGZ524399 EQV524381:EQV524399 FAR524381:FAR524399 FKN524381:FKN524399 FUJ524381:FUJ524399 GEF524381:GEF524399 GOB524381:GOB524399 GXX524381:GXX524399 HHT524381:HHT524399 HRP524381:HRP524399 IBL524381:IBL524399 ILH524381:ILH524399 IVD524381:IVD524399 JEZ524381:JEZ524399 JOV524381:JOV524399 JYR524381:JYR524399 KIN524381:KIN524399 KSJ524381:KSJ524399 LCF524381:LCF524399 LMB524381:LMB524399 LVX524381:LVX524399 MFT524381:MFT524399 MPP524381:MPP524399 MZL524381:MZL524399 NJH524381:NJH524399 NTD524381:NTD524399 OCZ524381:OCZ524399 OMV524381:OMV524399 OWR524381:OWR524399 PGN524381:PGN524399 PQJ524381:PQJ524399 QAF524381:QAF524399 QKB524381:QKB524399 QTX524381:QTX524399 RDT524381:RDT524399 RNP524381:RNP524399 RXL524381:RXL524399 SHH524381:SHH524399 SRD524381:SRD524399 TAZ524381:TAZ524399 TKV524381:TKV524399 TUR524381:TUR524399 UEN524381:UEN524399 UOJ524381:UOJ524399 UYF524381:UYF524399 VIB524381:VIB524399 VRX524381:VRX524399 WBT524381:WBT524399 WLP524381:WLP524399 WVL524381:WVL524399 D589917:D589935 IZ589917:IZ589935 SV589917:SV589935 ACR589917:ACR589935 AMN589917:AMN589935 AWJ589917:AWJ589935 BGF589917:BGF589935 BQB589917:BQB589935 BZX589917:BZX589935 CJT589917:CJT589935 CTP589917:CTP589935 DDL589917:DDL589935 DNH589917:DNH589935 DXD589917:DXD589935 EGZ589917:EGZ589935 EQV589917:EQV589935 FAR589917:FAR589935 FKN589917:FKN589935 FUJ589917:FUJ589935 GEF589917:GEF589935 GOB589917:GOB589935 GXX589917:GXX589935 HHT589917:HHT589935 HRP589917:HRP589935 IBL589917:IBL589935 ILH589917:ILH589935 IVD589917:IVD589935 JEZ589917:JEZ589935 JOV589917:JOV589935 JYR589917:JYR589935 KIN589917:KIN589935 KSJ589917:KSJ589935 LCF589917:LCF589935 LMB589917:LMB589935 LVX589917:LVX589935 MFT589917:MFT589935 MPP589917:MPP589935 MZL589917:MZL589935 NJH589917:NJH589935 NTD589917:NTD589935 OCZ589917:OCZ589935 OMV589917:OMV589935 OWR589917:OWR589935 PGN589917:PGN589935 PQJ589917:PQJ589935 QAF589917:QAF589935 QKB589917:QKB589935 QTX589917:QTX589935 RDT589917:RDT589935 RNP589917:RNP589935 RXL589917:RXL589935 SHH589917:SHH589935 SRD589917:SRD589935 TAZ589917:TAZ589935 TKV589917:TKV589935 TUR589917:TUR589935 UEN589917:UEN589935 UOJ589917:UOJ589935 UYF589917:UYF589935 VIB589917:VIB589935 VRX589917:VRX589935 WBT589917:WBT589935 WLP589917:WLP589935 WVL589917:WVL589935 D655453:D655471 IZ655453:IZ655471 SV655453:SV655471 ACR655453:ACR655471 AMN655453:AMN655471 AWJ655453:AWJ655471 BGF655453:BGF655471 BQB655453:BQB655471 BZX655453:BZX655471 CJT655453:CJT655471 CTP655453:CTP655471 DDL655453:DDL655471 DNH655453:DNH655471 DXD655453:DXD655471 EGZ655453:EGZ655471 EQV655453:EQV655471 FAR655453:FAR655471 FKN655453:FKN655471 FUJ655453:FUJ655471 GEF655453:GEF655471 GOB655453:GOB655471 GXX655453:GXX655471 HHT655453:HHT655471 HRP655453:HRP655471 IBL655453:IBL655471 ILH655453:ILH655471 IVD655453:IVD655471 JEZ655453:JEZ655471 JOV655453:JOV655471 JYR655453:JYR655471 KIN655453:KIN655471 KSJ655453:KSJ655471 LCF655453:LCF655471 LMB655453:LMB655471 LVX655453:LVX655471 MFT655453:MFT655471 MPP655453:MPP655471 MZL655453:MZL655471 NJH655453:NJH655471 NTD655453:NTD655471 OCZ655453:OCZ655471 OMV655453:OMV655471 OWR655453:OWR655471 PGN655453:PGN655471 PQJ655453:PQJ655471 QAF655453:QAF655471 QKB655453:QKB655471 QTX655453:QTX655471 RDT655453:RDT655471 RNP655453:RNP655471 RXL655453:RXL655471 SHH655453:SHH655471 SRD655453:SRD655471 TAZ655453:TAZ655471 TKV655453:TKV655471 TUR655453:TUR655471 UEN655453:UEN655471 UOJ655453:UOJ655471 UYF655453:UYF655471 VIB655453:VIB655471 VRX655453:VRX655471 WBT655453:WBT655471 WLP655453:WLP655471 WVL655453:WVL655471 D720989:D721007 IZ720989:IZ721007 SV720989:SV721007 ACR720989:ACR721007 AMN720989:AMN721007 AWJ720989:AWJ721007 BGF720989:BGF721007 BQB720989:BQB721007 BZX720989:BZX721007 CJT720989:CJT721007 CTP720989:CTP721007 DDL720989:DDL721007 DNH720989:DNH721007 DXD720989:DXD721007 EGZ720989:EGZ721007 EQV720989:EQV721007 FAR720989:FAR721007 FKN720989:FKN721007 FUJ720989:FUJ721007 GEF720989:GEF721007 GOB720989:GOB721007 GXX720989:GXX721007 HHT720989:HHT721007 HRP720989:HRP721007 IBL720989:IBL721007 ILH720989:ILH721007 IVD720989:IVD721007 JEZ720989:JEZ721007 JOV720989:JOV721007 JYR720989:JYR721007 KIN720989:KIN721007 KSJ720989:KSJ721007 LCF720989:LCF721007 LMB720989:LMB721007 LVX720989:LVX721007 MFT720989:MFT721007 MPP720989:MPP721007 MZL720989:MZL721007 NJH720989:NJH721007 NTD720989:NTD721007 OCZ720989:OCZ721007 OMV720989:OMV721007 OWR720989:OWR721007 PGN720989:PGN721007 PQJ720989:PQJ721007 QAF720989:QAF721007 QKB720989:QKB721007 QTX720989:QTX721007 RDT720989:RDT721007 RNP720989:RNP721007 RXL720989:RXL721007 SHH720989:SHH721007 SRD720989:SRD721007 TAZ720989:TAZ721007 TKV720989:TKV721007 TUR720989:TUR721007 UEN720989:UEN721007 UOJ720989:UOJ721007 UYF720989:UYF721007 VIB720989:VIB721007 VRX720989:VRX721007 WBT720989:WBT721007 WLP720989:WLP721007 WVL720989:WVL721007 D786525:D786543 IZ786525:IZ786543 SV786525:SV786543 ACR786525:ACR786543 AMN786525:AMN786543 AWJ786525:AWJ786543 BGF786525:BGF786543 BQB786525:BQB786543 BZX786525:BZX786543 CJT786525:CJT786543 CTP786525:CTP786543 DDL786525:DDL786543 DNH786525:DNH786543 DXD786525:DXD786543 EGZ786525:EGZ786543 EQV786525:EQV786543 FAR786525:FAR786543 FKN786525:FKN786543 FUJ786525:FUJ786543 GEF786525:GEF786543 GOB786525:GOB786543 GXX786525:GXX786543 HHT786525:HHT786543 HRP786525:HRP786543 IBL786525:IBL786543 ILH786525:ILH786543 IVD786525:IVD786543 JEZ786525:JEZ786543 JOV786525:JOV786543 JYR786525:JYR786543 KIN786525:KIN786543 KSJ786525:KSJ786543 LCF786525:LCF786543 LMB786525:LMB786543 LVX786525:LVX786543 MFT786525:MFT786543 MPP786525:MPP786543 MZL786525:MZL786543 NJH786525:NJH786543 NTD786525:NTD786543 OCZ786525:OCZ786543 OMV786525:OMV786543 OWR786525:OWR786543 PGN786525:PGN786543 PQJ786525:PQJ786543 QAF786525:QAF786543 QKB786525:QKB786543 QTX786525:QTX786543 RDT786525:RDT786543 RNP786525:RNP786543 RXL786525:RXL786543 SHH786525:SHH786543 SRD786525:SRD786543 TAZ786525:TAZ786543 TKV786525:TKV786543 TUR786525:TUR786543 UEN786525:UEN786543 UOJ786525:UOJ786543 UYF786525:UYF786543 VIB786525:VIB786543 VRX786525:VRX786543 WBT786525:WBT786543 WLP786525:WLP786543 WVL786525:WVL786543 D852061:D852079 IZ852061:IZ852079 SV852061:SV852079 ACR852061:ACR852079 AMN852061:AMN852079 AWJ852061:AWJ852079 BGF852061:BGF852079 BQB852061:BQB852079 BZX852061:BZX852079 CJT852061:CJT852079 CTP852061:CTP852079 DDL852061:DDL852079 DNH852061:DNH852079 DXD852061:DXD852079 EGZ852061:EGZ852079 EQV852061:EQV852079 FAR852061:FAR852079 FKN852061:FKN852079 FUJ852061:FUJ852079 GEF852061:GEF852079 GOB852061:GOB852079 GXX852061:GXX852079 HHT852061:HHT852079 HRP852061:HRP852079 IBL852061:IBL852079 ILH852061:ILH852079 IVD852061:IVD852079 JEZ852061:JEZ852079 JOV852061:JOV852079 JYR852061:JYR852079 KIN852061:KIN852079 KSJ852061:KSJ852079 LCF852061:LCF852079 LMB852061:LMB852079 LVX852061:LVX852079 MFT852061:MFT852079 MPP852061:MPP852079 MZL852061:MZL852079 NJH852061:NJH852079 NTD852061:NTD852079 OCZ852061:OCZ852079 OMV852061:OMV852079 OWR852061:OWR852079 PGN852061:PGN852079 PQJ852061:PQJ852079 QAF852061:QAF852079 QKB852061:QKB852079 QTX852061:QTX852079 RDT852061:RDT852079 RNP852061:RNP852079 RXL852061:RXL852079 SHH852061:SHH852079 SRD852061:SRD852079 TAZ852061:TAZ852079 TKV852061:TKV852079 TUR852061:TUR852079 UEN852061:UEN852079 UOJ852061:UOJ852079 UYF852061:UYF852079 VIB852061:VIB852079 VRX852061:VRX852079 WBT852061:WBT852079 WLP852061:WLP852079 WVL852061:WVL852079 D917597:D917615 IZ917597:IZ917615 SV917597:SV917615 ACR917597:ACR917615 AMN917597:AMN917615 AWJ917597:AWJ917615 BGF917597:BGF917615 BQB917597:BQB917615 BZX917597:BZX917615 CJT917597:CJT917615 CTP917597:CTP917615 DDL917597:DDL917615 DNH917597:DNH917615 DXD917597:DXD917615 EGZ917597:EGZ917615 EQV917597:EQV917615 FAR917597:FAR917615 FKN917597:FKN917615 FUJ917597:FUJ917615 GEF917597:GEF917615 GOB917597:GOB917615 GXX917597:GXX917615 HHT917597:HHT917615 HRP917597:HRP917615 IBL917597:IBL917615 ILH917597:ILH917615 IVD917597:IVD917615 JEZ917597:JEZ917615 JOV917597:JOV917615 JYR917597:JYR917615 KIN917597:KIN917615 KSJ917597:KSJ917615 LCF917597:LCF917615 LMB917597:LMB917615 LVX917597:LVX917615 MFT917597:MFT917615 MPP917597:MPP917615 MZL917597:MZL917615 NJH917597:NJH917615 NTD917597:NTD917615 OCZ917597:OCZ917615 OMV917597:OMV917615 OWR917597:OWR917615 PGN917597:PGN917615 PQJ917597:PQJ917615 QAF917597:QAF917615 QKB917597:QKB917615 QTX917597:QTX917615 RDT917597:RDT917615 RNP917597:RNP917615 RXL917597:RXL917615 SHH917597:SHH917615 SRD917597:SRD917615 TAZ917597:TAZ917615 TKV917597:TKV917615 TUR917597:TUR917615 UEN917597:UEN917615 UOJ917597:UOJ917615 UYF917597:UYF917615 VIB917597:VIB917615 VRX917597:VRX917615 WBT917597:WBT917615 WLP917597:WLP917615 WVL917597:WVL917615 D983133:D983151 IZ983133:IZ983151 SV983133:SV983151 ACR983133:ACR983151 AMN983133:AMN983151 AWJ983133:AWJ983151 BGF983133:BGF983151 BQB983133:BQB983151 BZX983133:BZX983151 CJT983133:CJT983151 CTP983133:CTP983151 DDL983133:DDL983151 DNH983133:DNH983151 DXD983133:DXD983151 EGZ983133:EGZ983151 EQV983133:EQV983151 FAR983133:FAR983151 FKN983133:FKN983151 FUJ983133:FUJ983151 GEF983133:GEF983151 GOB983133:GOB983151 GXX983133:GXX983151 HHT983133:HHT983151 HRP983133:HRP983151 IBL983133:IBL983151 ILH983133:ILH983151 IVD983133:IVD983151 JEZ983133:JEZ983151 JOV983133:JOV983151 JYR983133:JYR983151 KIN983133:KIN983151 KSJ983133:KSJ983151 LCF983133:LCF983151 LMB983133:LMB983151 LVX983133:LVX983151 MFT983133:MFT983151 MPP983133:MPP983151 MZL983133:MZL983151 NJH983133:NJH983151 NTD983133:NTD983151 OCZ983133:OCZ983151 OMV983133:OMV983151 OWR983133:OWR983151 PGN983133:PGN983151 PQJ983133:PQJ983151 QAF983133:QAF983151 QKB983133:QKB983151 QTX983133:QTX983151 RDT983133:RDT983151 RNP983133:RNP983151 RXL983133:RXL983151 SHH983133:SHH983151 SRD983133:SRD983151 TAZ983133:TAZ983151 TKV983133:TKV983151 TUR983133:TUR983151 UEN983133:UEN983151 UOJ983133:UOJ983151 UYF983133:UYF983151 VIB983133:VIB983151 VRX983133:VRX983151 WBT983133:WBT983151 WLP983133:WLP983151 WVL983133:WVL983151 WVT983133:WVT983151 JH14:JH32 TD14:TD32 ACZ14:ACZ32 AMV14:AMV32 AWR14:AWR32 BGN14:BGN32 BQJ14:BQJ32 CAF14:CAF32 CKB14:CKB32 CTX14:CTX32 DDT14:DDT32 DNP14:DNP32 DXL14:DXL32 EHH14:EHH32 ERD14:ERD32 FAZ14:FAZ32 FKV14:FKV32 FUR14:FUR32 GEN14:GEN32 GOJ14:GOJ32 GYF14:GYF32 HIB14:HIB32 HRX14:HRX32 IBT14:IBT32 ILP14:ILP32 IVL14:IVL32 JFH14:JFH32 JPD14:JPD32 JYZ14:JYZ32 KIV14:KIV32 KSR14:KSR32 LCN14:LCN32 LMJ14:LMJ32 LWF14:LWF32 MGB14:MGB32 MPX14:MPX32 MZT14:MZT32 NJP14:NJP32 NTL14:NTL32 ODH14:ODH32 OND14:OND32 OWZ14:OWZ32 PGV14:PGV32 PQR14:PQR32 QAN14:QAN32 QKJ14:QKJ32 QUF14:QUF32 REB14:REB32 RNX14:RNX32 RXT14:RXT32 SHP14:SHP32 SRL14:SRL32 TBH14:TBH32 TLD14:TLD32 TUZ14:TUZ32 UEV14:UEV32 UOR14:UOR32 UYN14:UYN32 VIJ14:VIJ32 VSF14:VSF32 WCB14:WCB32 WLX14:WLX32 WVT14:WVT32 L65629:L65647 JH65629:JH65647 TD65629:TD65647 ACZ65629:ACZ65647 AMV65629:AMV65647 AWR65629:AWR65647 BGN65629:BGN65647 BQJ65629:BQJ65647 CAF65629:CAF65647 CKB65629:CKB65647 CTX65629:CTX65647 DDT65629:DDT65647 DNP65629:DNP65647 DXL65629:DXL65647 EHH65629:EHH65647 ERD65629:ERD65647 FAZ65629:FAZ65647 FKV65629:FKV65647 FUR65629:FUR65647 GEN65629:GEN65647 GOJ65629:GOJ65647 GYF65629:GYF65647 HIB65629:HIB65647 HRX65629:HRX65647 IBT65629:IBT65647 ILP65629:ILP65647 IVL65629:IVL65647 JFH65629:JFH65647 JPD65629:JPD65647 JYZ65629:JYZ65647 KIV65629:KIV65647 KSR65629:KSR65647 LCN65629:LCN65647 LMJ65629:LMJ65647 LWF65629:LWF65647 MGB65629:MGB65647 MPX65629:MPX65647 MZT65629:MZT65647 NJP65629:NJP65647 NTL65629:NTL65647 ODH65629:ODH65647 OND65629:OND65647 OWZ65629:OWZ65647 PGV65629:PGV65647 PQR65629:PQR65647 QAN65629:QAN65647 QKJ65629:QKJ65647 QUF65629:QUF65647 REB65629:REB65647 RNX65629:RNX65647 RXT65629:RXT65647 SHP65629:SHP65647 SRL65629:SRL65647 TBH65629:TBH65647 TLD65629:TLD65647 TUZ65629:TUZ65647 UEV65629:UEV65647 UOR65629:UOR65647 UYN65629:UYN65647 VIJ65629:VIJ65647 VSF65629:VSF65647 WCB65629:WCB65647 WLX65629:WLX65647 WVT65629:WVT65647 L131165:L131183 JH131165:JH131183 TD131165:TD131183 ACZ131165:ACZ131183 AMV131165:AMV131183 AWR131165:AWR131183 BGN131165:BGN131183 BQJ131165:BQJ131183 CAF131165:CAF131183 CKB131165:CKB131183 CTX131165:CTX131183 DDT131165:DDT131183 DNP131165:DNP131183 DXL131165:DXL131183 EHH131165:EHH131183 ERD131165:ERD131183 FAZ131165:FAZ131183 FKV131165:FKV131183 FUR131165:FUR131183 GEN131165:GEN131183 GOJ131165:GOJ131183 GYF131165:GYF131183 HIB131165:HIB131183 HRX131165:HRX131183 IBT131165:IBT131183 ILP131165:ILP131183 IVL131165:IVL131183 JFH131165:JFH131183 JPD131165:JPD131183 JYZ131165:JYZ131183 KIV131165:KIV131183 KSR131165:KSR131183 LCN131165:LCN131183 LMJ131165:LMJ131183 LWF131165:LWF131183 MGB131165:MGB131183 MPX131165:MPX131183 MZT131165:MZT131183 NJP131165:NJP131183 NTL131165:NTL131183 ODH131165:ODH131183 OND131165:OND131183 OWZ131165:OWZ131183 PGV131165:PGV131183 PQR131165:PQR131183 QAN131165:QAN131183 QKJ131165:QKJ131183 QUF131165:QUF131183 REB131165:REB131183 RNX131165:RNX131183 RXT131165:RXT131183 SHP131165:SHP131183 SRL131165:SRL131183 TBH131165:TBH131183 TLD131165:TLD131183 TUZ131165:TUZ131183 UEV131165:UEV131183 UOR131165:UOR131183 UYN131165:UYN131183 VIJ131165:VIJ131183 VSF131165:VSF131183 WCB131165:WCB131183 WLX131165:WLX131183 WVT131165:WVT131183 L196701:L196719 JH196701:JH196719 TD196701:TD196719 ACZ196701:ACZ196719 AMV196701:AMV196719 AWR196701:AWR196719 BGN196701:BGN196719 BQJ196701:BQJ196719 CAF196701:CAF196719 CKB196701:CKB196719 CTX196701:CTX196719 DDT196701:DDT196719 DNP196701:DNP196719 DXL196701:DXL196719 EHH196701:EHH196719 ERD196701:ERD196719 FAZ196701:FAZ196719 FKV196701:FKV196719 FUR196701:FUR196719 GEN196701:GEN196719 GOJ196701:GOJ196719 GYF196701:GYF196719 HIB196701:HIB196719 HRX196701:HRX196719 IBT196701:IBT196719 ILP196701:ILP196719 IVL196701:IVL196719 JFH196701:JFH196719 JPD196701:JPD196719 JYZ196701:JYZ196719 KIV196701:KIV196719 KSR196701:KSR196719 LCN196701:LCN196719 LMJ196701:LMJ196719 LWF196701:LWF196719 MGB196701:MGB196719 MPX196701:MPX196719 MZT196701:MZT196719 NJP196701:NJP196719 NTL196701:NTL196719 ODH196701:ODH196719 OND196701:OND196719 OWZ196701:OWZ196719 PGV196701:PGV196719 PQR196701:PQR196719 QAN196701:QAN196719 QKJ196701:QKJ196719 QUF196701:QUF196719 REB196701:REB196719 RNX196701:RNX196719 RXT196701:RXT196719 SHP196701:SHP196719 SRL196701:SRL196719 TBH196701:TBH196719 TLD196701:TLD196719 TUZ196701:TUZ196719 UEV196701:UEV196719 UOR196701:UOR196719 UYN196701:UYN196719 VIJ196701:VIJ196719 VSF196701:VSF196719 WCB196701:WCB196719 WLX196701:WLX196719 WVT196701:WVT196719 L262237:L262255 JH262237:JH262255 TD262237:TD262255 ACZ262237:ACZ262255 AMV262237:AMV262255 AWR262237:AWR262255 BGN262237:BGN262255 BQJ262237:BQJ262255 CAF262237:CAF262255 CKB262237:CKB262255 CTX262237:CTX262255 DDT262237:DDT262255 DNP262237:DNP262255 DXL262237:DXL262255 EHH262237:EHH262255 ERD262237:ERD262255 FAZ262237:FAZ262255 FKV262237:FKV262255 FUR262237:FUR262255 GEN262237:GEN262255 GOJ262237:GOJ262255 GYF262237:GYF262255 HIB262237:HIB262255 HRX262237:HRX262255 IBT262237:IBT262255 ILP262237:ILP262255 IVL262237:IVL262255 JFH262237:JFH262255 JPD262237:JPD262255 JYZ262237:JYZ262255 KIV262237:KIV262255 KSR262237:KSR262255 LCN262237:LCN262255 LMJ262237:LMJ262255 LWF262237:LWF262255 MGB262237:MGB262255 MPX262237:MPX262255 MZT262237:MZT262255 NJP262237:NJP262255 NTL262237:NTL262255 ODH262237:ODH262255 OND262237:OND262255 OWZ262237:OWZ262255 PGV262237:PGV262255 PQR262237:PQR262255 QAN262237:QAN262255 QKJ262237:QKJ262255 QUF262237:QUF262255 REB262237:REB262255 RNX262237:RNX262255 RXT262237:RXT262255 SHP262237:SHP262255 SRL262237:SRL262255 TBH262237:TBH262255 TLD262237:TLD262255 TUZ262237:TUZ262255 UEV262237:UEV262255 UOR262237:UOR262255 UYN262237:UYN262255 VIJ262237:VIJ262255 VSF262237:VSF262255 WCB262237:WCB262255 WLX262237:WLX262255 WVT262237:WVT262255 L327773:L327791 JH327773:JH327791 TD327773:TD327791 ACZ327773:ACZ327791 AMV327773:AMV327791 AWR327773:AWR327791 BGN327773:BGN327791 BQJ327773:BQJ327791 CAF327773:CAF327791 CKB327773:CKB327791 CTX327773:CTX327791 DDT327773:DDT327791 DNP327773:DNP327791 DXL327773:DXL327791 EHH327773:EHH327791 ERD327773:ERD327791 FAZ327773:FAZ327791 FKV327773:FKV327791 FUR327773:FUR327791 GEN327773:GEN327791 GOJ327773:GOJ327791 GYF327773:GYF327791 HIB327773:HIB327791 HRX327773:HRX327791 IBT327773:IBT327791 ILP327773:ILP327791 IVL327773:IVL327791 JFH327773:JFH327791 JPD327773:JPD327791 JYZ327773:JYZ327791 KIV327773:KIV327791 KSR327773:KSR327791 LCN327773:LCN327791 LMJ327773:LMJ327791 LWF327773:LWF327791 MGB327773:MGB327791 MPX327773:MPX327791 MZT327773:MZT327791 NJP327773:NJP327791 NTL327773:NTL327791 ODH327773:ODH327791 OND327773:OND327791 OWZ327773:OWZ327791 PGV327773:PGV327791 PQR327773:PQR327791 QAN327773:QAN327791 QKJ327773:QKJ327791 QUF327773:QUF327791 REB327773:REB327791 RNX327773:RNX327791 RXT327773:RXT327791 SHP327773:SHP327791 SRL327773:SRL327791 TBH327773:TBH327791 TLD327773:TLD327791 TUZ327773:TUZ327791 UEV327773:UEV327791 UOR327773:UOR327791 UYN327773:UYN327791 VIJ327773:VIJ327791 VSF327773:VSF327791 WCB327773:WCB327791 WLX327773:WLX327791 WVT327773:WVT327791 L393309:L393327 JH393309:JH393327 TD393309:TD393327 ACZ393309:ACZ393327 AMV393309:AMV393327 AWR393309:AWR393327 BGN393309:BGN393327 BQJ393309:BQJ393327 CAF393309:CAF393327 CKB393309:CKB393327 CTX393309:CTX393327 DDT393309:DDT393327 DNP393309:DNP393327 DXL393309:DXL393327 EHH393309:EHH393327 ERD393309:ERD393327 FAZ393309:FAZ393327 FKV393309:FKV393327 FUR393309:FUR393327 GEN393309:GEN393327 GOJ393309:GOJ393327 GYF393309:GYF393327 HIB393309:HIB393327 HRX393309:HRX393327 IBT393309:IBT393327 ILP393309:ILP393327 IVL393309:IVL393327 JFH393309:JFH393327 JPD393309:JPD393327 JYZ393309:JYZ393327 KIV393309:KIV393327 KSR393309:KSR393327 LCN393309:LCN393327 LMJ393309:LMJ393327 LWF393309:LWF393327 MGB393309:MGB393327 MPX393309:MPX393327 MZT393309:MZT393327 NJP393309:NJP393327 NTL393309:NTL393327 ODH393309:ODH393327 OND393309:OND393327 OWZ393309:OWZ393327 PGV393309:PGV393327 PQR393309:PQR393327 QAN393309:QAN393327 QKJ393309:QKJ393327 QUF393309:QUF393327 REB393309:REB393327 RNX393309:RNX393327 RXT393309:RXT393327 SHP393309:SHP393327 SRL393309:SRL393327 TBH393309:TBH393327 TLD393309:TLD393327 TUZ393309:TUZ393327 UEV393309:UEV393327 UOR393309:UOR393327 UYN393309:UYN393327 VIJ393309:VIJ393327 VSF393309:VSF393327 WCB393309:WCB393327 WLX393309:WLX393327 WVT393309:WVT393327 L458845:L458863 JH458845:JH458863 TD458845:TD458863 ACZ458845:ACZ458863 AMV458845:AMV458863 AWR458845:AWR458863 BGN458845:BGN458863 BQJ458845:BQJ458863 CAF458845:CAF458863 CKB458845:CKB458863 CTX458845:CTX458863 DDT458845:DDT458863 DNP458845:DNP458863 DXL458845:DXL458863 EHH458845:EHH458863 ERD458845:ERD458863 FAZ458845:FAZ458863 FKV458845:FKV458863 FUR458845:FUR458863 GEN458845:GEN458863 GOJ458845:GOJ458863 GYF458845:GYF458863 HIB458845:HIB458863 HRX458845:HRX458863 IBT458845:IBT458863 ILP458845:ILP458863 IVL458845:IVL458863 JFH458845:JFH458863 JPD458845:JPD458863 JYZ458845:JYZ458863 KIV458845:KIV458863 KSR458845:KSR458863 LCN458845:LCN458863 LMJ458845:LMJ458863 LWF458845:LWF458863 MGB458845:MGB458863 MPX458845:MPX458863 MZT458845:MZT458863 NJP458845:NJP458863 NTL458845:NTL458863 ODH458845:ODH458863 OND458845:OND458863 OWZ458845:OWZ458863 PGV458845:PGV458863 PQR458845:PQR458863 QAN458845:QAN458863 QKJ458845:QKJ458863 QUF458845:QUF458863 REB458845:REB458863 RNX458845:RNX458863 RXT458845:RXT458863 SHP458845:SHP458863 SRL458845:SRL458863 TBH458845:TBH458863 TLD458845:TLD458863 TUZ458845:TUZ458863 UEV458845:UEV458863 UOR458845:UOR458863 UYN458845:UYN458863 VIJ458845:VIJ458863 VSF458845:VSF458863 WCB458845:WCB458863 WLX458845:WLX458863 WVT458845:WVT458863 L524381:L524399 JH524381:JH524399 TD524381:TD524399 ACZ524381:ACZ524399 AMV524381:AMV524399 AWR524381:AWR524399 BGN524381:BGN524399 BQJ524381:BQJ524399 CAF524381:CAF524399 CKB524381:CKB524399 CTX524381:CTX524399 DDT524381:DDT524399 DNP524381:DNP524399 DXL524381:DXL524399 EHH524381:EHH524399 ERD524381:ERD524399 FAZ524381:FAZ524399 FKV524381:FKV524399 FUR524381:FUR524399 GEN524381:GEN524399 GOJ524381:GOJ524399 GYF524381:GYF524399 HIB524381:HIB524399 HRX524381:HRX524399 IBT524381:IBT524399 ILP524381:ILP524399 IVL524381:IVL524399 JFH524381:JFH524399 JPD524381:JPD524399 JYZ524381:JYZ524399 KIV524381:KIV524399 KSR524381:KSR524399 LCN524381:LCN524399 LMJ524381:LMJ524399 LWF524381:LWF524399 MGB524381:MGB524399 MPX524381:MPX524399 MZT524381:MZT524399 NJP524381:NJP524399 NTL524381:NTL524399 ODH524381:ODH524399 OND524381:OND524399 OWZ524381:OWZ524399 PGV524381:PGV524399 PQR524381:PQR524399 QAN524381:QAN524399 QKJ524381:QKJ524399 QUF524381:QUF524399 REB524381:REB524399 RNX524381:RNX524399 RXT524381:RXT524399 SHP524381:SHP524399 SRL524381:SRL524399 TBH524381:TBH524399 TLD524381:TLD524399 TUZ524381:TUZ524399 UEV524381:UEV524399 UOR524381:UOR524399 UYN524381:UYN524399 VIJ524381:VIJ524399 VSF524381:VSF524399 WCB524381:WCB524399 WLX524381:WLX524399 WVT524381:WVT524399 L589917:L589935 JH589917:JH589935 TD589917:TD589935 ACZ589917:ACZ589935 AMV589917:AMV589935 AWR589917:AWR589935 BGN589917:BGN589935 BQJ589917:BQJ589935 CAF589917:CAF589935 CKB589917:CKB589935 CTX589917:CTX589935 DDT589917:DDT589935 DNP589917:DNP589935 DXL589917:DXL589935 EHH589917:EHH589935 ERD589917:ERD589935 FAZ589917:FAZ589935 FKV589917:FKV589935 FUR589917:FUR589935 GEN589917:GEN589935 GOJ589917:GOJ589935 GYF589917:GYF589935 HIB589917:HIB589935 HRX589917:HRX589935 IBT589917:IBT589935 ILP589917:ILP589935 IVL589917:IVL589935 JFH589917:JFH589935 JPD589917:JPD589935 JYZ589917:JYZ589935 KIV589917:KIV589935 KSR589917:KSR589935 LCN589917:LCN589935 LMJ589917:LMJ589935 LWF589917:LWF589935 MGB589917:MGB589935 MPX589917:MPX589935 MZT589917:MZT589935 NJP589917:NJP589935 NTL589917:NTL589935 ODH589917:ODH589935 OND589917:OND589935 OWZ589917:OWZ589935 PGV589917:PGV589935 PQR589917:PQR589935 QAN589917:QAN589935 QKJ589917:QKJ589935 QUF589917:QUF589935 REB589917:REB589935 RNX589917:RNX589935 RXT589917:RXT589935 SHP589917:SHP589935 SRL589917:SRL589935 TBH589917:TBH589935 TLD589917:TLD589935 TUZ589917:TUZ589935 UEV589917:UEV589935 UOR589917:UOR589935 UYN589917:UYN589935 VIJ589917:VIJ589935 VSF589917:VSF589935 WCB589917:WCB589935 WLX589917:WLX589935 WVT589917:WVT589935 L655453:L655471 JH655453:JH655471 TD655453:TD655471 ACZ655453:ACZ655471 AMV655453:AMV655471 AWR655453:AWR655471 BGN655453:BGN655471 BQJ655453:BQJ655471 CAF655453:CAF655471 CKB655453:CKB655471 CTX655453:CTX655471 DDT655453:DDT655471 DNP655453:DNP655471 DXL655453:DXL655471 EHH655453:EHH655471 ERD655453:ERD655471 FAZ655453:FAZ655471 FKV655453:FKV655471 FUR655453:FUR655471 GEN655453:GEN655471 GOJ655453:GOJ655471 GYF655453:GYF655471 HIB655453:HIB655471 HRX655453:HRX655471 IBT655453:IBT655471 ILP655453:ILP655471 IVL655453:IVL655471 JFH655453:JFH655471 JPD655453:JPD655471 JYZ655453:JYZ655471 KIV655453:KIV655471 KSR655453:KSR655471 LCN655453:LCN655471 LMJ655453:LMJ655471 LWF655453:LWF655471 MGB655453:MGB655471 MPX655453:MPX655471 MZT655453:MZT655471 NJP655453:NJP655471 NTL655453:NTL655471 ODH655453:ODH655471 OND655453:OND655471 OWZ655453:OWZ655471 PGV655453:PGV655471 PQR655453:PQR655471 QAN655453:QAN655471 QKJ655453:QKJ655471 QUF655453:QUF655471 REB655453:REB655471 RNX655453:RNX655471 RXT655453:RXT655471 SHP655453:SHP655471 SRL655453:SRL655471 TBH655453:TBH655471 TLD655453:TLD655471 TUZ655453:TUZ655471 UEV655453:UEV655471 UOR655453:UOR655471 UYN655453:UYN655471 VIJ655453:VIJ655471 VSF655453:VSF655471 WCB655453:WCB655471 WLX655453:WLX655471 WVT655453:WVT655471 L720989:L721007 JH720989:JH721007 TD720989:TD721007 ACZ720989:ACZ721007 AMV720989:AMV721007 AWR720989:AWR721007 BGN720989:BGN721007 BQJ720989:BQJ721007 CAF720989:CAF721007 CKB720989:CKB721007 CTX720989:CTX721007 DDT720989:DDT721007 DNP720989:DNP721007 DXL720989:DXL721007 EHH720989:EHH721007 ERD720989:ERD721007 FAZ720989:FAZ721007 FKV720989:FKV721007 FUR720989:FUR721007 GEN720989:GEN721007 GOJ720989:GOJ721007 GYF720989:GYF721007 HIB720989:HIB721007 HRX720989:HRX721007 IBT720989:IBT721007 ILP720989:ILP721007 IVL720989:IVL721007 JFH720989:JFH721007 JPD720989:JPD721007 JYZ720989:JYZ721007 KIV720989:KIV721007 KSR720989:KSR721007 LCN720989:LCN721007 LMJ720989:LMJ721007 LWF720989:LWF721007 MGB720989:MGB721007 MPX720989:MPX721007 MZT720989:MZT721007 NJP720989:NJP721007 NTL720989:NTL721007 ODH720989:ODH721007 OND720989:OND721007 OWZ720989:OWZ721007 PGV720989:PGV721007 PQR720989:PQR721007 QAN720989:QAN721007 QKJ720989:QKJ721007 QUF720989:QUF721007 REB720989:REB721007 RNX720989:RNX721007 RXT720989:RXT721007 SHP720989:SHP721007 SRL720989:SRL721007 TBH720989:TBH721007 TLD720989:TLD721007 TUZ720989:TUZ721007 UEV720989:UEV721007 UOR720989:UOR721007 UYN720989:UYN721007 VIJ720989:VIJ721007 VSF720989:VSF721007 WCB720989:WCB721007 WLX720989:WLX721007 WVT720989:WVT721007 L786525:L786543 JH786525:JH786543 TD786525:TD786543 ACZ786525:ACZ786543 AMV786525:AMV786543 AWR786525:AWR786543 BGN786525:BGN786543 BQJ786525:BQJ786543 CAF786525:CAF786543 CKB786525:CKB786543 CTX786525:CTX786543 DDT786525:DDT786543 DNP786525:DNP786543 DXL786525:DXL786543 EHH786525:EHH786543 ERD786525:ERD786543 FAZ786525:FAZ786543 FKV786525:FKV786543 FUR786525:FUR786543 GEN786525:GEN786543 GOJ786525:GOJ786543 GYF786525:GYF786543 HIB786525:HIB786543 HRX786525:HRX786543 IBT786525:IBT786543 ILP786525:ILP786543 IVL786525:IVL786543 JFH786525:JFH786543 JPD786525:JPD786543 JYZ786525:JYZ786543 KIV786525:KIV786543 KSR786525:KSR786543 LCN786525:LCN786543 LMJ786525:LMJ786543 LWF786525:LWF786543 MGB786525:MGB786543 MPX786525:MPX786543 MZT786525:MZT786543 NJP786525:NJP786543 NTL786525:NTL786543 ODH786525:ODH786543 OND786525:OND786543 OWZ786525:OWZ786543 PGV786525:PGV786543 PQR786525:PQR786543 QAN786525:QAN786543 QKJ786525:QKJ786543 QUF786525:QUF786543 REB786525:REB786543 RNX786525:RNX786543 RXT786525:RXT786543 SHP786525:SHP786543 SRL786525:SRL786543 TBH786525:TBH786543 TLD786525:TLD786543 TUZ786525:TUZ786543 UEV786525:UEV786543 UOR786525:UOR786543 UYN786525:UYN786543 VIJ786525:VIJ786543 VSF786525:VSF786543 WCB786525:WCB786543 WLX786525:WLX786543 WVT786525:WVT786543 L852061:L852079 JH852061:JH852079 TD852061:TD852079 ACZ852061:ACZ852079 AMV852061:AMV852079 AWR852061:AWR852079 BGN852061:BGN852079 BQJ852061:BQJ852079 CAF852061:CAF852079 CKB852061:CKB852079 CTX852061:CTX852079 DDT852061:DDT852079 DNP852061:DNP852079 DXL852061:DXL852079 EHH852061:EHH852079 ERD852061:ERD852079 FAZ852061:FAZ852079 FKV852061:FKV852079 FUR852061:FUR852079 GEN852061:GEN852079 GOJ852061:GOJ852079 GYF852061:GYF852079 HIB852061:HIB852079 HRX852061:HRX852079 IBT852061:IBT852079 ILP852061:ILP852079 IVL852061:IVL852079 JFH852061:JFH852079 JPD852061:JPD852079 JYZ852061:JYZ852079 KIV852061:KIV852079 KSR852061:KSR852079 LCN852061:LCN852079 LMJ852061:LMJ852079 LWF852061:LWF852079 MGB852061:MGB852079 MPX852061:MPX852079 MZT852061:MZT852079 NJP852061:NJP852079 NTL852061:NTL852079 ODH852061:ODH852079 OND852061:OND852079 OWZ852061:OWZ852079 PGV852061:PGV852079 PQR852061:PQR852079 QAN852061:QAN852079 QKJ852061:QKJ852079 QUF852061:QUF852079 REB852061:REB852079 RNX852061:RNX852079 RXT852061:RXT852079 SHP852061:SHP852079 SRL852061:SRL852079 TBH852061:TBH852079 TLD852061:TLD852079 TUZ852061:TUZ852079 UEV852061:UEV852079 UOR852061:UOR852079 UYN852061:UYN852079 VIJ852061:VIJ852079 VSF852061:VSF852079 WCB852061:WCB852079 WLX852061:WLX852079 WVT852061:WVT852079 L917597:L917615 JH917597:JH917615 TD917597:TD917615 ACZ917597:ACZ917615 AMV917597:AMV917615 AWR917597:AWR917615 BGN917597:BGN917615 BQJ917597:BQJ917615 CAF917597:CAF917615 CKB917597:CKB917615 CTX917597:CTX917615 DDT917597:DDT917615 DNP917597:DNP917615 DXL917597:DXL917615 EHH917597:EHH917615 ERD917597:ERD917615 FAZ917597:FAZ917615 FKV917597:FKV917615 FUR917597:FUR917615 GEN917597:GEN917615 GOJ917597:GOJ917615 GYF917597:GYF917615 HIB917597:HIB917615 HRX917597:HRX917615 IBT917597:IBT917615 ILP917597:ILP917615 IVL917597:IVL917615 JFH917597:JFH917615 JPD917597:JPD917615 JYZ917597:JYZ917615 KIV917597:KIV917615 KSR917597:KSR917615 LCN917597:LCN917615 LMJ917597:LMJ917615 LWF917597:LWF917615 MGB917597:MGB917615 MPX917597:MPX917615 MZT917597:MZT917615 NJP917597:NJP917615 NTL917597:NTL917615 ODH917597:ODH917615 OND917597:OND917615 OWZ917597:OWZ917615 PGV917597:PGV917615 PQR917597:PQR917615 QAN917597:QAN917615 QKJ917597:QKJ917615 QUF917597:QUF917615 REB917597:REB917615 RNX917597:RNX917615 RXT917597:RXT917615 SHP917597:SHP917615 SRL917597:SRL917615 TBH917597:TBH917615 TLD917597:TLD917615 TUZ917597:TUZ917615 UEV917597:UEV917615 UOR917597:UOR917615 UYN917597:UYN917615 VIJ917597:VIJ917615 VSF917597:VSF917615 WCB917597:WCB917615 WLX917597:WLX917615 WVT917597:WVT917615 L983133:L983151 JH983133:JH983151 TD983133:TD983151 ACZ983133:ACZ983151 AMV983133:AMV983151 AWR983133:AWR983151 BGN983133:BGN983151 BQJ983133:BQJ983151 CAF983133:CAF983151 CKB983133:CKB983151 CTX983133:CTX983151 DDT983133:DDT983151 DNP983133:DNP983151 DXL983133:DXL983151 EHH983133:EHH983151 ERD983133:ERD983151 FAZ983133:FAZ983151 FKV983133:FKV983151 FUR983133:FUR983151 GEN983133:GEN983151 GOJ983133:GOJ983151 GYF983133:GYF983151 HIB983133:HIB983151 HRX983133:HRX983151 IBT983133:IBT983151 ILP983133:ILP983151 IVL983133:IVL983151 JFH983133:JFH983151 JPD983133:JPD983151 JYZ983133:JYZ983151 KIV983133:KIV983151 KSR983133:KSR983151 LCN983133:LCN983151 LMJ983133:LMJ983151 LWF983133:LWF983151 MGB983133:MGB983151 MPX983133:MPX983151 MZT983133:MZT983151 NJP983133:NJP983151 NTL983133:NTL983151 ODH983133:ODH983151 OND983133:OND983151 OWZ983133:OWZ983151 PGV983133:PGV983151 PQR983133:PQR983151 QAN983133:QAN983151 QKJ983133:QKJ983151 QUF983133:QUF983151 REB983133:REB983151 RNX983133:RNX983151 RXT983133:RXT983151 SHP983133:SHP983151 SRL983133:SRL983151 TBH983133:TBH983151 TLD983133:TLD983151 TUZ983133:TUZ983151 UEV983133:UEV983151 UOR983133:UOR983151 UYN983133:UYN983151 VIJ983133:VIJ983151 VSF983133:VSF983151 WCB983133:WCB983151 WLX983133:WLX983151 L14:L32 D14:D32" xr:uid="{FB803751-330B-441C-A1FF-B19818312205}">
      <formula1>4</formula1>
    </dataValidation>
    <dataValidation type="textLength" operator="equal" allowBlank="1" showInputMessage="1" showErrorMessage="1" errorTitle="Invalid data!" error="Company number must be 4 digits." sqref="IX14:IX32 ST14:ST32 ACP14:ACP32 AML14:AML32 AWH14:AWH32 BGD14:BGD32 BPZ14:BPZ32 BZV14:BZV32 CJR14:CJR32 CTN14:CTN32 DDJ14:DDJ32 DNF14:DNF32 DXB14:DXB32 EGX14:EGX32 EQT14:EQT32 FAP14:FAP32 FKL14:FKL32 FUH14:FUH32 GED14:GED32 GNZ14:GNZ32 GXV14:GXV32 HHR14:HHR32 HRN14:HRN32 IBJ14:IBJ32 ILF14:ILF32 IVB14:IVB32 JEX14:JEX32 JOT14:JOT32 JYP14:JYP32 KIL14:KIL32 KSH14:KSH32 LCD14:LCD32 LLZ14:LLZ32 LVV14:LVV32 MFR14:MFR32 MPN14:MPN32 MZJ14:MZJ32 NJF14:NJF32 NTB14:NTB32 OCX14:OCX32 OMT14:OMT32 OWP14:OWP32 PGL14:PGL32 PQH14:PQH32 QAD14:QAD32 QJZ14:QJZ32 QTV14:QTV32 RDR14:RDR32 RNN14:RNN32 RXJ14:RXJ32 SHF14:SHF32 SRB14:SRB32 TAX14:TAX32 TKT14:TKT32 TUP14:TUP32 UEL14:UEL32 UOH14:UOH32 UYD14:UYD32 VHZ14:VHZ32 VRV14:VRV32 WBR14:WBR32 WLN14:WLN32 WVJ14:WVJ32 B65629:B65647 IX65629:IX65647 ST65629:ST65647 ACP65629:ACP65647 AML65629:AML65647 AWH65629:AWH65647 BGD65629:BGD65647 BPZ65629:BPZ65647 BZV65629:BZV65647 CJR65629:CJR65647 CTN65629:CTN65647 DDJ65629:DDJ65647 DNF65629:DNF65647 DXB65629:DXB65647 EGX65629:EGX65647 EQT65629:EQT65647 FAP65629:FAP65647 FKL65629:FKL65647 FUH65629:FUH65647 GED65629:GED65647 GNZ65629:GNZ65647 GXV65629:GXV65647 HHR65629:HHR65647 HRN65629:HRN65647 IBJ65629:IBJ65647 ILF65629:ILF65647 IVB65629:IVB65647 JEX65629:JEX65647 JOT65629:JOT65647 JYP65629:JYP65647 KIL65629:KIL65647 KSH65629:KSH65647 LCD65629:LCD65647 LLZ65629:LLZ65647 LVV65629:LVV65647 MFR65629:MFR65647 MPN65629:MPN65647 MZJ65629:MZJ65647 NJF65629:NJF65647 NTB65629:NTB65647 OCX65629:OCX65647 OMT65629:OMT65647 OWP65629:OWP65647 PGL65629:PGL65647 PQH65629:PQH65647 QAD65629:QAD65647 QJZ65629:QJZ65647 QTV65629:QTV65647 RDR65629:RDR65647 RNN65629:RNN65647 RXJ65629:RXJ65647 SHF65629:SHF65647 SRB65629:SRB65647 TAX65629:TAX65647 TKT65629:TKT65647 TUP65629:TUP65647 UEL65629:UEL65647 UOH65629:UOH65647 UYD65629:UYD65647 VHZ65629:VHZ65647 VRV65629:VRV65647 WBR65629:WBR65647 WLN65629:WLN65647 WVJ65629:WVJ65647 B131165:B131183 IX131165:IX131183 ST131165:ST131183 ACP131165:ACP131183 AML131165:AML131183 AWH131165:AWH131183 BGD131165:BGD131183 BPZ131165:BPZ131183 BZV131165:BZV131183 CJR131165:CJR131183 CTN131165:CTN131183 DDJ131165:DDJ131183 DNF131165:DNF131183 DXB131165:DXB131183 EGX131165:EGX131183 EQT131165:EQT131183 FAP131165:FAP131183 FKL131165:FKL131183 FUH131165:FUH131183 GED131165:GED131183 GNZ131165:GNZ131183 GXV131165:GXV131183 HHR131165:HHR131183 HRN131165:HRN131183 IBJ131165:IBJ131183 ILF131165:ILF131183 IVB131165:IVB131183 JEX131165:JEX131183 JOT131165:JOT131183 JYP131165:JYP131183 KIL131165:KIL131183 KSH131165:KSH131183 LCD131165:LCD131183 LLZ131165:LLZ131183 LVV131165:LVV131183 MFR131165:MFR131183 MPN131165:MPN131183 MZJ131165:MZJ131183 NJF131165:NJF131183 NTB131165:NTB131183 OCX131165:OCX131183 OMT131165:OMT131183 OWP131165:OWP131183 PGL131165:PGL131183 PQH131165:PQH131183 QAD131165:QAD131183 QJZ131165:QJZ131183 QTV131165:QTV131183 RDR131165:RDR131183 RNN131165:RNN131183 RXJ131165:RXJ131183 SHF131165:SHF131183 SRB131165:SRB131183 TAX131165:TAX131183 TKT131165:TKT131183 TUP131165:TUP131183 UEL131165:UEL131183 UOH131165:UOH131183 UYD131165:UYD131183 VHZ131165:VHZ131183 VRV131165:VRV131183 WBR131165:WBR131183 WLN131165:WLN131183 WVJ131165:WVJ131183 B196701:B196719 IX196701:IX196719 ST196701:ST196719 ACP196701:ACP196719 AML196701:AML196719 AWH196701:AWH196719 BGD196701:BGD196719 BPZ196701:BPZ196719 BZV196701:BZV196719 CJR196701:CJR196719 CTN196701:CTN196719 DDJ196701:DDJ196719 DNF196701:DNF196719 DXB196701:DXB196719 EGX196701:EGX196719 EQT196701:EQT196719 FAP196701:FAP196719 FKL196701:FKL196719 FUH196701:FUH196719 GED196701:GED196719 GNZ196701:GNZ196719 GXV196701:GXV196719 HHR196701:HHR196719 HRN196701:HRN196719 IBJ196701:IBJ196719 ILF196701:ILF196719 IVB196701:IVB196719 JEX196701:JEX196719 JOT196701:JOT196719 JYP196701:JYP196719 KIL196701:KIL196719 KSH196701:KSH196719 LCD196701:LCD196719 LLZ196701:LLZ196719 LVV196701:LVV196719 MFR196701:MFR196719 MPN196701:MPN196719 MZJ196701:MZJ196719 NJF196701:NJF196719 NTB196701:NTB196719 OCX196701:OCX196719 OMT196701:OMT196719 OWP196701:OWP196719 PGL196701:PGL196719 PQH196701:PQH196719 QAD196701:QAD196719 QJZ196701:QJZ196719 QTV196701:QTV196719 RDR196701:RDR196719 RNN196701:RNN196719 RXJ196701:RXJ196719 SHF196701:SHF196719 SRB196701:SRB196719 TAX196701:TAX196719 TKT196701:TKT196719 TUP196701:TUP196719 UEL196701:UEL196719 UOH196701:UOH196719 UYD196701:UYD196719 VHZ196701:VHZ196719 VRV196701:VRV196719 WBR196701:WBR196719 WLN196701:WLN196719 WVJ196701:WVJ196719 B262237:B262255 IX262237:IX262255 ST262237:ST262255 ACP262237:ACP262255 AML262237:AML262255 AWH262237:AWH262255 BGD262237:BGD262255 BPZ262237:BPZ262255 BZV262237:BZV262255 CJR262237:CJR262255 CTN262237:CTN262255 DDJ262237:DDJ262255 DNF262237:DNF262255 DXB262237:DXB262255 EGX262237:EGX262255 EQT262237:EQT262255 FAP262237:FAP262255 FKL262237:FKL262255 FUH262237:FUH262255 GED262237:GED262255 GNZ262237:GNZ262255 GXV262237:GXV262255 HHR262237:HHR262255 HRN262237:HRN262255 IBJ262237:IBJ262255 ILF262237:ILF262255 IVB262237:IVB262255 JEX262237:JEX262255 JOT262237:JOT262255 JYP262237:JYP262255 KIL262237:KIL262255 KSH262237:KSH262255 LCD262237:LCD262255 LLZ262237:LLZ262255 LVV262237:LVV262255 MFR262237:MFR262255 MPN262237:MPN262255 MZJ262237:MZJ262255 NJF262237:NJF262255 NTB262237:NTB262255 OCX262237:OCX262255 OMT262237:OMT262255 OWP262237:OWP262255 PGL262237:PGL262255 PQH262237:PQH262255 QAD262237:QAD262255 QJZ262237:QJZ262255 QTV262237:QTV262255 RDR262237:RDR262255 RNN262237:RNN262255 RXJ262237:RXJ262255 SHF262237:SHF262255 SRB262237:SRB262255 TAX262237:TAX262255 TKT262237:TKT262255 TUP262237:TUP262255 UEL262237:UEL262255 UOH262237:UOH262255 UYD262237:UYD262255 VHZ262237:VHZ262255 VRV262237:VRV262255 WBR262237:WBR262255 WLN262237:WLN262255 WVJ262237:WVJ262255 B327773:B327791 IX327773:IX327791 ST327773:ST327791 ACP327773:ACP327791 AML327773:AML327791 AWH327773:AWH327791 BGD327773:BGD327791 BPZ327773:BPZ327791 BZV327773:BZV327791 CJR327773:CJR327791 CTN327773:CTN327791 DDJ327773:DDJ327791 DNF327773:DNF327791 DXB327773:DXB327791 EGX327773:EGX327791 EQT327773:EQT327791 FAP327773:FAP327791 FKL327773:FKL327791 FUH327773:FUH327791 GED327773:GED327791 GNZ327773:GNZ327791 GXV327773:GXV327791 HHR327773:HHR327791 HRN327773:HRN327791 IBJ327773:IBJ327791 ILF327773:ILF327791 IVB327773:IVB327791 JEX327773:JEX327791 JOT327773:JOT327791 JYP327773:JYP327791 KIL327773:KIL327791 KSH327773:KSH327791 LCD327773:LCD327791 LLZ327773:LLZ327791 LVV327773:LVV327791 MFR327773:MFR327791 MPN327773:MPN327791 MZJ327773:MZJ327791 NJF327773:NJF327791 NTB327773:NTB327791 OCX327773:OCX327791 OMT327773:OMT327791 OWP327773:OWP327791 PGL327773:PGL327791 PQH327773:PQH327791 QAD327773:QAD327791 QJZ327773:QJZ327791 QTV327773:QTV327791 RDR327773:RDR327791 RNN327773:RNN327791 RXJ327773:RXJ327791 SHF327773:SHF327791 SRB327773:SRB327791 TAX327773:TAX327791 TKT327773:TKT327791 TUP327773:TUP327791 UEL327773:UEL327791 UOH327773:UOH327791 UYD327773:UYD327791 VHZ327773:VHZ327791 VRV327773:VRV327791 WBR327773:WBR327791 WLN327773:WLN327791 WVJ327773:WVJ327791 B393309:B393327 IX393309:IX393327 ST393309:ST393327 ACP393309:ACP393327 AML393309:AML393327 AWH393309:AWH393327 BGD393309:BGD393327 BPZ393309:BPZ393327 BZV393309:BZV393327 CJR393309:CJR393327 CTN393309:CTN393327 DDJ393309:DDJ393327 DNF393309:DNF393327 DXB393309:DXB393327 EGX393309:EGX393327 EQT393309:EQT393327 FAP393309:FAP393327 FKL393309:FKL393327 FUH393309:FUH393327 GED393309:GED393327 GNZ393309:GNZ393327 GXV393309:GXV393327 HHR393309:HHR393327 HRN393309:HRN393327 IBJ393309:IBJ393327 ILF393309:ILF393327 IVB393309:IVB393327 JEX393309:JEX393327 JOT393309:JOT393327 JYP393309:JYP393327 KIL393309:KIL393327 KSH393309:KSH393327 LCD393309:LCD393327 LLZ393309:LLZ393327 LVV393309:LVV393327 MFR393309:MFR393327 MPN393309:MPN393327 MZJ393309:MZJ393327 NJF393309:NJF393327 NTB393309:NTB393327 OCX393309:OCX393327 OMT393309:OMT393327 OWP393309:OWP393327 PGL393309:PGL393327 PQH393309:PQH393327 QAD393309:QAD393327 QJZ393309:QJZ393327 QTV393309:QTV393327 RDR393309:RDR393327 RNN393309:RNN393327 RXJ393309:RXJ393327 SHF393309:SHF393327 SRB393309:SRB393327 TAX393309:TAX393327 TKT393309:TKT393327 TUP393309:TUP393327 UEL393309:UEL393327 UOH393309:UOH393327 UYD393309:UYD393327 VHZ393309:VHZ393327 VRV393309:VRV393327 WBR393309:WBR393327 WLN393309:WLN393327 WVJ393309:WVJ393327 B458845:B458863 IX458845:IX458863 ST458845:ST458863 ACP458845:ACP458863 AML458845:AML458863 AWH458845:AWH458863 BGD458845:BGD458863 BPZ458845:BPZ458863 BZV458845:BZV458863 CJR458845:CJR458863 CTN458845:CTN458863 DDJ458845:DDJ458863 DNF458845:DNF458863 DXB458845:DXB458863 EGX458845:EGX458863 EQT458845:EQT458863 FAP458845:FAP458863 FKL458845:FKL458863 FUH458845:FUH458863 GED458845:GED458863 GNZ458845:GNZ458863 GXV458845:GXV458863 HHR458845:HHR458863 HRN458845:HRN458863 IBJ458845:IBJ458863 ILF458845:ILF458863 IVB458845:IVB458863 JEX458845:JEX458863 JOT458845:JOT458863 JYP458845:JYP458863 KIL458845:KIL458863 KSH458845:KSH458863 LCD458845:LCD458863 LLZ458845:LLZ458863 LVV458845:LVV458863 MFR458845:MFR458863 MPN458845:MPN458863 MZJ458845:MZJ458863 NJF458845:NJF458863 NTB458845:NTB458863 OCX458845:OCX458863 OMT458845:OMT458863 OWP458845:OWP458863 PGL458845:PGL458863 PQH458845:PQH458863 QAD458845:QAD458863 QJZ458845:QJZ458863 QTV458845:QTV458863 RDR458845:RDR458863 RNN458845:RNN458863 RXJ458845:RXJ458863 SHF458845:SHF458863 SRB458845:SRB458863 TAX458845:TAX458863 TKT458845:TKT458863 TUP458845:TUP458863 UEL458845:UEL458863 UOH458845:UOH458863 UYD458845:UYD458863 VHZ458845:VHZ458863 VRV458845:VRV458863 WBR458845:WBR458863 WLN458845:WLN458863 WVJ458845:WVJ458863 B524381:B524399 IX524381:IX524399 ST524381:ST524399 ACP524381:ACP524399 AML524381:AML524399 AWH524381:AWH524399 BGD524381:BGD524399 BPZ524381:BPZ524399 BZV524381:BZV524399 CJR524381:CJR524399 CTN524381:CTN524399 DDJ524381:DDJ524399 DNF524381:DNF524399 DXB524381:DXB524399 EGX524381:EGX524399 EQT524381:EQT524399 FAP524381:FAP524399 FKL524381:FKL524399 FUH524381:FUH524399 GED524381:GED524399 GNZ524381:GNZ524399 GXV524381:GXV524399 HHR524381:HHR524399 HRN524381:HRN524399 IBJ524381:IBJ524399 ILF524381:ILF524399 IVB524381:IVB524399 JEX524381:JEX524399 JOT524381:JOT524399 JYP524381:JYP524399 KIL524381:KIL524399 KSH524381:KSH524399 LCD524381:LCD524399 LLZ524381:LLZ524399 LVV524381:LVV524399 MFR524381:MFR524399 MPN524381:MPN524399 MZJ524381:MZJ524399 NJF524381:NJF524399 NTB524381:NTB524399 OCX524381:OCX524399 OMT524381:OMT524399 OWP524381:OWP524399 PGL524381:PGL524399 PQH524381:PQH524399 QAD524381:QAD524399 QJZ524381:QJZ524399 QTV524381:QTV524399 RDR524381:RDR524399 RNN524381:RNN524399 RXJ524381:RXJ524399 SHF524381:SHF524399 SRB524381:SRB524399 TAX524381:TAX524399 TKT524381:TKT524399 TUP524381:TUP524399 UEL524381:UEL524399 UOH524381:UOH524399 UYD524381:UYD524399 VHZ524381:VHZ524399 VRV524381:VRV524399 WBR524381:WBR524399 WLN524381:WLN524399 WVJ524381:WVJ524399 B589917:B589935 IX589917:IX589935 ST589917:ST589935 ACP589917:ACP589935 AML589917:AML589935 AWH589917:AWH589935 BGD589917:BGD589935 BPZ589917:BPZ589935 BZV589917:BZV589935 CJR589917:CJR589935 CTN589917:CTN589935 DDJ589917:DDJ589935 DNF589917:DNF589935 DXB589917:DXB589935 EGX589917:EGX589935 EQT589917:EQT589935 FAP589917:FAP589935 FKL589917:FKL589935 FUH589917:FUH589935 GED589917:GED589935 GNZ589917:GNZ589935 GXV589917:GXV589935 HHR589917:HHR589935 HRN589917:HRN589935 IBJ589917:IBJ589935 ILF589917:ILF589935 IVB589917:IVB589935 JEX589917:JEX589935 JOT589917:JOT589935 JYP589917:JYP589935 KIL589917:KIL589935 KSH589917:KSH589935 LCD589917:LCD589935 LLZ589917:LLZ589935 LVV589917:LVV589935 MFR589917:MFR589935 MPN589917:MPN589935 MZJ589917:MZJ589935 NJF589917:NJF589935 NTB589917:NTB589935 OCX589917:OCX589935 OMT589917:OMT589935 OWP589917:OWP589935 PGL589917:PGL589935 PQH589917:PQH589935 QAD589917:QAD589935 QJZ589917:QJZ589935 QTV589917:QTV589935 RDR589917:RDR589935 RNN589917:RNN589935 RXJ589917:RXJ589935 SHF589917:SHF589935 SRB589917:SRB589935 TAX589917:TAX589935 TKT589917:TKT589935 TUP589917:TUP589935 UEL589917:UEL589935 UOH589917:UOH589935 UYD589917:UYD589935 VHZ589917:VHZ589935 VRV589917:VRV589935 WBR589917:WBR589935 WLN589917:WLN589935 WVJ589917:WVJ589935 B655453:B655471 IX655453:IX655471 ST655453:ST655471 ACP655453:ACP655471 AML655453:AML655471 AWH655453:AWH655471 BGD655453:BGD655471 BPZ655453:BPZ655471 BZV655453:BZV655471 CJR655453:CJR655471 CTN655453:CTN655471 DDJ655453:DDJ655471 DNF655453:DNF655471 DXB655453:DXB655471 EGX655453:EGX655471 EQT655453:EQT655471 FAP655453:FAP655471 FKL655453:FKL655471 FUH655453:FUH655471 GED655453:GED655471 GNZ655453:GNZ655471 GXV655453:GXV655471 HHR655453:HHR655471 HRN655453:HRN655471 IBJ655453:IBJ655471 ILF655453:ILF655471 IVB655453:IVB655471 JEX655453:JEX655471 JOT655453:JOT655471 JYP655453:JYP655471 KIL655453:KIL655471 KSH655453:KSH655471 LCD655453:LCD655471 LLZ655453:LLZ655471 LVV655453:LVV655471 MFR655453:MFR655471 MPN655453:MPN655471 MZJ655453:MZJ655471 NJF655453:NJF655471 NTB655453:NTB655471 OCX655453:OCX655471 OMT655453:OMT655471 OWP655453:OWP655471 PGL655453:PGL655471 PQH655453:PQH655471 QAD655453:QAD655471 QJZ655453:QJZ655471 QTV655453:QTV655471 RDR655453:RDR655471 RNN655453:RNN655471 RXJ655453:RXJ655471 SHF655453:SHF655471 SRB655453:SRB655471 TAX655453:TAX655471 TKT655453:TKT655471 TUP655453:TUP655471 UEL655453:UEL655471 UOH655453:UOH655471 UYD655453:UYD655471 VHZ655453:VHZ655471 VRV655453:VRV655471 WBR655453:WBR655471 WLN655453:WLN655471 WVJ655453:WVJ655471 B720989:B721007 IX720989:IX721007 ST720989:ST721007 ACP720989:ACP721007 AML720989:AML721007 AWH720989:AWH721007 BGD720989:BGD721007 BPZ720989:BPZ721007 BZV720989:BZV721007 CJR720989:CJR721007 CTN720989:CTN721007 DDJ720989:DDJ721007 DNF720989:DNF721007 DXB720989:DXB721007 EGX720989:EGX721007 EQT720989:EQT721007 FAP720989:FAP721007 FKL720989:FKL721007 FUH720989:FUH721007 GED720989:GED721007 GNZ720989:GNZ721007 GXV720989:GXV721007 HHR720989:HHR721007 HRN720989:HRN721007 IBJ720989:IBJ721007 ILF720989:ILF721007 IVB720989:IVB721007 JEX720989:JEX721007 JOT720989:JOT721007 JYP720989:JYP721007 KIL720989:KIL721007 KSH720989:KSH721007 LCD720989:LCD721007 LLZ720989:LLZ721007 LVV720989:LVV721007 MFR720989:MFR721007 MPN720989:MPN721007 MZJ720989:MZJ721007 NJF720989:NJF721007 NTB720989:NTB721007 OCX720989:OCX721007 OMT720989:OMT721007 OWP720989:OWP721007 PGL720989:PGL721007 PQH720989:PQH721007 QAD720989:QAD721007 QJZ720989:QJZ721007 QTV720989:QTV721007 RDR720989:RDR721007 RNN720989:RNN721007 RXJ720989:RXJ721007 SHF720989:SHF721007 SRB720989:SRB721007 TAX720989:TAX721007 TKT720989:TKT721007 TUP720989:TUP721007 UEL720989:UEL721007 UOH720989:UOH721007 UYD720989:UYD721007 VHZ720989:VHZ721007 VRV720989:VRV721007 WBR720989:WBR721007 WLN720989:WLN721007 WVJ720989:WVJ721007 B786525:B786543 IX786525:IX786543 ST786525:ST786543 ACP786525:ACP786543 AML786525:AML786543 AWH786525:AWH786543 BGD786525:BGD786543 BPZ786525:BPZ786543 BZV786525:BZV786543 CJR786525:CJR786543 CTN786525:CTN786543 DDJ786525:DDJ786543 DNF786525:DNF786543 DXB786525:DXB786543 EGX786525:EGX786543 EQT786525:EQT786543 FAP786525:FAP786543 FKL786525:FKL786543 FUH786525:FUH786543 GED786525:GED786543 GNZ786525:GNZ786543 GXV786525:GXV786543 HHR786525:HHR786543 HRN786525:HRN786543 IBJ786525:IBJ786543 ILF786525:ILF786543 IVB786525:IVB786543 JEX786525:JEX786543 JOT786525:JOT786543 JYP786525:JYP786543 KIL786525:KIL786543 KSH786525:KSH786543 LCD786525:LCD786543 LLZ786525:LLZ786543 LVV786525:LVV786543 MFR786525:MFR786543 MPN786525:MPN786543 MZJ786525:MZJ786543 NJF786525:NJF786543 NTB786525:NTB786543 OCX786525:OCX786543 OMT786525:OMT786543 OWP786525:OWP786543 PGL786525:PGL786543 PQH786525:PQH786543 QAD786525:QAD786543 QJZ786525:QJZ786543 QTV786525:QTV786543 RDR786525:RDR786543 RNN786525:RNN786543 RXJ786525:RXJ786543 SHF786525:SHF786543 SRB786525:SRB786543 TAX786525:TAX786543 TKT786525:TKT786543 TUP786525:TUP786543 UEL786525:UEL786543 UOH786525:UOH786543 UYD786525:UYD786543 VHZ786525:VHZ786543 VRV786525:VRV786543 WBR786525:WBR786543 WLN786525:WLN786543 WVJ786525:WVJ786543 B852061:B852079 IX852061:IX852079 ST852061:ST852079 ACP852061:ACP852079 AML852061:AML852079 AWH852061:AWH852079 BGD852061:BGD852079 BPZ852061:BPZ852079 BZV852061:BZV852079 CJR852061:CJR852079 CTN852061:CTN852079 DDJ852061:DDJ852079 DNF852061:DNF852079 DXB852061:DXB852079 EGX852061:EGX852079 EQT852061:EQT852079 FAP852061:FAP852079 FKL852061:FKL852079 FUH852061:FUH852079 GED852061:GED852079 GNZ852061:GNZ852079 GXV852061:GXV852079 HHR852061:HHR852079 HRN852061:HRN852079 IBJ852061:IBJ852079 ILF852061:ILF852079 IVB852061:IVB852079 JEX852061:JEX852079 JOT852061:JOT852079 JYP852061:JYP852079 KIL852061:KIL852079 KSH852061:KSH852079 LCD852061:LCD852079 LLZ852061:LLZ852079 LVV852061:LVV852079 MFR852061:MFR852079 MPN852061:MPN852079 MZJ852061:MZJ852079 NJF852061:NJF852079 NTB852061:NTB852079 OCX852061:OCX852079 OMT852061:OMT852079 OWP852061:OWP852079 PGL852061:PGL852079 PQH852061:PQH852079 QAD852061:QAD852079 QJZ852061:QJZ852079 QTV852061:QTV852079 RDR852061:RDR852079 RNN852061:RNN852079 RXJ852061:RXJ852079 SHF852061:SHF852079 SRB852061:SRB852079 TAX852061:TAX852079 TKT852061:TKT852079 TUP852061:TUP852079 UEL852061:UEL852079 UOH852061:UOH852079 UYD852061:UYD852079 VHZ852061:VHZ852079 VRV852061:VRV852079 WBR852061:WBR852079 WLN852061:WLN852079 WVJ852061:WVJ852079 B917597:B917615 IX917597:IX917615 ST917597:ST917615 ACP917597:ACP917615 AML917597:AML917615 AWH917597:AWH917615 BGD917597:BGD917615 BPZ917597:BPZ917615 BZV917597:BZV917615 CJR917597:CJR917615 CTN917597:CTN917615 DDJ917597:DDJ917615 DNF917597:DNF917615 DXB917597:DXB917615 EGX917597:EGX917615 EQT917597:EQT917615 FAP917597:FAP917615 FKL917597:FKL917615 FUH917597:FUH917615 GED917597:GED917615 GNZ917597:GNZ917615 GXV917597:GXV917615 HHR917597:HHR917615 HRN917597:HRN917615 IBJ917597:IBJ917615 ILF917597:ILF917615 IVB917597:IVB917615 JEX917597:JEX917615 JOT917597:JOT917615 JYP917597:JYP917615 KIL917597:KIL917615 KSH917597:KSH917615 LCD917597:LCD917615 LLZ917597:LLZ917615 LVV917597:LVV917615 MFR917597:MFR917615 MPN917597:MPN917615 MZJ917597:MZJ917615 NJF917597:NJF917615 NTB917597:NTB917615 OCX917597:OCX917615 OMT917597:OMT917615 OWP917597:OWP917615 PGL917597:PGL917615 PQH917597:PQH917615 QAD917597:QAD917615 QJZ917597:QJZ917615 QTV917597:QTV917615 RDR917597:RDR917615 RNN917597:RNN917615 RXJ917597:RXJ917615 SHF917597:SHF917615 SRB917597:SRB917615 TAX917597:TAX917615 TKT917597:TKT917615 TUP917597:TUP917615 UEL917597:UEL917615 UOH917597:UOH917615 UYD917597:UYD917615 VHZ917597:VHZ917615 VRV917597:VRV917615 WBR917597:WBR917615 WLN917597:WLN917615 WVJ917597:WVJ917615 B983133:B983151 IX983133:IX983151 ST983133:ST983151 ACP983133:ACP983151 AML983133:AML983151 AWH983133:AWH983151 BGD983133:BGD983151 BPZ983133:BPZ983151 BZV983133:BZV983151 CJR983133:CJR983151 CTN983133:CTN983151 DDJ983133:DDJ983151 DNF983133:DNF983151 DXB983133:DXB983151 EGX983133:EGX983151 EQT983133:EQT983151 FAP983133:FAP983151 FKL983133:FKL983151 FUH983133:FUH983151 GED983133:GED983151 GNZ983133:GNZ983151 GXV983133:GXV983151 HHR983133:HHR983151 HRN983133:HRN983151 IBJ983133:IBJ983151 ILF983133:ILF983151 IVB983133:IVB983151 JEX983133:JEX983151 JOT983133:JOT983151 JYP983133:JYP983151 KIL983133:KIL983151 KSH983133:KSH983151 LCD983133:LCD983151 LLZ983133:LLZ983151 LVV983133:LVV983151 MFR983133:MFR983151 MPN983133:MPN983151 MZJ983133:MZJ983151 NJF983133:NJF983151 NTB983133:NTB983151 OCX983133:OCX983151 OMT983133:OMT983151 OWP983133:OWP983151 PGL983133:PGL983151 PQH983133:PQH983151 QAD983133:QAD983151 QJZ983133:QJZ983151 QTV983133:QTV983151 RDR983133:RDR983151 RNN983133:RNN983151 RXJ983133:RXJ983151 SHF983133:SHF983151 SRB983133:SRB983151 TAX983133:TAX983151 TKT983133:TKT983151 TUP983133:TUP983151 UEL983133:UEL983151 UOH983133:UOH983151 UYD983133:UYD983151 VHZ983133:VHZ983151 VRV983133:VRV983151 WBR983133:WBR983151 WLN983133:WLN983151 WVJ983133:WVJ983151 WVR983133:WVR983151 JF14:JF32 TB14:TB32 ACX14:ACX32 AMT14:AMT32 AWP14:AWP32 BGL14:BGL32 BQH14:BQH32 CAD14:CAD32 CJZ14:CJZ32 CTV14:CTV32 DDR14:DDR32 DNN14:DNN32 DXJ14:DXJ32 EHF14:EHF32 ERB14:ERB32 FAX14:FAX32 FKT14:FKT32 FUP14:FUP32 GEL14:GEL32 GOH14:GOH32 GYD14:GYD32 HHZ14:HHZ32 HRV14:HRV32 IBR14:IBR32 ILN14:ILN32 IVJ14:IVJ32 JFF14:JFF32 JPB14:JPB32 JYX14:JYX32 KIT14:KIT32 KSP14:KSP32 LCL14:LCL32 LMH14:LMH32 LWD14:LWD32 MFZ14:MFZ32 MPV14:MPV32 MZR14:MZR32 NJN14:NJN32 NTJ14:NTJ32 ODF14:ODF32 ONB14:ONB32 OWX14:OWX32 PGT14:PGT32 PQP14:PQP32 QAL14:QAL32 QKH14:QKH32 QUD14:QUD32 RDZ14:RDZ32 RNV14:RNV32 RXR14:RXR32 SHN14:SHN32 SRJ14:SRJ32 TBF14:TBF32 TLB14:TLB32 TUX14:TUX32 UET14:UET32 UOP14:UOP32 UYL14:UYL32 VIH14:VIH32 VSD14:VSD32 WBZ14:WBZ32 WLV14:WLV32 WVR14:WVR32 J65629:J65647 JF65629:JF65647 TB65629:TB65647 ACX65629:ACX65647 AMT65629:AMT65647 AWP65629:AWP65647 BGL65629:BGL65647 BQH65629:BQH65647 CAD65629:CAD65647 CJZ65629:CJZ65647 CTV65629:CTV65647 DDR65629:DDR65647 DNN65629:DNN65647 DXJ65629:DXJ65647 EHF65629:EHF65647 ERB65629:ERB65647 FAX65629:FAX65647 FKT65629:FKT65647 FUP65629:FUP65647 GEL65629:GEL65647 GOH65629:GOH65647 GYD65629:GYD65647 HHZ65629:HHZ65647 HRV65629:HRV65647 IBR65629:IBR65647 ILN65629:ILN65647 IVJ65629:IVJ65647 JFF65629:JFF65647 JPB65629:JPB65647 JYX65629:JYX65647 KIT65629:KIT65647 KSP65629:KSP65647 LCL65629:LCL65647 LMH65629:LMH65647 LWD65629:LWD65647 MFZ65629:MFZ65647 MPV65629:MPV65647 MZR65629:MZR65647 NJN65629:NJN65647 NTJ65629:NTJ65647 ODF65629:ODF65647 ONB65629:ONB65647 OWX65629:OWX65647 PGT65629:PGT65647 PQP65629:PQP65647 QAL65629:QAL65647 QKH65629:QKH65647 QUD65629:QUD65647 RDZ65629:RDZ65647 RNV65629:RNV65647 RXR65629:RXR65647 SHN65629:SHN65647 SRJ65629:SRJ65647 TBF65629:TBF65647 TLB65629:TLB65647 TUX65629:TUX65647 UET65629:UET65647 UOP65629:UOP65647 UYL65629:UYL65647 VIH65629:VIH65647 VSD65629:VSD65647 WBZ65629:WBZ65647 WLV65629:WLV65647 WVR65629:WVR65647 J131165:J131183 JF131165:JF131183 TB131165:TB131183 ACX131165:ACX131183 AMT131165:AMT131183 AWP131165:AWP131183 BGL131165:BGL131183 BQH131165:BQH131183 CAD131165:CAD131183 CJZ131165:CJZ131183 CTV131165:CTV131183 DDR131165:DDR131183 DNN131165:DNN131183 DXJ131165:DXJ131183 EHF131165:EHF131183 ERB131165:ERB131183 FAX131165:FAX131183 FKT131165:FKT131183 FUP131165:FUP131183 GEL131165:GEL131183 GOH131165:GOH131183 GYD131165:GYD131183 HHZ131165:HHZ131183 HRV131165:HRV131183 IBR131165:IBR131183 ILN131165:ILN131183 IVJ131165:IVJ131183 JFF131165:JFF131183 JPB131165:JPB131183 JYX131165:JYX131183 KIT131165:KIT131183 KSP131165:KSP131183 LCL131165:LCL131183 LMH131165:LMH131183 LWD131165:LWD131183 MFZ131165:MFZ131183 MPV131165:MPV131183 MZR131165:MZR131183 NJN131165:NJN131183 NTJ131165:NTJ131183 ODF131165:ODF131183 ONB131165:ONB131183 OWX131165:OWX131183 PGT131165:PGT131183 PQP131165:PQP131183 QAL131165:QAL131183 QKH131165:QKH131183 QUD131165:QUD131183 RDZ131165:RDZ131183 RNV131165:RNV131183 RXR131165:RXR131183 SHN131165:SHN131183 SRJ131165:SRJ131183 TBF131165:TBF131183 TLB131165:TLB131183 TUX131165:TUX131183 UET131165:UET131183 UOP131165:UOP131183 UYL131165:UYL131183 VIH131165:VIH131183 VSD131165:VSD131183 WBZ131165:WBZ131183 WLV131165:WLV131183 WVR131165:WVR131183 J196701:J196719 JF196701:JF196719 TB196701:TB196719 ACX196701:ACX196719 AMT196701:AMT196719 AWP196701:AWP196719 BGL196701:BGL196719 BQH196701:BQH196719 CAD196701:CAD196719 CJZ196701:CJZ196719 CTV196701:CTV196719 DDR196701:DDR196719 DNN196701:DNN196719 DXJ196701:DXJ196719 EHF196701:EHF196719 ERB196701:ERB196719 FAX196701:FAX196719 FKT196701:FKT196719 FUP196701:FUP196719 GEL196701:GEL196719 GOH196701:GOH196719 GYD196701:GYD196719 HHZ196701:HHZ196719 HRV196701:HRV196719 IBR196701:IBR196719 ILN196701:ILN196719 IVJ196701:IVJ196719 JFF196701:JFF196719 JPB196701:JPB196719 JYX196701:JYX196719 KIT196701:KIT196719 KSP196701:KSP196719 LCL196701:LCL196719 LMH196701:LMH196719 LWD196701:LWD196719 MFZ196701:MFZ196719 MPV196701:MPV196719 MZR196701:MZR196719 NJN196701:NJN196719 NTJ196701:NTJ196719 ODF196701:ODF196719 ONB196701:ONB196719 OWX196701:OWX196719 PGT196701:PGT196719 PQP196701:PQP196719 QAL196701:QAL196719 QKH196701:QKH196719 QUD196701:QUD196719 RDZ196701:RDZ196719 RNV196701:RNV196719 RXR196701:RXR196719 SHN196701:SHN196719 SRJ196701:SRJ196719 TBF196701:TBF196719 TLB196701:TLB196719 TUX196701:TUX196719 UET196701:UET196719 UOP196701:UOP196719 UYL196701:UYL196719 VIH196701:VIH196719 VSD196701:VSD196719 WBZ196701:WBZ196719 WLV196701:WLV196719 WVR196701:WVR196719 J262237:J262255 JF262237:JF262255 TB262237:TB262255 ACX262237:ACX262255 AMT262237:AMT262255 AWP262237:AWP262255 BGL262237:BGL262255 BQH262237:BQH262255 CAD262237:CAD262255 CJZ262237:CJZ262255 CTV262237:CTV262255 DDR262237:DDR262255 DNN262237:DNN262255 DXJ262237:DXJ262255 EHF262237:EHF262255 ERB262237:ERB262255 FAX262237:FAX262255 FKT262237:FKT262255 FUP262237:FUP262255 GEL262237:GEL262255 GOH262237:GOH262255 GYD262237:GYD262255 HHZ262237:HHZ262255 HRV262237:HRV262255 IBR262237:IBR262255 ILN262237:ILN262255 IVJ262237:IVJ262255 JFF262237:JFF262255 JPB262237:JPB262255 JYX262237:JYX262255 KIT262237:KIT262255 KSP262237:KSP262255 LCL262237:LCL262255 LMH262237:LMH262255 LWD262237:LWD262255 MFZ262237:MFZ262255 MPV262237:MPV262255 MZR262237:MZR262255 NJN262237:NJN262255 NTJ262237:NTJ262255 ODF262237:ODF262255 ONB262237:ONB262255 OWX262237:OWX262255 PGT262237:PGT262255 PQP262237:PQP262255 QAL262237:QAL262255 QKH262237:QKH262255 QUD262237:QUD262255 RDZ262237:RDZ262255 RNV262237:RNV262255 RXR262237:RXR262255 SHN262237:SHN262255 SRJ262237:SRJ262255 TBF262237:TBF262255 TLB262237:TLB262255 TUX262237:TUX262255 UET262237:UET262255 UOP262237:UOP262255 UYL262237:UYL262255 VIH262237:VIH262255 VSD262237:VSD262255 WBZ262237:WBZ262255 WLV262237:WLV262255 WVR262237:WVR262255 J327773:J327791 JF327773:JF327791 TB327773:TB327791 ACX327773:ACX327791 AMT327773:AMT327791 AWP327773:AWP327791 BGL327773:BGL327791 BQH327773:BQH327791 CAD327773:CAD327791 CJZ327773:CJZ327791 CTV327773:CTV327791 DDR327773:DDR327791 DNN327773:DNN327791 DXJ327773:DXJ327791 EHF327773:EHF327791 ERB327773:ERB327791 FAX327773:FAX327791 FKT327773:FKT327791 FUP327773:FUP327791 GEL327773:GEL327791 GOH327773:GOH327791 GYD327773:GYD327791 HHZ327773:HHZ327791 HRV327773:HRV327791 IBR327773:IBR327791 ILN327773:ILN327791 IVJ327773:IVJ327791 JFF327773:JFF327791 JPB327773:JPB327791 JYX327773:JYX327791 KIT327773:KIT327791 KSP327773:KSP327791 LCL327773:LCL327791 LMH327773:LMH327791 LWD327773:LWD327791 MFZ327773:MFZ327791 MPV327773:MPV327791 MZR327773:MZR327791 NJN327773:NJN327791 NTJ327773:NTJ327791 ODF327773:ODF327791 ONB327773:ONB327791 OWX327773:OWX327791 PGT327773:PGT327791 PQP327773:PQP327791 QAL327773:QAL327791 QKH327773:QKH327791 QUD327773:QUD327791 RDZ327773:RDZ327791 RNV327773:RNV327791 RXR327773:RXR327791 SHN327773:SHN327791 SRJ327773:SRJ327791 TBF327773:TBF327791 TLB327773:TLB327791 TUX327773:TUX327791 UET327773:UET327791 UOP327773:UOP327791 UYL327773:UYL327791 VIH327773:VIH327791 VSD327773:VSD327791 WBZ327773:WBZ327791 WLV327773:WLV327791 WVR327773:WVR327791 J393309:J393327 JF393309:JF393327 TB393309:TB393327 ACX393309:ACX393327 AMT393309:AMT393327 AWP393309:AWP393327 BGL393309:BGL393327 BQH393309:BQH393327 CAD393309:CAD393327 CJZ393309:CJZ393327 CTV393309:CTV393327 DDR393309:DDR393327 DNN393309:DNN393327 DXJ393309:DXJ393327 EHF393309:EHF393327 ERB393309:ERB393327 FAX393309:FAX393327 FKT393309:FKT393327 FUP393309:FUP393327 GEL393309:GEL393327 GOH393309:GOH393327 GYD393309:GYD393327 HHZ393309:HHZ393327 HRV393309:HRV393327 IBR393309:IBR393327 ILN393309:ILN393327 IVJ393309:IVJ393327 JFF393309:JFF393327 JPB393309:JPB393327 JYX393309:JYX393327 KIT393309:KIT393327 KSP393309:KSP393327 LCL393309:LCL393327 LMH393309:LMH393327 LWD393309:LWD393327 MFZ393309:MFZ393327 MPV393309:MPV393327 MZR393309:MZR393327 NJN393309:NJN393327 NTJ393309:NTJ393327 ODF393309:ODF393327 ONB393309:ONB393327 OWX393309:OWX393327 PGT393309:PGT393327 PQP393309:PQP393327 QAL393309:QAL393327 QKH393309:QKH393327 QUD393309:QUD393327 RDZ393309:RDZ393327 RNV393309:RNV393327 RXR393309:RXR393327 SHN393309:SHN393327 SRJ393309:SRJ393327 TBF393309:TBF393327 TLB393309:TLB393327 TUX393309:TUX393327 UET393309:UET393327 UOP393309:UOP393327 UYL393309:UYL393327 VIH393309:VIH393327 VSD393309:VSD393327 WBZ393309:WBZ393327 WLV393309:WLV393327 WVR393309:WVR393327 J458845:J458863 JF458845:JF458863 TB458845:TB458863 ACX458845:ACX458863 AMT458845:AMT458863 AWP458845:AWP458863 BGL458845:BGL458863 BQH458845:BQH458863 CAD458845:CAD458863 CJZ458845:CJZ458863 CTV458845:CTV458863 DDR458845:DDR458863 DNN458845:DNN458863 DXJ458845:DXJ458863 EHF458845:EHF458863 ERB458845:ERB458863 FAX458845:FAX458863 FKT458845:FKT458863 FUP458845:FUP458863 GEL458845:GEL458863 GOH458845:GOH458863 GYD458845:GYD458863 HHZ458845:HHZ458863 HRV458845:HRV458863 IBR458845:IBR458863 ILN458845:ILN458863 IVJ458845:IVJ458863 JFF458845:JFF458863 JPB458845:JPB458863 JYX458845:JYX458863 KIT458845:KIT458863 KSP458845:KSP458863 LCL458845:LCL458863 LMH458845:LMH458863 LWD458845:LWD458863 MFZ458845:MFZ458863 MPV458845:MPV458863 MZR458845:MZR458863 NJN458845:NJN458863 NTJ458845:NTJ458863 ODF458845:ODF458863 ONB458845:ONB458863 OWX458845:OWX458863 PGT458845:PGT458863 PQP458845:PQP458863 QAL458845:QAL458863 QKH458845:QKH458863 QUD458845:QUD458863 RDZ458845:RDZ458863 RNV458845:RNV458863 RXR458845:RXR458863 SHN458845:SHN458863 SRJ458845:SRJ458863 TBF458845:TBF458863 TLB458845:TLB458863 TUX458845:TUX458863 UET458845:UET458863 UOP458845:UOP458863 UYL458845:UYL458863 VIH458845:VIH458863 VSD458845:VSD458863 WBZ458845:WBZ458863 WLV458845:WLV458863 WVR458845:WVR458863 J524381:J524399 JF524381:JF524399 TB524381:TB524399 ACX524381:ACX524399 AMT524381:AMT524399 AWP524381:AWP524399 BGL524381:BGL524399 BQH524381:BQH524399 CAD524381:CAD524399 CJZ524381:CJZ524399 CTV524381:CTV524399 DDR524381:DDR524399 DNN524381:DNN524399 DXJ524381:DXJ524399 EHF524381:EHF524399 ERB524381:ERB524399 FAX524381:FAX524399 FKT524381:FKT524399 FUP524381:FUP524399 GEL524381:GEL524399 GOH524381:GOH524399 GYD524381:GYD524399 HHZ524381:HHZ524399 HRV524381:HRV524399 IBR524381:IBR524399 ILN524381:ILN524399 IVJ524381:IVJ524399 JFF524381:JFF524399 JPB524381:JPB524399 JYX524381:JYX524399 KIT524381:KIT524399 KSP524381:KSP524399 LCL524381:LCL524399 LMH524381:LMH524399 LWD524381:LWD524399 MFZ524381:MFZ524399 MPV524381:MPV524399 MZR524381:MZR524399 NJN524381:NJN524399 NTJ524381:NTJ524399 ODF524381:ODF524399 ONB524381:ONB524399 OWX524381:OWX524399 PGT524381:PGT524399 PQP524381:PQP524399 QAL524381:QAL524399 QKH524381:QKH524399 QUD524381:QUD524399 RDZ524381:RDZ524399 RNV524381:RNV524399 RXR524381:RXR524399 SHN524381:SHN524399 SRJ524381:SRJ524399 TBF524381:TBF524399 TLB524381:TLB524399 TUX524381:TUX524399 UET524381:UET524399 UOP524381:UOP524399 UYL524381:UYL524399 VIH524381:VIH524399 VSD524381:VSD524399 WBZ524381:WBZ524399 WLV524381:WLV524399 WVR524381:WVR524399 J589917:J589935 JF589917:JF589935 TB589917:TB589935 ACX589917:ACX589935 AMT589917:AMT589935 AWP589917:AWP589935 BGL589917:BGL589935 BQH589917:BQH589935 CAD589917:CAD589935 CJZ589917:CJZ589935 CTV589917:CTV589935 DDR589917:DDR589935 DNN589917:DNN589935 DXJ589917:DXJ589935 EHF589917:EHF589935 ERB589917:ERB589935 FAX589917:FAX589935 FKT589917:FKT589935 FUP589917:FUP589935 GEL589917:GEL589935 GOH589917:GOH589935 GYD589917:GYD589935 HHZ589917:HHZ589935 HRV589917:HRV589935 IBR589917:IBR589935 ILN589917:ILN589935 IVJ589917:IVJ589935 JFF589917:JFF589935 JPB589917:JPB589935 JYX589917:JYX589935 KIT589917:KIT589935 KSP589917:KSP589935 LCL589917:LCL589935 LMH589917:LMH589935 LWD589917:LWD589935 MFZ589917:MFZ589935 MPV589917:MPV589935 MZR589917:MZR589935 NJN589917:NJN589935 NTJ589917:NTJ589935 ODF589917:ODF589935 ONB589917:ONB589935 OWX589917:OWX589935 PGT589917:PGT589935 PQP589917:PQP589935 QAL589917:QAL589935 QKH589917:QKH589935 QUD589917:QUD589935 RDZ589917:RDZ589935 RNV589917:RNV589935 RXR589917:RXR589935 SHN589917:SHN589935 SRJ589917:SRJ589935 TBF589917:TBF589935 TLB589917:TLB589935 TUX589917:TUX589935 UET589917:UET589935 UOP589917:UOP589935 UYL589917:UYL589935 VIH589917:VIH589935 VSD589917:VSD589935 WBZ589917:WBZ589935 WLV589917:WLV589935 WVR589917:WVR589935 J655453:J655471 JF655453:JF655471 TB655453:TB655471 ACX655453:ACX655471 AMT655453:AMT655471 AWP655453:AWP655471 BGL655453:BGL655471 BQH655453:BQH655471 CAD655453:CAD655471 CJZ655453:CJZ655471 CTV655453:CTV655471 DDR655453:DDR655471 DNN655453:DNN655471 DXJ655453:DXJ655471 EHF655453:EHF655471 ERB655453:ERB655471 FAX655453:FAX655471 FKT655453:FKT655471 FUP655453:FUP655471 GEL655453:GEL655471 GOH655453:GOH655471 GYD655453:GYD655471 HHZ655453:HHZ655471 HRV655453:HRV655471 IBR655453:IBR655471 ILN655453:ILN655471 IVJ655453:IVJ655471 JFF655453:JFF655471 JPB655453:JPB655471 JYX655453:JYX655471 KIT655453:KIT655471 KSP655453:KSP655471 LCL655453:LCL655471 LMH655453:LMH655471 LWD655453:LWD655471 MFZ655453:MFZ655471 MPV655453:MPV655471 MZR655453:MZR655471 NJN655453:NJN655471 NTJ655453:NTJ655471 ODF655453:ODF655471 ONB655453:ONB655471 OWX655453:OWX655471 PGT655453:PGT655471 PQP655453:PQP655471 QAL655453:QAL655471 QKH655453:QKH655471 QUD655453:QUD655471 RDZ655453:RDZ655471 RNV655453:RNV655471 RXR655453:RXR655471 SHN655453:SHN655471 SRJ655453:SRJ655471 TBF655453:TBF655471 TLB655453:TLB655471 TUX655453:TUX655471 UET655453:UET655471 UOP655453:UOP655471 UYL655453:UYL655471 VIH655453:VIH655471 VSD655453:VSD655471 WBZ655453:WBZ655471 WLV655453:WLV655471 WVR655453:WVR655471 J720989:J721007 JF720989:JF721007 TB720989:TB721007 ACX720989:ACX721007 AMT720989:AMT721007 AWP720989:AWP721007 BGL720989:BGL721007 BQH720989:BQH721007 CAD720989:CAD721007 CJZ720989:CJZ721007 CTV720989:CTV721007 DDR720989:DDR721007 DNN720989:DNN721007 DXJ720989:DXJ721007 EHF720989:EHF721007 ERB720989:ERB721007 FAX720989:FAX721007 FKT720989:FKT721007 FUP720989:FUP721007 GEL720989:GEL721007 GOH720989:GOH721007 GYD720989:GYD721007 HHZ720989:HHZ721007 HRV720989:HRV721007 IBR720989:IBR721007 ILN720989:ILN721007 IVJ720989:IVJ721007 JFF720989:JFF721007 JPB720989:JPB721007 JYX720989:JYX721007 KIT720989:KIT721007 KSP720989:KSP721007 LCL720989:LCL721007 LMH720989:LMH721007 LWD720989:LWD721007 MFZ720989:MFZ721007 MPV720989:MPV721007 MZR720989:MZR721007 NJN720989:NJN721007 NTJ720989:NTJ721007 ODF720989:ODF721007 ONB720989:ONB721007 OWX720989:OWX721007 PGT720989:PGT721007 PQP720989:PQP721007 QAL720989:QAL721007 QKH720989:QKH721007 QUD720989:QUD721007 RDZ720989:RDZ721007 RNV720989:RNV721007 RXR720989:RXR721007 SHN720989:SHN721007 SRJ720989:SRJ721007 TBF720989:TBF721007 TLB720989:TLB721007 TUX720989:TUX721007 UET720989:UET721007 UOP720989:UOP721007 UYL720989:UYL721007 VIH720989:VIH721007 VSD720989:VSD721007 WBZ720989:WBZ721007 WLV720989:WLV721007 WVR720989:WVR721007 J786525:J786543 JF786525:JF786543 TB786525:TB786543 ACX786525:ACX786543 AMT786525:AMT786543 AWP786525:AWP786543 BGL786525:BGL786543 BQH786525:BQH786543 CAD786525:CAD786543 CJZ786525:CJZ786543 CTV786525:CTV786543 DDR786525:DDR786543 DNN786525:DNN786543 DXJ786525:DXJ786543 EHF786525:EHF786543 ERB786525:ERB786543 FAX786525:FAX786543 FKT786525:FKT786543 FUP786525:FUP786543 GEL786525:GEL786543 GOH786525:GOH786543 GYD786525:GYD786543 HHZ786525:HHZ786543 HRV786525:HRV786543 IBR786525:IBR786543 ILN786525:ILN786543 IVJ786525:IVJ786543 JFF786525:JFF786543 JPB786525:JPB786543 JYX786525:JYX786543 KIT786525:KIT786543 KSP786525:KSP786543 LCL786525:LCL786543 LMH786525:LMH786543 LWD786525:LWD786543 MFZ786525:MFZ786543 MPV786525:MPV786543 MZR786525:MZR786543 NJN786525:NJN786543 NTJ786525:NTJ786543 ODF786525:ODF786543 ONB786525:ONB786543 OWX786525:OWX786543 PGT786525:PGT786543 PQP786525:PQP786543 QAL786525:QAL786543 QKH786525:QKH786543 QUD786525:QUD786543 RDZ786525:RDZ786543 RNV786525:RNV786543 RXR786525:RXR786543 SHN786525:SHN786543 SRJ786525:SRJ786543 TBF786525:TBF786543 TLB786525:TLB786543 TUX786525:TUX786543 UET786525:UET786543 UOP786525:UOP786543 UYL786525:UYL786543 VIH786525:VIH786543 VSD786525:VSD786543 WBZ786525:WBZ786543 WLV786525:WLV786543 WVR786525:WVR786543 J852061:J852079 JF852061:JF852079 TB852061:TB852079 ACX852061:ACX852079 AMT852061:AMT852079 AWP852061:AWP852079 BGL852061:BGL852079 BQH852061:BQH852079 CAD852061:CAD852079 CJZ852061:CJZ852079 CTV852061:CTV852079 DDR852061:DDR852079 DNN852061:DNN852079 DXJ852061:DXJ852079 EHF852061:EHF852079 ERB852061:ERB852079 FAX852061:FAX852079 FKT852061:FKT852079 FUP852061:FUP852079 GEL852061:GEL852079 GOH852061:GOH852079 GYD852061:GYD852079 HHZ852061:HHZ852079 HRV852061:HRV852079 IBR852061:IBR852079 ILN852061:ILN852079 IVJ852061:IVJ852079 JFF852061:JFF852079 JPB852061:JPB852079 JYX852061:JYX852079 KIT852061:KIT852079 KSP852061:KSP852079 LCL852061:LCL852079 LMH852061:LMH852079 LWD852061:LWD852079 MFZ852061:MFZ852079 MPV852061:MPV852079 MZR852061:MZR852079 NJN852061:NJN852079 NTJ852061:NTJ852079 ODF852061:ODF852079 ONB852061:ONB852079 OWX852061:OWX852079 PGT852061:PGT852079 PQP852061:PQP852079 QAL852061:QAL852079 QKH852061:QKH852079 QUD852061:QUD852079 RDZ852061:RDZ852079 RNV852061:RNV852079 RXR852061:RXR852079 SHN852061:SHN852079 SRJ852061:SRJ852079 TBF852061:TBF852079 TLB852061:TLB852079 TUX852061:TUX852079 UET852061:UET852079 UOP852061:UOP852079 UYL852061:UYL852079 VIH852061:VIH852079 VSD852061:VSD852079 WBZ852061:WBZ852079 WLV852061:WLV852079 WVR852061:WVR852079 J917597:J917615 JF917597:JF917615 TB917597:TB917615 ACX917597:ACX917615 AMT917597:AMT917615 AWP917597:AWP917615 BGL917597:BGL917615 BQH917597:BQH917615 CAD917597:CAD917615 CJZ917597:CJZ917615 CTV917597:CTV917615 DDR917597:DDR917615 DNN917597:DNN917615 DXJ917597:DXJ917615 EHF917597:EHF917615 ERB917597:ERB917615 FAX917597:FAX917615 FKT917597:FKT917615 FUP917597:FUP917615 GEL917597:GEL917615 GOH917597:GOH917615 GYD917597:GYD917615 HHZ917597:HHZ917615 HRV917597:HRV917615 IBR917597:IBR917615 ILN917597:ILN917615 IVJ917597:IVJ917615 JFF917597:JFF917615 JPB917597:JPB917615 JYX917597:JYX917615 KIT917597:KIT917615 KSP917597:KSP917615 LCL917597:LCL917615 LMH917597:LMH917615 LWD917597:LWD917615 MFZ917597:MFZ917615 MPV917597:MPV917615 MZR917597:MZR917615 NJN917597:NJN917615 NTJ917597:NTJ917615 ODF917597:ODF917615 ONB917597:ONB917615 OWX917597:OWX917615 PGT917597:PGT917615 PQP917597:PQP917615 QAL917597:QAL917615 QKH917597:QKH917615 QUD917597:QUD917615 RDZ917597:RDZ917615 RNV917597:RNV917615 RXR917597:RXR917615 SHN917597:SHN917615 SRJ917597:SRJ917615 TBF917597:TBF917615 TLB917597:TLB917615 TUX917597:TUX917615 UET917597:UET917615 UOP917597:UOP917615 UYL917597:UYL917615 VIH917597:VIH917615 VSD917597:VSD917615 WBZ917597:WBZ917615 WLV917597:WLV917615 WVR917597:WVR917615 J983133:J983151 JF983133:JF983151 TB983133:TB983151 ACX983133:ACX983151 AMT983133:AMT983151 AWP983133:AWP983151 BGL983133:BGL983151 BQH983133:BQH983151 CAD983133:CAD983151 CJZ983133:CJZ983151 CTV983133:CTV983151 DDR983133:DDR983151 DNN983133:DNN983151 DXJ983133:DXJ983151 EHF983133:EHF983151 ERB983133:ERB983151 FAX983133:FAX983151 FKT983133:FKT983151 FUP983133:FUP983151 GEL983133:GEL983151 GOH983133:GOH983151 GYD983133:GYD983151 HHZ983133:HHZ983151 HRV983133:HRV983151 IBR983133:IBR983151 ILN983133:ILN983151 IVJ983133:IVJ983151 JFF983133:JFF983151 JPB983133:JPB983151 JYX983133:JYX983151 KIT983133:KIT983151 KSP983133:KSP983151 LCL983133:LCL983151 LMH983133:LMH983151 LWD983133:LWD983151 MFZ983133:MFZ983151 MPV983133:MPV983151 MZR983133:MZR983151 NJN983133:NJN983151 NTJ983133:NTJ983151 ODF983133:ODF983151 ONB983133:ONB983151 OWX983133:OWX983151 PGT983133:PGT983151 PQP983133:PQP983151 QAL983133:QAL983151 QKH983133:QKH983151 QUD983133:QUD983151 RDZ983133:RDZ983151 RNV983133:RNV983151 RXR983133:RXR983151 SHN983133:SHN983151 SRJ983133:SRJ983151 TBF983133:TBF983151 TLB983133:TLB983151 TUX983133:TUX983151 UET983133:UET983151 UOP983133:UOP983151 UYL983133:UYL983151 VIH983133:VIH983151 VSD983133:VSD983151 WBZ983133:WBZ983151 WLV983133:WLV983151 J14:J32 B14:B32" xr:uid="{4B28E9BC-D79D-400D-A934-7FB11034B94F}">
      <formula1>4</formula1>
    </dataValidation>
  </dataValidations>
  <hyperlinks>
    <hyperlink ref="B1:P1" location="Index!A1" display="Index!A1" xr:uid="{331EBF32-1FAD-45BB-9B52-2D5BB7326A2D}"/>
  </hyperlinks>
  <pageMargins left="0.6" right="0.6" top="0.5" bottom="0.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7">
    <pageSetUpPr fitToPage="1"/>
  </sheetPr>
  <dimension ref="A1:Z173"/>
  <sheetViews>
    <sheetView showGridLines="0" zoomScaleNormal="100" workbookViewId="0">
      <selection activeCell="A2" sqref="A2:Q2"/>
    </sheetView>
  </sheetViews>
  <sheetFormatPr defaultRowHeight="15.75" x14ac:dyDescent="0.25"/>
  <cols>
    <col min="1" max="1" width="11.5703125" style="1145" customWidth="1"/>
    <col min="2" max="2" width="1.5703125" style="1145" customWidth="1"/>
    <col min="3" max="3" width="15.42578125" style="1145" customWidth="1"/>
    <col min="4" max="4" width="1.5703125" style="1145" customWidth="1"/>
    <col min="5" max="5" width="24" style="1145" customWidth="1"/>
    <col min="6" max="6" width="1.5703125" style="1145" customWidth="1"/>
    <col min="7" max="7" width="17.42578125" style="1145" customWidth="1"/>
    <col min="8" max="8" width="1.5703125" style="1145" customWidth="1"/>
    <col min="9" max="9" width="18.42578125" style="1145" customWidth="1"/>
    <col min="10" max="10" width="1.5703125" style="1145" customWidth="1"/>
    <col min="11" max="11" width="32.42578125" style="1145" customWidth="1"/>
    <col min="12" max="12" width="2.42578125" style="1145" customWidth="1"/>
    <col min="13" max="13" width="14.5703125" style="1145" customWidth="1"/>
    <col min="14" max="14" width="3" style="1145" customWidth="1"/>
    <col min="15" max="15" width="11" style="1145" customWidth="1"/>
    <col min="16" max="16" width="2.42578125" style="1145" customWidth="1"/>
    <col min="17" max="17" width="10.42578125" style="1145" customWidth="1"/>
    <col min="18" max="18" width="16.140625" style="1145" customWidth="1"/>
    <col min="19" max="19" width="7" style="1145" hidden="1" customWidth="1"/>
    <col min="20" max="20" width="2" style="1145" hidden="1" customWidth="1"/>
    <col min="21" max="24" width="7" style="1145" hidden="1" customWidth="1"/>
    <col min="25" max="25" width="6.42578125" style="1145" hidden="1" customWidth="1"/>
    <col min="26" max="26" width="9.42578125" style="1145" hidden="1" customWidth="1"/>
    <col min="27" max="263" width="9.42578125" style="1145"/>
    <col min="264" max="264" width="0" style="1145" hidden="1" customWidth="1"/>
    <col min="265" max="265" width="15.42578125" style="1145" customWidth="1"/>
    <col min="266" max="266" width="1.5703125" style="1145" customWidth="1"/>
    <col min="267" max="267" width="22.5703125" style="1145" customWidth="1"/>
    <col min="268" max="268" width="1.5703125" style="1145" customWidth="1"/>
    <col min="269" max="269" width="17.42578125" style="1145" customWidth="1"/>
    <col min="270" max="270" width="1.5703125" style="1145" customWidth="1"/>
    <col min="271" max="271" width="14.42578125" style="1145" customWidth="1"/>
    <col min="272" max="272" width="1.5703125" style="1145" customWidth="1"/>
    <col min="273" max="273" width="28.5703125" style="1145" customWidth="1"/>
    <col min="274" max="274" width="4.5703125" style="1145" customWidth="1"/>
    <col min="275" max="281" width="0" style="1145" hidden="1" customWidth="1"/>
    <col min="282" max="519" width="9.42578125" style="1145"/>
    <col min="520" max="520" width="0" style="1145" hidden="1" customWidth="1"/>
    <col min="521" max="521" width="15.42578125" style="1145" customWidth="1"/>
    <col min="522" max="522" width="1.5703125" style="1145" customWidth="1"/>
    <col min="523" max="523" width="22.5703125" style="1145" customWidth="1"/>
    <col min="524" max="524" width="1.5703125" style="1145" customWidth="1"/>
    <col min="525" max="525" width="17.42578125" style="1145" customWidth="1"/>
    <col min="526" max="526" width="1.5703125" style="1145" customWidth="1"/>
    <col min="527" max="527" width="14.42578125" style="1145" customWidth="1"/>
    <col min="528" max="528" width="1.5703125" style="1145" customWidth="1"/>
    <col min="529" max="529" width="28.5703125" style="1145" customWidth="1"/>
    <col min="530" max="530" width="4.5703125" style="1145" customWidth="1"/>
    <col min="531" max="537" width="0" style="1145" hidden="1" customWidth="1"/>
    <col min="538" max="775" width="9.42578125" style="1145"/>
    <col min="776" max="776" width="0" style="1145" hidden="1" customWidth="1"/>
    <col min="777" max="777" width="15.42578125" style="1145" customWidth="1"/>
    <col min="778" max="778" width="1.5703125" style="1145" customWidth="1"/>
    <col min="779" max="779" width="22.5703125" style="1145" customWidth="1"/>
    <col min="780" max="780" width="1.5703125" style="1145" customWidth="1"/>
    <col min="781" max="781" width="17.42578125" style="1145" customWidth="1"/>
    <col min="782" max="782" width="1.5703125" style="1145" customWidth="1"/>
    <col min="783" max="783" width="14.42578125" style="1145" customWidth="1"/>
    <col min="784" max="784" width="1.5703125" style="1145" customWidth="1"/>
    <col min="785" max="785" width="28.5703125" style="1145" customWidth="1"/>
    <col min="786" max="786" width="4.5703125" style="1145" customWidth="1"/>
    <col min="787" max="793" width="0" style="1145" hidden="1" customWidth="1"/>
    <col min="794" max="1031" width="9.42578125" style="1145"/>
    <col min="1032" max="1032" width="0" style="1145" hidden="1" customWidth="1"/>
    <col min="1033" max="1033" width="15.42578125" style="1145" customWidth="1"/>
    <col min="1034" max="1034" width="1.5703125" style="1145" customWidth="1"/>
    <col min="1035" max="1035" width="22.5703125" style="1145" customWidth="1"/>
    <col min="1036" max="1036" width="1.5703125" style="1145" customWidth="1"/>
    <col min="1037" max="1037" width="17.42578125" style="1145" customWidth="1"/>
    <col min="1038" max="1038" width="1.5703125" style="1145" customWidth="1"/>
    <col min="1039" max="1039" width="14.42578125" style="1145" customWidth="1"/>
    <col min="1040" max="1040" width="1.5703125" style="1145" customWidth="1"/>
    <col min="1041" max="1041" width="28.5703125" style="1145" customWidth="1"/>
    <col min="1042" max="1042" width="4.5703125" style="1145" customWidth="1"/>
    <col min="1043" max="1049" width="0" style="1145" hidden="1" customWidth="1"/>
    <col min="1050" max="1287" width="9.42578125" style="1145"/>
    <col min="1288" max="1288" width="0" style="1145" hidden="1" customWidth="1"/>
    <col min="1289" max="1289" width="15.42578125" style="1145" customWidth="1"/>
    <col min="1290" max="1290" width="1.5703125" style="1145" customWidth="1"/>
    <col min="1291" max="1291" width="22.5703125" style="1145" customWidth="1"/>
    <col min="1292" max="1292" width="1.5703125" style="1145" customWidth="1"/>
    <col min="1293" max="1293" width="17.42578125" style="1145" customWidth="1"/>
    <col min="1294" max="1294" width="1.5703125" style="1145" customWidth="1"/>
    <col min="1295" max="1295" width="14.42578125" style="1145" customWidth="1"/>
    <col min="1296" max="1296" width="1.5703125" style="1145" customWidth="1"/>
    <col min="1297" max="1297" width="28.5703125" style="1145" customWidth="1"/>
    <col min="1298" max="1298" width="4.5703125" style="1145" customWidth="1"/>
    <col min="1299" max="1305" width="0" style="1145" hidden="1" customWidth="1"/>
    <col min="1306" max="1543" width="9.42578125" style="1145"/>
    <col min="1544" max="1544" width="0" style="1145" hidden="1" customWidth="1"/>
    <col min="1545" max="1545" width="15.42578125" style="1145" customWidth="1"/>
    <col min="1546" max="1546" width="1.5703125" style="1145" customWidth="1"/>
    <col min="1547" max="1547" width="22.5703125" style="1145" customWidth="1"/>
    <col min="1548" max="1548" width="1.5703125" style="1145" customWidth="1"/>
    <col min="1549" max="1549" width="17.42578125" style="1145" customWidth="1"/>
    <col min="1550" max="1550" width="1.5703125" style="1145" customWidth="1"/>
    <col min="1551" max="1551" width="14.42578125" style="1145" customWidth="1"/>
    <col min="1552" max="1552" width="1.5703125" style="1145" customWidth="1"/>
    <col min="1553" max="1553" width="28.5703125" style="1145" customWidth="1"/>
    <col min="1554" max="1554" width="4.5703125" style="1145" customWidth="1"/>
    <col min="1555" max="1561" width="0" style="1145" hidden="1" customWidth="1"/>
    <col min="1562" max="1799" width="9.42578125" style="1145"/>
    <col min="1800" max="1800" width="0" style="1145" hidden="1" customWidth="1"/>
    <col min="1801" max="1801" width="15.42578125" style="1145" customWidth="1"/>
    <col min="1802" max="1802" width="1.5703125" style="1145" customWidth="1"/>
    <col min="1803" max="1803" width="22.5703125" style="1145" customWidth="1"/>
    <col min="1804" max="1804" width="1.5703125" style="1145" customWidth="1"/>
    <col min="1805" max="1805" width="17.42578125" style="1145" customWidth="1"/>
    <col min="1806" max="1806" width="1.5703125" style="1145" customWidth="1"/>
    <col min="1807" max="1807" width="14.42578125" style="1145" customWidth="1"/>
    <col min="1808" max="1808" width="1.5703125" style="1145" customWidth="1"/>
    <col min="1809" max="1809" width="28.5703125" style="1145" customWidth="1"/>
    <col min="1810" max="1810" width="4.5703125" style="1145" customWidth="1"/>
    <col min="1811" max="1817" width="0" style="1145" hidden="1" customWidth="1"/>
    <col min="1818" max="2055" width="9.42578125" style="1145"/>
    <col min="2056" max="2056" width="0" style="1145" hidden="1" customWidth="1"/>
    <col min="2057" max="2057" width="15.42578125" style="1145" customWidth="1"/>
    <col min="2058" max="2058" width="1.5703125" style="1145" customWidth="1"/>
    <col min="2059" max="2059" width="22.5703125" style="1145" customWidth="1"/>
    <col min="2060" max="2060" width="1.5703125" style="1145" customWidth="1"/>
    <col min="2061" max="2061" width="17.42578125" style="1145" customWidth="1"/>
    <col min="2062" max="2062" width="1.5703125" style="1145" customWidth="1"/>
    <col min="2063" max="2063" width="14.42578125" style="1145" customWidth="1"/>
    <col min="2064" max="2064" width="1.5703125" style="1145" customWidth="1"/>
    <col min="2065" max="2065" width="28.5703125" style="1145" customWidth="1"/>
    <col min="2066" max="2066" width="4.5703125" style="1145" customWidth="1"/>
    <col min="2067" max="2073" width="0" style="1145" hidden="1" customWidth="1"/>
    <col min="2074" max="2311" width="9.42578125" style="1145"/>
    <col min="2312" max="2312" width="0" style="1145" hidden="1" customWidth="1"/>
    <col min="2313" max="2313" width="15.42578125" style="1145" customWidth="1"/>
    <col min="2314" max="2314" width="1.5703125" style="1145" customWidth="1"/>
    <col min="2315" max="2315" width="22.5703125" style="1145" customWidth="1"/>
    <col min="2316" max="2316" width="1.5703125" style="1145" customWidth="1"/>
    <col min="2317" max="2317" width="17.42578125" style="1145" customWidth="1"/>
    <col min="2318" max="2318" width="1.5703125" style="1145" customWidth="1"/>
    <col min="2319" max="2319" width="14.42578125" style="1145" customWidth="1"/>
    <col min="2320" max="2320" width="1.5703125" style="1145" customWidth="1"/>
    <col min="2321" max="2321" width="28.5703125" style="1145" customWidth="1"/>
    <col min="2322" max="2322" width="4.5703125" style="1145" customWidth="1"/>
    <col min="2323" max="2329" width="0" style="1145" hidden="1" customWidth="1"/>
    <col min="2330" max="2567" width="9.42578125" style="1145"/>
    <col min="2568" max="2568" width="0" style="1145" hidden="1" customWidth="1"/>
    <col min="2569" max="2569" width="15.42578125" style="1145" customWidth="1"/>
    <col min="2570" max="2570" width="1.5703125" style="1145" customWidth="1"/>
    <col min="2571" max="2571" width="22.5703125" style="1145" customWidth="1"/>
    <col min="2572" max="2572" width="1.5703125" style="1145" customWidth="1"/>
    <col min="2573" max="2573" width="17.42578125" style="1145" customWidth="1"/>
    <col min="2574" max="2574" width="1.5703125" style="1145" customWidth="1"/>
    <col min="2575" max="2575" width="14.42578125" style="1145" customWidth="1"/>
    <col min="2576" max="2576" width="1.5703125" style="1145" customWidth="1"/>
    <col min="2577" max="2577" width="28.5703125" style="1145" customWidth="1"/>
    <col min="2578" max="2578" width="4.5703125" style="1145" customWidth="1"/>
    <col min="2579" max="2585" width="0" style="1145" hidden="1" customWidth="1"/>
    <col min="2586" max="2823" width="9.42578125" style="1145"/>
    <col min="2824" max="2824" width="0" style="1145" hidden="1" customWidth="1"/>
    <col min="2825" max="2825" width="15.42578125" style="1145" customWidth="1"/>
    <col min="2826" max="2826" width="1.5703125" style="1145" customWidth="1"/>
    <col min="2827" max="2827" width="22.5703125" style="1145" customWidth="1"/>
    <col min="2828" max="2828" width="1.5703125" style="1145" customWidth="1"/>
    <col min="2829" max="2829" width="17.42578125" style="1145" customWidth="1"/>
    <col min="2830" max="2830" width="1.5703125" style="1145" customWidth="1"/>
    <col min="2831" max="2831" width="14.42578125" style="1145" customWidth="1"/>
    <col min="2832" max="2832" width="1.5703125" style="1145" customWidth="1"/>
    <col min="2833" max="2833" width="28.5703125" style="1145" customWidth="1"/>
    <col min="2834" max="2834" width="4.5703125" style="1145" customWidth="1"/>
    <col min="2835" max="2841" width="0" style="1145" hidden="1" customWidth="1"/>
    <col min="2842" max="3079" width="9.42578125" style="1145"/>
    <col min="3080" max="3080" width="0" style="1145" hidden="1" customWidth="1"/>
    <col min="3081" max="3081" width="15.42578125" style="1145" customWidth="1"/>
    <col min="3082" max="3082" width="1.5703125" style="1145" customWidth="1"/>
    <col min="3083" max="3083" width="22.5703125" style="1145" customWidth="1"/>
    <col min="3084" max="3084" width="1.5703125" style="1145" customWidth="1"/>
    <col min="3085" max="3085" width="17.42578125" style="1145" customWidth="1"/>
    <col min="3086" max="3086" width="1.5703125" style="1145" customWidth="1"/>
    <col min="3087" max="3087" width="14.42578125" style="1145" customWidth="1"/>
    <col min="3088" max="3088" width="1.5703125" style="1145" customWidth="1"/>
    <col min="3089" max="3089" width="28.5703125" style="1145" customWidth="1"/>
    <col min="3090" max="3090" width="4.5703125" style="1145" customWidth="1"/>
    <col min="3091" max="3097" width="0" style="1145" hidden="1" customWidth="1"/>
    <col min="3098" max="3335" width="9.42578125" style="1145"/>
    <col min="3336" max="3336" width="0" style="1145" hidden="1" customWidth="1"/>
    <col min="3337" max="3337" width="15.42578125" style="1145" customWidth="1"/>
    <col min="3338" max="3338" width="1.5703125" style="1145" customWidth="1"/>
    <col min="3339" max="3339" width="22.5703125" style="1145" customWidth="1"/>
    <col min="3340" max="3340" width="1.5703125" style="1145" customWidth="1"/>
    <col min="3341" max="3341" width="17.42578125" style="1145" customWidth="1"/>
    <col min="3342" max="3342" width="1.5703125" style="1145" customWidth="1"/>
    <col min="3343" max="3343" width="14.42578125" style="1145" customWidth="1"/>
    <col min="3344" max="3344" width="1.5703125" style="1145" customWidth="1"/>
    <col min="3345" max="3345" width="28.5703125" style="1145" customWidth="1"/>
    <col min="3346" max="3346" width="4.5703125" style="1145" customWidth="1"/>
    <col min="3347" max="3353" width="0" style="1145" hidden="1" customWidth="1"/>
    <col min="3354" max="3591" width="9.42578125" style="1145"/>
    <col min="3592" max="3592" width="0" style="1145" hidden="1" customWidth="1"/>
    <col min="3593" max="3593" width="15.42578125" style="1145" customWidth="1"/>
    <col min="3594" max="3594" width="1.5703125" style="1145" customWidth="1"/>
    <col min="3595" max="3595" width="22.5703125" style="1145" customWidth="1"/>
    <col min="3596" max="3596" width="1.5703125" style="1145" customWidth="1"/>
    <col min="3597" max="3597" width="17.42578125" style="1145" customWidth="1"/>
    <col min="3598" max="3598" width="1.5703125" style="1145" customWidth="1"/>
    <col min="3599" max="3599" width="14.42578125" style="1145" customWidth="1"/>
    <col min="3600" max="3600" width="1.5703125" style="1145" customWidth="1"/>
    <col min="3601" max="3601" width="28.5703125" style="1145" customWidth="1"/>
    <col min="3602" max="3602" width="4.5703125" style="1145" customWidth="1"/>
    <col min="3603" max="3609" width="0" style="1145" hidden="1" customWidth="1"/>
    <col min="3610" max="3847" width="9.42578125" style="1145"/>
    <col min="3848" max="3848" width="0" style="1145" hidden="1" customWidth="1"/>
    <col min="3849" max="3849" width="15.42578125" style="1145" customWidth="1"/>
    <col min="3850" max="3850" width="1.5703125" style="1145" customWidth="1"/>
    <col min="3851" max="3851" width="22.5703125" style="1145" customWidth="1"/>
    <col min="3852" max="3852" width="1.5703125" style="1145" customWidth="1"/>
    <col min="3853" max="3853" width="17.42578125" style="1145" customWidth="1"/>
    <col min="3854" max="3854" width="1.5703125" style="1145" customWidth="1"/>
    <col min="3855" max="3855" width="14.42578125" style="1145" customWidth="1"/>
    <col min="3856" max="3856" width="1.5703125" style="1145" customWidth="1"/>
    <col min="3857" max="3857" width="28.5703125" style="1145" customWidth="1"/>
    <col min="3858" max="3858" width="4.5703125" style="1145" customWidth="1"/>
    <col min="3859" max="3865" width="0" style="1145" hidden="1" customWidth="1"/>
    <col min="3866" max="4103" width="9.42578125" style="1145"/>
    <col min="4104" max="4104" width="0" style="1145" hidden="1" customWidth="1"/>
    <col min="4105" max="4105" width="15.42578125" style="1145" customWidth="1"/>
    <col min="4106" max="4106" width="1.5703125" style="1145" customWidth="1"/>
    <col min="4107" max="4107" width="22.5703125" style="1145" customWidth="1"/>
    <col min="4108" max="4108" width="1.5703125" style="1145" customWidth="1"/>
    <col min="4109" max="4109" width="17.42578125" style="1145" customWidth="1"/>
    <col min="4110" max="4110" width="1.5703125" style="1145" customWidth="1"/>
    <col min="4111" max="4111" width="14.42578125" style="1145" customWidth="1"/>
    <col min="4112" max="4112" width="1.5703125" style="1145" customWidth="1"/>
    <col min="4113" max="4113" width="28.5703125" style="1145" customWidth="1"/>
    <col min="4114" max="4114" width="4.5703125" style="1145" customWidth="1"/>
    <col min="4115" max="4121" width="0" style="1145" hidden="1" customWidth="1"/>
    <col min="4122" max="4359" width="9.42578125" style="1145"/>
    <col min="4360" max="4360" width="0" style="1145" hidden="1" customWidth="1"/>
    <col min="4361" max="4361" width="15.42578125" style="1145" customWidth="1"/>
    <col min="4362" max="4362" width="1.5703125" style="1145" customWidth="1"/>
    <col min="4363" max="4363" width="22.5703125" style="1145" customWidth="1"/>
    <col min="4364" max="4364" width="1.5703125" style="1145" customWidth="1"/>
    <col min="4365" max="4365" width="17.42578125" style="1145" customWidth="1"/>
    <col min="4366" max="4366" width="1.5703125" style="1145" customWidth="1"/>
    <col min="4367" max="4367" width="14.42578125" style="1145" customWidth="1"/>
    <col min="4368" max="4368" width="1.5703125" style="1145" customWidth="1"/>
    <col min="4369" max="4369" width="28.5703125" style="1145" customWidth="1"/>
    <col min="4370" max="4370" width="4.5703125" style="1145" customWidth="1"/>
    <col min="4371" max="4377" width="0" style="1145" hidden="1" customWidth="1"/>
    <col min="4378" max="4615" width="9.42578125" style="1145"/>
    <col min="4616" max="4616" width="0" style="1145" hidden="1" customWidth="1"/>
    <col min="4617" max="4617" width="15.42578125" style="1145" customWidth="1"/>
    <col min="4618" max="4618" width="1.5703125" style="1145" customWidth="1"/>
    <col min="4619" max="4619" width="22.5703125" style="1145" customWidth="1"/>
    <col min="4620" max="4620" width="1.5703125" style="1145" customWidth="1"/>
    <col min="4621" max="4621" width="17.42578125" style="1145" customWidth="1"/>
    <col min="4622" max="4622" width="1.5703125" style="1145" customWidth="1"/>
    <col min="4623" max="4623" width="14.42578125" style="1145" customWidth="1"/>
    <col min="4624" max="4624" width="1.5703125" style="1145" customWidth="1"/>
    <col min="4625" max="4625" width="28.5703125" style="1145" customWidth="1"/>
    <col min="4626" max="4626" width="4.5703125" style="1145" customWidth="1"/>
    <col min="4627" max="4633" width="0" style="1145" hidden="1" customWidth="1"/>
    <col min="4634" max="4871" width="9.42578125" style="1145"/>
    <col min="4872" max="4872" width="0" style="1145" hidden="1" customWidth="1"/>
    <col min="4873" max="4873" width="15.42578125" style="1145" customWidth="1"/>
    <col min="4874" max="4874" width="1.5703125" style="1145" customWidth="1"/>
    <col min="4875" max="4875" width="22.5703125" style="1145" customWidth="1"/>
    <col min="4876" max="4876" width="1.5703125" style="1145" customWidth="1"/>
    <col min="4877" max="4877" width="17.42578125" style="1145" customWidth="1"/>
    <col min="4878" max="4878" width="1.5703125" style="1145" customWidth="1"/>
    <col min="4879" max="4879" width="14.42578125" style="1145" customWidth="1"/>
    <col min="4880" max="4880" width="1.5703125" style="1145" customWidth="1"/>
    <col min="4881" max="4881" width="28.5703125" style="1145" customWidth="1"/>
    <col min="4882" max="4882" width="4.5703125" style="1145" customWidth="1"/>
    <col min="4883" max="4889" width="0" style="1145" hidden="1" customWidth="1"/>
    <col min="4890" max="5127" width="9.42578125" style="1145"/>
    <col min="5128" max="5128" width="0" style="1145" hidden="1" customWidth="1"/>
    <col min="5129" max="5129" width="15.42578125" style="1145" customWidth="1"/>
    <col min="5130" max="5130" width="1.5703125" style="1145" customWidth="1"/>
    <col min="5131" max="5131" width="22.5703125" style="1145" customWidth="1"/>
    <col min="5132" max="5132" width="1.5703125" style="1145" customWidth="1"/>
    <col min="5133" max="5133" width="17.42578125" style="1145" customWidth="1"/>
    <col min="5134" max="5134" width="1.5703125" style="1145" customWidth="1"/>
    <col min="5135" max="5135" width="14.42578125" style="1145" customWidth="1"/>
    <col min="5136" max="5136" width="1.5703125" style="1145" customWidth="1"/>
    <col min="5137" max="5137" width="28.5703125" style="1145" customWidth="1"/>
    <col min="5138" max="5138" width="4.5703125" style="1145" customWidth="1"/>
    <col min="5139" max="5145" width="0" style="1145" hidden="1" customWidth="1"/>
    <col min="5146" max="5383" width="9.42578125" style="1145"/>
    <col min="5384" max="5384" width="0" style="1145" hidden="1" customWidth="1"/>
    <col min="5385" max="5385" width="15.42578125" style="1145" customWidth="1"/>
    <col min="5386" max="5386" width="1.5703125" style="1145" customWidth="1"/>
    <col min="5387" max="5387" width="22.5703125" style="1145" customWidth="1"/>
    <col min="5388" max="5388" width="1.5703125" style="1145" customWidth="1"/>
    <col min="5389" max="5389" width="17.42578125" style="1145" customWidth="1"/>
    <col min="5390" max="5390" width="1.5703125" style="1145" customWidth="1"/>
    <col min="5391" max="5391" width="14.42578125" style="1145" customWidth="1"/>
    <col min="5392" max="5392" width="1.5703125" style="1145" customWidth="1"/>
    <col min="5393" max="5393" width="28.5703125" style="1145" customWidth="1"/>
    <col min="5394" max="5394" width="4.5703125" style="1145" customWidth="1"/>
    <col min="5395" max="5401" width="0" style="1145" hidden="1" customWidth="1"/>
    <col min="5402" max="5639" width="9.42578125" style="1145"/>
    <col min="5640" max="5640" width="0" style="1145" hidden="1" customWidth="1"/>
    <col min="5641" max="5641" width="15.42578125" style="1145" customWidth="1"/>
    <col min="5642" max="5642" width="1.5703125" style="1145" customWidth="1"/>
    <col min="5643" max="5643" width="22.5703125" style="1145" customWidth="1"/>
    <col min="5644" max="5644" width="1.5703125" style="1145" customWidth="1"/>
    <col min="5645" max="5645" width="17.42578125" style="1145" customWidth="1"/>
    <col min="5646" max="5646" width="1.5703125" style="1145" customWidth="1"/>
    <col min="5647" max="5647" width="14.42578125" style="1145" customWidth="1"/>
    <col min="5648" max="5648" width="1.5703125" style="1145" customWidth="1"/>
    <col min="5649" max="5649" width="28.5703125" style="1145" customWidth="1"/>
    <col min="5650" max="5650" width="4.5703125" style="1145" customWidth="1"/>
    <col min="5651" max="5657" width="0" style="1145" hidden="1" customWidth="1"/>
    <col min="5658" max="5895" width="9.42578125" style="1145"/>
    <col min="5896" max="5896" width="0" style="1145" hidden="1" customWidth="1"/>
    <col min="5897" max="5897" width="15.42578125" style="1145" customWidth="1"/>
    <col min="5898" max="5898" width="1.5703125" style="1145" customWidth="1"/>
    <col min="5899" max="5899" width="22.5703125" style="1145" customWidth="1"/>
    <col min="5900" max="5900" width="1.5703125" style="1145" customWidth="1"/>
    <col min="5901" max="5901" width="17.42578125" style="1145" customWidth="1"/>
    <col min="5902" max="5902" width="1.5703125" style="1145" customWidth="1"/>
    <col min="5903" max="5903" width="14.42578125" style="1145" customWidth="1"/>
    <col min="5904" max="5904" width="1.5703125" style="1145" customWidth="1"/>
    <col min="5905" max="5905" width="28.5703125" style="1145" customWidth="1"/>
    <col min="5906" max="5906" width="4.5703125" style="1145" customWidth="1"/>
    <col min="5907" max="5913" width="0" style="1145" hidden="1" customWidth="1"/>
    <col min="5914" max="6151" width="9.42578125" style="1145"/>
    <col min="6152" max="6152" width="0" style="1145" hidden="1" customWidth="1"/>
    <col min="6153" max="6153" width="15.42578125" style="1145" customWidth="1"/>
    <col min="6154" max="6154" width="1.5703125" style="1145" customWidth="1"/>
    <col min="6155" max="6155" width="22.5703125" style="1145" customWidth="1"/>
    <col min="6156" max="6156" width="1.5703125" style="1145" customWidth="1"/>
    <col min="6157" max="6157" width="17.42578125" style="1145" customWidth="1"/>
    <col min="6158" max="6158" width="1.5703125" style="1145" customWidth="1"/>
    <col min="6159" max="6159" width="14.42578125" style="1145" customWidth="1"/>
    <col min="6160" max="6160" width="1.5703125" style="1145" customWidth="1"/>
    <col min="6161" max="6161" width="28.5703125" style="1145" customWidth="1"/>
    <col min="6162" max="6162" width="4.5703125" style="1145" customWidth="1"/>
    <col min="6163" max="6169" width="0" style="1145" hidden="1" customWidth="1"/>
    <col min="6170" max="6407" width="9.42578125" style="1145"/>
    <col min="6408" max="6408" width="0" style="1145" hidden="1" customWidth="1"/>
    <col min="6409" max="6409" width="15.42578125" style="1145" customWidth="1"/>
    <col min="6410" max="6410" width="1.5703125" style="1145" customWidth="1"/>
    <col min="6411" max="6411" width="22.5703125" style="1145" customWidth="1"/>
    <col min="6412" max="6412" width="1.5703125" style="1145" customWidth="1"/>
    <col min="6413" max="6413" width="17.42578125" style="1145" customWidth="1"/>
    <col min="6414" max="6414" width="1.5703125" style="1145" customWidth="1"/>
    <col min="6415" max="6415" width="14.42578125" style="1145" customWidth="1"/>
    <col min="6416" max="6416" width="1.5703125" style="1145" customWidth="1"/>
    <col min="6417" max="6417" width="28.5703125" style="1145" customWidth="1"/>
    <col min="6418" max="6418" width="4.5703125" style="1145" customWidth="1"/>
    <col min="6419" max="6425" width="0" style="1145" hidden="1" customWidth="1"/>
    <col min="6426" max="6663" width="9.42578125" style="1145"/>
    <col min="6664" max="6664" width="0" style="1145" hidden="1" customWidth="1"/>
    <col min="6665" max="6665" width="15.42578125" style="1145" customWidth="1"/>
    <col min="6666" max="6666" width="1.5703125" style="1145" customWidth="1"/>
    <col min="6667" max="6667" width="22.5703125" style="1145" customWidth="1"/>
    <col min="6668" max="6668" width="1.5703125" style="1145" customWidth="1"/>
    <col min="6669" max="6669" width="17.42578125" style="1145" customWidth="1"/>
    <col min="6670" max="6670" width="1.5703125" style="1145" customWidth="1"/>
    <col min="6671" max="6671" width="14.42578125" style="1145" customWidth="1"/>
    <col min="6672" max="6672" width="1.5703125" style="1145" customWidth="1"/>
    <col min="6673" max="6673" width="28.5703125" style="1145" customWidth="1"/>
    <col min="6674" max="6674" width="4.5703125" style="1145" customWidth="1"/>
    <col min="6675" max="6681" width="0" style="1145" hidden="1" customWidth="1"/>
    <col min="6682" max="6919" width="9.42578125" style="1145"/>
    <col min="6920" max="6920" width="0" style="1145" hidden="1" customWidth="1"/>
    <col min="6921" max="6921" width="15.42578125" style="1145" customWidth="1"/>
    <col min="6922" max="6922" width="1.5703125" style="1145" customWidth="1"/>
    <col min="6923" max="6923" width="22.5703125" style="1145" customWidth="1"/>
    <col min="6924" max="6924" width="1.5703125" style="1145" customWidth="1"/>
    <col min="6925" max="6925" width="17.42578125" style="1145" customWidth="1"/>
    <col min="6926" max="6926" width="1.5703125" style="1145" customWidth="1"/>
    <col min="6927" max="6927" width="14.42578125" style="1145" customWidth="1"/>
    <col min="6928" max="6928" width="1.5703125" style="1145" customWidth="1"/>
    <col min="6929" max="6929" width="28.5703125" style="1145" customWidth="1"/>
    <col min="6930" max="6930" width="4.5703125" style="1145" customWidth="1"/>
    <col min="6931" max="6937" width="0" style="1145" hidden="1" customWidth="1"/>
    <col min="6938" max="7175" width="9.42578125" style="1145"/>
    <col min="7176" max="7176" width="0" style="1145" hidden="1" customWidth="1"/>
    <col min="7177" max="7177" width="15.42578125" style="1145" customWidth="1"/>
    <col min="7178" max="7178" width="1.5703125" style="1145" customWidth="1"/>
    <col min="7179" max="7179" width="22.5703125" style="1145" customWidth="1"/>
    <col min="7180" max="7180" width="1.5703125" style="1145" customWidth="1"/>
    <col min="7181" max="7181" width="17.42578125" style="1145" customWidth="1"/>
    <col min="7182" max="7182" width="1.5703125" style="1145" customWidth="1"/>
    <col min="7183" max="7183" width="14.42578125" style="1145" customWidth="1"/>
    <col min="7184" max="7184" width="1.5703125" style="1145" customWidth="1"/>
    <col min="7185" max="7185" width="28.5703125" style="1145" customWidth="1"/>
    <col min="7186" max="7186" width="4.5703125" style="1145" customWidth="1"/>
    <col min="7187" max="7193" width="0" style="1145" hidden="1" customWidth="1"/>
    <col min="7194" max="7431" width="9.42578125" style="1145"/>
    <col min="7432" max="7432" width="0" style="1145" hidden="1" customWidth="1"/>
    <col min="7433" max="7433" width="15.42578125" style="1145" customWidth="1"/>
    <col min="7434" max="7434" width="1.5703125" style="1145" customWidth="1"/>
    <col min="7435" max="7435" width="22.5703125" style="1145" customWidth="1"/>
    <col min="7436" max="7436" width="1.5703125" style="1145" customWidth="1"/>
    <col min="7437" max="7437" width="17.42578125" style="1145" customWidth="1"/>
    <col min="7438" max="7438" width="1.5703125" style="1145" customWidth="1"/>
    <col min="7439" max="7439" width="14.42578125" style="1145" customWidth="1"/>
    <col min="7440" max="7440" width="1.5703125" style="1145" customWidth="1"/>
    <col min="7441" max="7441" width="28.5703125" style="1145" customWidth="1"/>
    <col min="7442" max="7442" width="4.5703125" style="1145" customWidth="1"/>
    <col min="7443" max="7449" width="0" style="1145" hidden="1" customWidth="1"/>
    <col min="7450" max="7687" width="9.42578125" style="1145"/>
    <col min="7688" max="7688" width="0" style="1145" hidden="1" customWidth="1"/>
    <col min="7689" max="7689" width="15.42578125" style="1145" customWidth="1"/>
    <col min="7690" max="7690" width="1.5703125" style="1145" customWidth="1"/>
    <col min="7691" max="7691" width="22.5703125" style="1145" customWidth="1"/>
    <col min="7692" max="7692" width="1.5703125" style="1145" customWidth="1"/>
    <col min="7693" max="7693" width="17.42578125" style="1145" customWidth="1"/>
    <col min="7694" max="7694" width="1.5703125" style="1145" customWidth="1"/>
    <col min="7695" max="7695" width="14.42578125" style="1145" customWidth="1"/>
    <col min="7696" max="7696" width="1.5703125" style="1145" customWidth="1"/>
    <col min="7697" max="7697" width="28.5703125" style="1145" customWidth="1"/>
    <col min="7698" max="7698" width="4.5703125" style="1145" customWidth="1"/>
    <col min="7699" max="7705" width="0" style="1145" hidden="1" customWidth="1"/>
    <col min="7706" max="7943" width="9.42578125" style="1145"/>
    <col min="7944" max="7944" width="0" style="1145" hidden="1" customWidth="1"/>
    <col min="7945" max="7945" width="15.42578125" style="1145" customWidth="1"/>
    <col min="7946" max="7946" width="1.5703125" style="1145" customWidth="1"/>
    <col min="7947" max="7947" width="22.5703125" style="1145" customWidth="1"/>
    <col min="7948" max="7948" width="1.5703125" style="1145" customWidth="1"/>
    <col min="7949" max="7949" width="17.42578125" style="1145" customWidth="1"/>
    <col min="7950" max="7950" width="1.5703125" style="1145" customWidth="1"/>
    <col min="7951" max="7951" width="14.42578125" style="1145" customWidth="1"/>
    <col min="7952" max="7952" width="1.5703125" style="1145" customWidth="1"/>
    <col min="7953" max="7953" width="28.5703125" style="1145" customWidth="1"/>
    <col min="7954" max="7954" width="4.5703125" style="1145" customWidth="1"/>
    <col min="7955" max="7961" width="0" style="1145" hidden="1" customWidth="1"/>
    <col min="7962" max="8199" width="9.42578125" style="1145"/>
    <col min="8200" max="8200" width="0" style="1145" hidden="1" customWidth="1"/>
    <col min="8201" max="8201" width="15.42578125" style="1145" customWidth="1"/>
    <col min="8202" max="8202" width="1.5703125" style="1145" customWidth="1"/>
    <col min="8203" max="8203" width="22.5703125" style="1145" customWidth="1"/>
    <col min="8204" max="8204" width="1.5703125" style="1145" customWidth="1"/>
    <col min="8205" max="8205" width="17.42578125" style="1145" customWidth="1"/>
    <col min="8206" max="8206" width="1.5703125" style="1145" customWidth="1"/>
    <col min="8207" max="8207" width="14.42578125" style="1145" customWidth="1"/>
    <col min="8208" max="8208" width="1.5703125" style="1145" customWidth="1"/>
    <col min="8209" max="8209" width="28.5703125" style="1145" customWidth="1"/>
    <col min="8210" max="8210" width="4.5703125" style="1145" customWidth="1"/>
    <col min="8211" max="8217" width="0" style="1145" hidden="1" customWidth="1"/>
    <col min="8218" max="8455" width="9.42578125" style="1145"/>
    <col min="8456" max="8456" width="0" style="1145" hidden="1" customWidth="1"/>
    <col min="8457" max="8457" width="15.42578125" style="1145" customWidth="1"/>
    <col min="8458" max="8458" width="1.5703125" style="1145" customWidth="1"/>
    <col min="8459" max="8459" width="22.5703125" style="1145" customWidth="1"/>
    <col min="8460" max="8460" width="1.5703125" style="1145" customWidth="1"/>
    <col min="8461" max="8461" width="17.42578125" style="1145" customWidth="1"/>
    <col min="8462" max="8462" width="1.5703125" style="1145" customWidth="1"/>
    <col min="8463" max="8463" width="14.42578125" style="1145" customWidth="1"/>
    <col min="8464" max="8464" width="1.5703125" style="1145" customWidth="1"/>
    <col min="8465" max="8465" width="28.5703125" style="1145" customWidth="1"/>
    <col min="8466" max="8466" width="4.5703125" style="1145" customWidth="1"/>
    <col min="8467" max="8473" width="0" style="1145" hidden="1" customWidth="1"/>
    <col min="8474" max="8711" width="9.42578125" style="1145"/>
    <col min="8712" max="8712" width="0" style="1145" hidden="1" customWidth="1"/>
    <col min="8713" max="8713" width="15.42578125" style="1145" customWidth="1"/>
    <col min="8714" max="8714" width="1.5703125" style="1145" customWidth="1"/>
    <col min="8715" max="8715" width="22.5703125" style="1145" customWidth="1"/>
    <col min="8716" max="8716" width="1.5703125" style="1145" customWidth="1"/>
    <col min="8717" max="8717" width="17.42578125" style="1145" customWidth="1"/>
    <col min="8718" max="8718" width="1.5703125" style="1145" customWidth="1"/>
    <col min="8719" max="8719" width="14.42578125" style="1145" customWidth="1"/>
    <col min="8720" max="8720" width="1.5703125" style="1145" customWidth="1"/>
    <col min="8721" max="8721" width="28.5703125" style="1145" customWidth="1"/>
    <col min="8722" max="8722" width="4.5703125" style="1145" customWidth="1"/>
    <col min="8723" max="8729" width="0" style="1145" hidden="1" customWidth="1"/>
    <col min="8730" max="8967" width="9.42578125" style="1145"/>
    <col min="8968" max="8968" width="0" style="1145" hidden="1" customWidth="1"/>
    <col min="8969" max="8969" width="15.42578125" style="1145" customWidth="1"/>
    <col min="8970" max="8970" width="1.5703125" style="1145" customWidth="1"/>
    <col min="8971" max="8971" width="22.5703125" style="1145" customWidth="1"/>
    <col min="8972" max="8972" width="1.5703125" style="1145" customWidth="1"/>
    <col min="8973" max="8973" width="17.42578125" style="1145" customWidth="1"/>
    <col min="8974" max="8974" width="1.5703125" style="1145" customWidth="1"/>
    <col min="8975" max="8975" width="14.42578125" style="1145" customWidth="1"/>
    <col min="8976" max="8976" width="1.5703125" style="1145" customWidth="1"/>
    <col min="8977" max="8977" width="28.5703125" style="1145" customWidth="1"/>
    <col min="8978" max="8978" width="4.5703125" style="1145" customWidth="1"/>
    <col min="8979" max="8985" width="0" style="1145" hidden="1" customWidth="1"/>
    <col min="8986" max="9223" width="9.42578125" style="1145"/>
    <col min="9224" max="9224" width="0" style="1145" hidden="1" customWidth="1"/>
    <col min="9225" max="9225" width="15.42578125" style="1145" customWidth="1"/>
    <col min="9226" max="9226" width="1.5703125" style="1145" customWidth="1"/>
    <col min="9227" max="9227" width="22.5703125" style="1145" customWidth="1"/>
    <col min="9228" max="9228" width="1.5703125" style="1145" customWidth="1"/>
    <col min="9229" max="9229" width="17.42578125" style="1145" customWidth="1"/>
    <col min="9230" max="9230" width="1.5703125" style="1145" customWidth="1"/>
    <col min="9231" max="9231" width="14.42578125" style="1145" customWidth="1"/>
    <col min="9232" max="9232" width="1.5703125" style="1145" customWidth="1"/>
    <col min="9233" max="9233" width="28.5703125" style="1145" customWidth="1"/>
    <col min="9234" max="9234" width="4.5703125" style="1145" customWidth="1"/>
    <col min="9235" max="9241" width="0" style="1145" hidden="1" customWidth="1"/>
    <col min="9242" max="9479" width="9.42578125" style="1145"/>
    <col min="9480" max="9480" width="0" style="1145" hidden="1" customWidth="1"/>
    <col min="9481" max="9481" width="15.42578125" style="1145" customWidth="1"/>
    <col min="9482" max="9482" width="1.5703125" style="1145" customWidth="1"/>
    <col min="9483" max="9483" width="22.5703125" style="1145" customWidth="1"/>
    <col min="9484" max="9484" width="1.5703125" style="1145" customWidth="1"/>
    <col min="9485" max="9485" width="17.42578125" style="1145" customWidth="1"/>
    <col min="9486" max="9486" width="1.5703125" style="1145" customWidth="1"/>
    <col min="9487" max="9487" width="14.42578125" style="1145" customWidth="1"/>
    <col min="9488" max="9488" width="1.5703125" style="1145" customWidth="1"/>
    <col min="9489" max="9489" width="28.5703125" style="1145" customWidth="1"/>
    <col min="9490" max="9490" width="4.5703125" style="1145" customWidth="1"/>
    <col min="9491" max="9497" width="0" style="1145" hidden="1" customWidth="1"/>
    <col min="9498" max="9735" width="9.42578125" style="1145"/>
    <col min="9736" max="9736" width="0" style="1145" hidden="1" customWidth="1"/>
    <col min="9737" max="9737" width="15.42578125" style="1145" customWidth="1"/>
    <col min="9738" max="9738" width="1.5703125" style="1145" customWidth="1"/>
    <col min="9739" max="9739" width="22.5703125" style="1145" customWidth="1"/>
    <col min="9740" max="9740" width="1.5703125" style="1145" customWidth="1"/>
    <col min="9741" max="9741" width="17.42578125" style="1145" customWidth="1"/>
    <col min="9742" max="9742" width="1.5703125" style="1145" customWidth="1"/>
    <col min="9743" max="9743" width="14.42578125" style="1145" customWidth="1"/>
    <col min="9744" max="9744" width="1.5703125" style="1145" customWidth="1"/>
    <col min="9745" max="9745" width="28.5703125" style="1145" customWidth="1"/>
    <col min="9746" max="9746" width="4.5703125" style="1145" customWidth="1"/>
    <col min="9747" max="9753" width="0" style="1145" hidden="1" customWidth="1"/>
    <col min="9754" max="9991" width="9.42578125" style="1145"/>
    <col min="9992" max="9992" width="0" style="1145" hidden="1" customWidth="1"/>
    <col min="9993" max="9993" width="15.42578125" style="1145" customWidth="1"/>
    <col min="9994" max="9994" width="1.5703125" style="1145" customWidth="1"/>
    <col min="9995" max="9995" width="22.5703125" style="1145" customWidth="1"/>
    <col min="9996" max="9996" width="1.5703125" style="1145" customWidth="1"/>
    <col min="9997" max="9997" width="17.42578125" style="1145" customWidth="1"/>
    <col min="9998" max="9998" width="1.5703125" style="1145" customWidth="1"/>
    <col min="9999" max="9999" width="14.42578125" style="1145" customWidth="1"/>
    <col min="10000" max="10000" width="1.5703125" style="1145" customWidth="1"/>
    <col min="10001" max="10001" width="28.5703125" style="1145" customWidth="1"/>
    <col min="10002" max="10002" width="4.5703125" style="1145" customWidth="1"/>
    <col min="10003" max="10009" width="0" style="1145" hidden="1" customWidth="1"/>
    <col min="10010" max="10247" width="9.42578125" style="1145"/>
    <col min="10248" max="10248" width="0" style="1145" hidden="1" customWidth="1"/>
    <col min="10249" max="10249" width="15.42578125" style="1145" customWidth="1"/>
    <col min="10250" max="10250" width="1.5703125" style="1145" customWidth="1"/>
    <col min="10251" max="10251" width="22.5703125" style="1145" customWidth="1"/>
    <col min="10252" max="10252" width="1.5703125" style="1145" customWidth="1"/>
    <col min="10253" max="10253" width="17.42578125" style="1145" customWidth="1"/>
    <col min="10254" max="10254" width="1.5703125" style="1145" customWidth="1"/>
    <col min="10255" max="10255" width="14.42578125" style="1145" customWidth="1"/>
    <col min="10256" max="10256" width="1.5703125" style="1145" customWidth="1"/>
    <col min="10257" max="10257" width="28.5703125" style="1145" customWidth="1"/>
    <col min="10258" max="10258" width="4.5703125" style="1145" customWidth="1"/>
    <col min="10259" max="10265" width="0" style="1145" hidden="1" customWidth="1"/>
    <col min="10266" max="10503" width="9.42578125" style="1145"/>
    <col min="10504" max="10504" width="0" style="1145" hidden="1" customWidth="1"/>
    <col min="10505" max="10505" width="15.42578125" style="1145" customWidth="1"/>
    <col min="10506" max="10506" width="1.5703125" style="1145" customWidth="1"/>
    <col min="10507" max="10507" width="22.5703125" style="1145" customWidth="1"/>
    <col min="10508" max="10508" width="1.5703125" style="1145" customWidth="1"/>
    <col min="10509" max="10509" width="17.42578125" style="1145" customWidth="1"/>
    <col min="10510" max="10510" width="1.5703125" style="1145" customWidth="1"/>
    <col min="10511" max="10511" width="14.42578125" style="1145" customWidth="1"/>
    <col min="10512" max="10512" width="1.5703125" style="1145" customWidth="1"/>
    <col min="10513" max="10513" width="28.5703125" style="1145" customWidth="1"/>
    <col min="10514" max="10514" width="4.5703125" style="1145" customWidth="1"/>
    <col min="10515" max="10521" width="0" style="1145" hidden="1" customWidth="1"/>
    <col min="10522" max="10759" width="9.42578125" style="1145"/>
    <col min="10760" max="10760" width="0" style="1145" hidden="1" customWidth="1"/>
    <col min="10761" max="10761" width="15.42578125" style="1145" customWidth="1"/>
    <col min="10762" max="10762" width="1.5703125" style="1145" customWidth="1"/>
    <col min="10763" max="10763" width="22.5703125" style="1145" customWidth="1"/>
    <col min="10764" max="10764" width="1.5703125" style="1145" customWidth="1"/>
    <col min="10765" max="10765" width="17.42578125" style="1145" customWidth="1"/>
    <col min="10766" max="10766" width="1.5703125" style="1145" customWidth="1"/>
    <col min="10767" max="10767" width="14.42578125" style="1145" customWidth="1"/>
    <col min="10768" max="10768" width="1.5703125" style="1145" customWidth="1"/>
    <col min="10769" max="10769" width="28.5703125" style="1145" customWidth="1"/>
    <col min="10770" max="10770" width="4.5703125" style="1145" customWidth="1"/>
    <col min="10771" max="10777" width="0" style="1145" hidden="1" customWidth="1"/>
    <col min="10778" max="11015" width="9.42578125" style="1145"/>
    <col min="11016" max="11016" width="0" style="1145" hidden="1" customWidth="1"/>
    <col min="11017" max="11017" width="15.42578125" style="1145" customWidth="1"/>
    <col min="11018" max="11018" width="1.5703125" style="1145" customWidth="1"/>
    <col min="11019" max="11019" width="22.5703125" style="1145" customWidth="1"/>
    <col min="11020" max="11020" width="1.5703125" style="1145" customWidth="1"/>
    <col min="11021" max="11021" width="17.42578125" style="1145" customWidth="1"/>
    <col min="11022" max="11022" width="1.5703125" style="1145" customWidth="1"/>
    <col min="11023" max="11023" width="14.42578125" style="1145" customWidth="1"/>
    <col min="11024" max="11024" width="1.5703125" style="1145" customWidth="1"/>
    <col min="11025" max="11025" width="28.5703125" style="1145" customWidth="1"/>
    <col min="11026" max="11026" width="4.5703125" style="1145" customWidth="1"/>
    <col min="11027" max="11033" width="0" style="1145" hidden="1" customWidth="1"/>
    <col min="11034" max="11271" width="9.42578125" style="1145"/>
    <col min="11272" max="11272" width="0" style="1145" hidden="1" customWidth="1"/>
    <col min="11273" max="11273" width="15.42578125" style="1145" customWidth="1"/>
    <col min="11274" max="11274" width="1.5703125" style="1145" customWidth="1"/>
    <col min="11275" max="11275" width="22.5703125" style="1145" customWidth="1"/>
    <col min="11276" max="11276" width="1.5703125" style="1145" customWidth="1"/>
    <col min="11277" max="11277" width="17.42578125" style="1145" customWidth="1"/>
    <col min="11278" max="11278" width="1.5703125" style="1145" customWidth="1"/>
    <col min="11279" max="11279" width="14.42578125" style="1145" customWidth="1"/>
    <col min="11280" max="11280" width="1.5703125" style="1145" customWidth="1"/>
    <col min="11281" max="11281" width="28.5703125" style="1145" customWidth="1"/>
    <col min="11282" max="11282" width="4.5703125" style="1145" customWidth="1"/>
    <col min="11283" max="11289" width="0" style="1145" hidden="1" customWidth="1"/>
    <col min="11290" max="11527" width="9.42578125" style="1145"/>
    <col min="11528" max="11528" width="0" style="1145" hidden="1" customWidth="1"/>
    <col min="11529" max="11529" width="15.42578125" style="1145" customWidth="1"/>
    <col min="11530" max="11530" width="1.5703125" style="1145" customWidth="1"/>
    <col min="11531" max="11531" width="22.5703125" style="1145" customWidth="1"/>
    <col min="11532" max="11532" width="1.5703125" style="1145" customWidth="1"/>
    <col min="11533" max="11533" width="17.42578125" style="1145" customWidth="1"/>
    <col min="11534" max="11534" width="1.5703125" style="1145" customWidth="1"/>
    <col min="11535" max="11535" width="14.42578125" style="1145" customWidth="1"/>
    <col min="11536" max="11536" width="1.5703125" style="1145" customWidth="1"/>
    <col min="11537" max="11537" width="28.5703125" style="1145" customWidth="1"/>
    <col min="11538" max="11538" width="4.5703125" style="1145" customWidth="1"/>
    <col min="11539" max="11545" width="0" style="1145" hidden="1" customWidth="1"/>
    <col min="11546" max="11783" width="9.42578125" style="1145"/>
    <col min="11784" max="11784" width="0" style="1145" hidden="1" customWidth="1"/>
    <col min="11785" max="11785" width="15.42578125" style="1145" customWidth="1"/>
    <col min="11786" max="11786" width="1.5703125" style="1145" customWidth="1"/>
    <col min="11787" max="11787" width="22.5703125" style="1145" customWidth="1"/>
    <col min="11788" max="11788" width="1.5703125" style="1145" customWidth="1"/>
    <col min="11789" max="11789" width="17.42578125" style="1145" customWidth="1"/>
    <col min="11790" max="11790" width="1.5703125" style="1145" customWidth="1"/>
    <col min="11791" max="11791" width="14.42578125" style="1145" customWidth="1"/>
    <col min="11792" max="11792" width="1.5703125" style="1145" customWidth="1"/>
    <col min="11793" max="11793" width="28.5703125" style="1145" customWidth="1"/>
    <col min="11794" max="11794" width="4.5703125" style="1145" customWidth="1"/>
    <col min="11795" max="11801" width="0" style="1145" hidden="1" customWidth="1"/>
    <col min="11802" max="12039" width="9.42578125" style="1145"/>
    <col min="12040" max="12040" width="0" style="1145" hidden="1" customWidth="1"/>
    <col min="12041" max="12041" width="15.42578125" style="1145" customWidth="1"/>
    <col min="12042" max="12042" width="1.5703125" style="1145" customWidth="1"/>
    <col min="12043" max="12043" width="22.5703125" style="1145" customWidth="1"/>
    <col min="12044" max="12044" width="1.5703125" style="1145" customWidth="1"/>
    <col min="12045" max="12045" width="17.42578125" style="1145" customWidth="1"/>
    <col min="12046" max="12046" width="1.5703125" style="1145" customWidth="1"/>
    <col min="12047" max="12047" width="14.42578125" style="1145" customWidth="1"/>
    <col min="12048" max="12048" width="1.5703125" style="1145" customWidth="1"/>
    <col min="12049" max="12049" width="28.5703125" style="1145" customWidth="1"/>
    <col min="12050" max="12050" width="4.5703125" style="1145" customWidth="1"/>
    <col min="12051" max="12057" width="0" style="1145" hidden="1" customWidth="1"/>
    <col min="12058" max="12295" width="9.42578125" style="1145"/>
    <col min="12296" max="12296" width="0" style="1145" hidden="1" customWidth="1"/>
    <col min="12297" max="12297" width="15.42578125" style="1145" customWidth="1"/>
    <col min="12298" max="12298" width="1.5703125" style="1145" customWidth="1"/>
    <col min="12299" max="12299" width="22.5703125" style="1145" customWidth="1"/>
    <col min="12300" max="12300" width="1.5703125" style="1145" customWidth="1"/>
    <col min="12301" max="12301" width="17.42578125" style="1145" customWidth="1"/>
    <col min="12302" max="12302" width="1.5703125" style="1145" customWidth="1"/>
    <col min="12303" max="12303" width="14.42578125" style="1145" customWidth="1"/>
    <col min="12304" max="12304" width="1.5703125" style="1145" customWidth="1"/>
    <col min="12305" max="12305" width="28.5703125" style="1145" customWidth="1"/>
    <col min="12306" max="12306" width="4.5703125" style="1145" customWidth="1"/>
    <col min="12307" max="12313" width="0" style="1145" hidden="1" customWidth="1"/>
    <col min="12314" max="12551" width="9.42578125" style="1145"/>
    <col min="12552" max="12552" width="0" style="1145" hidden="1" customWidth="1"/>
    <col min="12553" max="12553" width="15.42578125" style="1145" customWidth="1"/>
    <col min="12554" max="12554" width="1.5703125" style="1145" customWidth="1"/>
    <col min="12555" max="12555" width="22.5703125" style="1145" customWidth="1"/>
    <col min="12556" max="12556" width="1.5703125" style="1145" customWidth="1"/>
    <col min="12557" max="12557" width="17.42578125" style="1145" customWidth="1"/>
    <col min="12558" max="12558" width="1.5703125" style="1145" customWidth="1"/>
    <col min="12559" max="12559" width="14.42578125" style="1145" customWidth="1"/>
    <col min="12560" max="12560" width="1.5703125" style="1145" customWidth="1"/>
    <col min="12561" max="12561" width="28.5703125" style="1145" customWidth="1"/>
    <col min="12562" max="12562" width="4.5703125" style="1145" customWidth="1"/>
    <col min="12563" max="12569" width="0" style="1145" hidden="1" customWidth="1"/>
    <col min="12570" max="12807" width="9.42578125" style="1145"/>
    <col min="12808" max="12808" width="0" style="1145" hidden="1" customWidth="1"/>
    <col min="12809" max="12809" width="15.42578125" style="1145" customWidth="1"/>
    <col min="12810" max="12810" width="1.5703125" style="1145" customWidth="1"/>
    <col min="12811" max="12811" width="22.5703125" style="1145" customWidth="1"/>
    <col min="12812" max="12812" width="1.5703125" style="1145" customWidth="1"/>
    <col min="12813" max="12813" width="17.42578125" style="1145" customWidth="1"/>
    <col min="12814" max="12814" width="1.5703125" style="1145" customWidth="1"/>
    <col min="12815" max="12815" width="14.42578125" style="1145" customWidth="1"/>
    <col min="12816" max="12816" width="1.5703125" style="1145" customWidth="1"/>
    <col min="12817" max="12817" width="28.5703125" style="1145" customWidth="1"/>
    <col min="12818" max="12818" width="4.5703125" style="1145" customWidth="1"/>
    <col min="12819" max="12825" width="0" style="1145" hidden="1" customWidth="1"/>
    <col min="12826" max="13063" width="9.42578125" style="1145"/>
    <col min="13064" max="13064" width="0" style="1145" hidden="1" customWidth="1"/>
    <col min="13065" max="13065" width="15.42578125" style="1145" customWidth="1"/>
    <col min="13066" max="13066" width="1.5703125" style="1145" customWidth="1"/>
    <col min="13067" max="13067" width="22.5703125" style="1145" customWidth="1"/>
    <col min="13068" max="13068" width="1.5703125" style="1145" customWidth="1"/>
    <col min="13069" max="13069" width="17.42578125" style="1145" customWidth="1"/>
    <col min="13070" max="13070" width="1.5703125" style="1145" customWidth="1"/>
    <col min="13071" max="13071" width="14.42578125" style="1145" customWidth="1"/>
    <col min="13072" max="13072" width="1.5703125" style="1145" customWidth="1"/>
    <col min="13073" max="13073" width="28.5703125" style="1145" customWidth="1"/>
    <col min="13074" max="13074" width="4.5703125" style="1145" customWidth="1"/>
    <col min="13075" max="13081" width="0" style="1145" hidden="1" customWidth="1"/>
    <col min="13082" max="13319" width="9.42578125" style="1145"/>
    <col min="13320" max="13320" width="0" style="1145" hidden="1" customWidth="1"/>
    <col min="13321" max="13321" width="15.42578125" style="1145" customWidth="1"/>
    <col min="13322" max="13322" width="1.5703125" style="1145" customWidth="1"/>
    <col min="13323" max="13323" width="22.5703125" style="1145" customWidth="1"/>
    <col min="13324" max="13324" width="1.5703125" style="1145" customWidth="1"/>
    <col min="13325" max="13325" width="17.42578125" style="1145" customWidth="1"/>
    <col min="13326" max="13326" width="1.5703125" style="1145" customWidth="1"/>
    <col min="13327" max="13327" width="14.42578125" style="1145" customWidth="1"/>
    <col min="13328" max="13328" width="1.5703125" style="1145" customWidth="1"/>
    <col min="13329" max="13329" width="28.5703125" style="1145" customWidth="1"/>
    <col min="13330" max="13330" width="4.5703125" style="1145" customWidth="1"/>
    <col min="13331" max="13337" width="0" style="1145" hidden="1" customWidth="1"/>
    <col min="13338" max="13575" width="9.42578125" style="1145"/>
    <col min="13576" max="13576" width="0" style="1145" hidden="1" customWidth="1"/>
    <col min="13577" max="13577" width="15.42578125" style="1145" customWidth="1"/>
    <col min="13578" max="13578" width="1.5703125" style="1145" customWidth="1"/>
    <col min="13579" max="13579" width="22.5703125" style="1145" customWidth="1"/>
    <col min="13580" max="13580" width="1.5703125" style="1145" customWidth="1"/>
    <col min="13581" max="13581" width="17.42578125" style="1145" customWidth="1"/>
    <col min="13582" max="13582" width="1.5703125" style="1145" customWidth="1"/>
    <col min="13583" max="13583" width="14.42578125" style="1145" customWidth="1"/>
    <col min="13584" max="13584" width="1.5703125" style="1145" customWidth="1"/>
    <col min="13585" max="13585" width="28.5703125" style="1145" customWidth="1"/>
    <col min="13586" max="13586" width="4.5703125" style="1145" customWidth="1"/>
    <col min="13587" max="13593" width="0" style="1145" hidden="1" customWidth="1"/>
    <col min="13594" max="13831" width="9.42578125" style="1145"/>
    <col min="13832" max="13832" width="0" style="1145" hidden="1" customWidth="1"/>
    <col min="13833" max="13833" width="15.42578125" style="1145" customWidth="1"/>
    <col min="13834" max="13834" width="1.5703125" style="1145" customWidth="1"/>
    <col min="13835" max="13835" width="22.5703125" style="1145" customWidth="1"/>
    <col min="13836" max="13836" width="1.5703125" style="1145" customWidth="1"/>
    <col min="13837" max="13837" width="17.42578125" style="1145" customWidth="1"/>
    <col min="13838" max="13838" width="1.5703125" style="1145" customWidth="1"/>
    <col min="13839" max="13839" width="14.42578125" style="1145" customWidth="1"/>
    <col min="13840" max="13840" width="1.5703125" style="1145" customWidth="1"/>
    <col min="13841" max="13841" width="28.5703125" style="1145" customWidth="1"/>
    <col min="13842" max="13842" width="4.5703125" style="1145" customWidth="1"/>
    <col min="13843" max="13849" width="0" style="1145" hidden="1" customWidth="1"/>
    <col min="13850" max="14087" width="9.42578125" style="1145"/>
    <col min="14088" max="14088" width="0" style="1145" hidden="1" customWidth="1"/>
    <col min="14089" max="14089" width="15.42578125" style="1145" customWidth="1"/>
    <col min="14090" max="14090" width="1.5703125" style="1145" customWidth="1"/>
    <col min="14091" max="14091" width="22.5703125" style="1145" customWidth="1"/>
    <col min="14092" max="14092" width="1.5703125" style="1145" customWidth="1"/>
    <col min="14093" max="14093" width="17.42578125" style="1145" customWidth="1"/>
    <col min="14094" max="14094" width="1.5703125" style="1145" customWidth="1"/>
    <col min="14095" max="14095" width="14.42578125" style="1145" customWidth="1"/>
    <col min="14096" max="14096" width="1.5703125" style="1145" customWidth="1"/>
    <col min="14097" max="14097" width="28.5703125" style="1145" customWidth="1"/>
    <col min="14098" max="14098" width="4.5703125" style="1145" customWidth="1"/>
    <col min="14099" max="14105" width="0" style="1145" hidden="1" customWidth="1"/>
    <col min="14106" max="14343" width="9.42578125" style="1145"/>
    <col min="14344" max="14344" width="0" style="1145" hidden="1" customWidth="1"/>
    <col min="14345" max="14345" width="15.42578125" style="1145" customWidth="1"/>
    <col min="14346" max="14346" width="1.5703125" style="1145" customWidth="1"/>
    <col min="14347" max="14347" width="22.5703125" style="1145" customWidth="1"/>
    <col min="14348" max="14348" width="1.5703125" style="1145" customWidth="1"/>
    <col min="14349" max="14349" width="17.42578125" style="1145" customWidth="1"/>
    <col min="14350" max="14350" width="1.5703125" style="1145" customWidth="1"/>
    <col min="14351" max="14351" width="14.42578125" style="1145" customWidth="1"/>
    <col min="14352" max="14352" width="1.5703125" style="1145" customWidth="1"/>
    <col min="14353" max="14353" width="28.5703125" style="1145" customWidth="1"/>
    <col min="14354" max="14354" width="4.5703125" style="1145" customWidth="1"/>
    <col min="14355" max="14361" width="0" style="1145" hidden="1" customWidth="1"/>
    <col min="14362" max="14599" width="9.42578125" style="1145"/>
    <col min="14600" max="14600" width="0" style="1145" hidden="1" customWidth="1"/>
    <col min="14601" max="14601" width="15.42578125" style="1145" customWidth="1"/>
    <col min="14602" max="14602" width="1.5703125" style="1145" customWidth="1"/>
    <col min="14603" max="14603" width="22.5703125" style="1145" customWidth="1"/>
    <col min="14604" max="14604" width="1.5703125" style="1145" customWidth="1"/>
    <col min="14605" max="14605" width="17.42578125" style="1145" customWidth="1"/>
    <col min="14606" max="14606" width="1.5703125" style="1145" customWidth="1"/>
    <col min="14607" max="14607" width="14.42578125" style="1145" customWidth="1"/>
    <col min="14608" max="14608" width="1.5703125" style="1145" customWidth="1"/>
    <col min="14609" max="14609" width="28.5703125" style="1145" customWidth="1"/>
    <col min="14610" max="14610" width="4.5703125" style="1145" customWidth="1"/>
    <col min="14611" max="14617" width="0" style="1145" hidden="1" customWidth="1"/>
    <col min="14618" max="14855" width="9.42578125" style="1145"/>
    <col min="14856" max="14856" width="0" style="1145" hidden="1" customWidth="1"/>
    <col min="14857" max="14857" width="15.42578125" style="1145" customWidth="1"/>
    <col min="14858" max="14858" width="1.5703125" style="1145" customWidth="1"/>
    <col min="14859" max="14859" width="22.5703125" style="1145" customWidth="1"/>
    <col min="14860" max="14860" width="1.5703125" style="1145" customWidth="1"/>
    <col min="14861" max="14861" width="17.42578125" style="1145" customWidth="1"/>
    <col min="14862" max="14862" width="1.5703125" style="1145" customWidth="1"/>
    <col min="14863" max="14863" width="14.42578125" style="1145" customWidth="1"/>
    <col min="14864" max="14864" width="1.5703125" style="1145" customWidth="1"/>
    <col min="14865" max="14865" width="28.5703125" style="1145" customWidth="1"/>
    <col min="14866" max="14866" width="4.5703125" style="1145" customWidth="1"/>
    <col min="14867" max="14873" width="0" style="1145" hidden="1" customWidth="1"/>
    <col min="14874" max="15111" width="9.42578125" style="1145"/>
    <col min="15112" max="15112" width="0" style="1145" hidden="1" customWidth="1"/>
    <col min="15113" max="15113" width="15.42578125" style="1145" customWidth="1"/>
    <col min="15114" max="15114" width="1.5703125" style="1145" customWidth="1"/>
    <col min="15115" max="15115" width="22.5703125" style="1145" customWidth="1"/>
    <col min="15116" max="15116" width="1.5703125" style="1145" customWidth="1"/>
    <col min="15117" max="15117" width="17.42578125" style="1145" customWidth="1"/>
    <col min="15118" max="15118" width="1.5703125" style="1145" customWidth="1"/>
    <col min="15119" max="15119" width="14.42578125" style="1145" customWidth="1"/>
    <col min="15120" max="15120" width="1.5703125" style="1145" customWidth="1"/>
    <col min="15121" max="15121" width="28.5703125" style="1145" customWidth="1"/>
    <col min="15122" max="15122" width="4.5703125" style="1145" customWidth="1"/>
    <col min="15123" max="15129" width="0" style="1145" hidden="1" customWidth="1"/>
    <col min="15130" max="15367" width="9.42578125" style="1145"/>
    <col min="15368" max="15368" width="0" style="1145" hidden="1" customWidth="1"/>
    <col min="15369" max="15369" width="15.42578125" style="1145" customWidth="1"/>
    <col min="15370" max="15370" width="1.5703125" style="1145" customWidth="1"/>
    <col min="15371" max="15371" width="22.5703125" style="1145" customWidth="1"/>
    <col min="15372" max="15372" width="1.5703125" style="1145" customWidth="1"/>
    <col min="15373" max="15373" width="17.42578125" style="1145" customWidth="1"/>
    <col min="15374" max="15374" width="1.5703125" style="1145" customWidth="1"/>
    <col min="15375" max="15375" width="14.42578125" style="1145" customWidth="1"/>
    <col min="15376" max="15376" width="1.5703125" style="1145" customWidth="1"/>
    <col min="15377" max="15377" width="28.5703125" style="1145" customWidth="1"/>
    <col min="15378" max="15378" width="4.5703125" style="1145" customWidth="1"/>
    <col min="15379" max="15385" width="0" style="1145" hidden="1" customWidth="1"/>
    <col min="15386" max="15623" width="9.42578125" style="1145"/>
    <col min="15624" max="15624" width="0" style="1145" hidden="1" customWidth="1"/>
    <col min="15625" max="15625" width="15.42578125" style="1145" customWidth="1"/>
    <col min="15626" max="15626" width="1.5703125" style="1145" customWidth="1"/>
    <col min="15627" max="15627" width="22.5703125" style="1145" customWidth="1"/>
    <col min="15628" max="15628" width="1.5703125" style="1145" customWidth="1"/>
    <col min="15629" max="15629" width="17.42578125" style="1145" customWidth="1"/>
    <col min="15630" max="15630" width="1.5703125" style="1145" customWidth="1"/>
    <col min="15631" max="15631" width="14.42578125" style="1145" customWidth="1"/>
    <col min="15632" max="15632" width="1.5703125" style="1145" customWidth="1"/>
    <col min="15633" max="15633" width="28.5703125" style="1145" customWidth="1"/>
    <col min="15634" max="15634" width="4.5703125" style="1145" customWidth="1"/>
    <col min="15635" max="15641" width="0" style="1145" hidden="1" customWidth="1"/>
    <col min="15642" max="15879" width="9.42578125" style="1145"/>
    <col min="15880" max="15880" width="0" style="1145" hidden="1" customWidth="1"/>
    <col min="15881" max="15881" width="15.42578125" style="1145" customWidth="1"/>
    <col min="15882" max="15882" width="1.5703125" style="1145" customWidth="1"/>
    <col min="15883" max="15883" width="22.5703125" style="1145" customWidth="1"/>
    <col min="15884" max="15884" width="1.5703125" style="1145" customWidth="1"/>
    <col min="15885" max="15885" width="17.42578125" style="1145" customWidth="1"/>
    <col min="15886" max="15886" width="1.5703125" style="1145" customWidth="1"/>
    <col min="15887" max="15887" width="14.42578125" style="1145" customWidth="1"/>
    <col min="15888" max="15888" width="1.5703125" style="1145" customWidth="1"/>
    <col min="15889" max="15889" width="28.5703125" style="1145" customWidth="1"/>
    <col min="15890" max="15890" width="4.5703125" style="1145" customWidth="1"/>
    <col min="15891" max="15897" width="0" style="1145" hidden="1" customWidth="1"/>
    <col min="15898" max="16135" width="9.42578125" style="1145"/>
    <col min="16136" max="16136" width="0" style="1145" hidden="1" customWidth="1"/>
    <col min="16137" max="16137" width="15.42578125" style="1145" customWidth="1"/>
    <col min="16138" max="16138" width="1.5703125" style="1145" customWidth="1"/>
    <col min="16139" max="16139" width="22.5703125" style="1145" customWidth="1"/>
    <col min="16140" max="16140" width="1.5703125" style="1145" customWidth="1"/>
    <col min="16141" max="16141" width="17.42578125" style="1145" customWidth="1"/>
    <col min="16142" max="16142" width="1.5703125" style="1145" customWidth="1"/>
    <col min="16143" max="16143" width="14.42578125" style="1145" customWidth="1"/>
    <col min="16144" max="16144" width="1.5703125" style="1145" customWidth="1"/>
    <col min="16145" max="16145" width="28.5703125" style="1145" customWidth="1"/>
    <col min="16146" max="16146" width="4.5703125" style="1145" customWidth="1"/>
    <col min="16147" max="16153" width="0" style="1145" hidden="1" customWidth="1"/>
    <col min="16154" max="16384" width="9.42578125" style="1145"/>
  </cols>
  <sheetData>
    <row r="1" spans="1:24" s="1128" customFormat="1" ht="15" customHeight="1" x14ac:dyDescent="0.25">
      <c r="A1" s="2455" t="str">
        <f>Index!A1</f>
        <v xml:space="preserve">                                                               Office of the State Controller                                                                </v>
      </c>
      <c r="B1" s="2455"/>
      <c r="C1" s="2455"/>
      <c r="D1" s="2455"/>
      <c r="E1" s="2455"/>
      <c r="F1" s="2455"/>
      <c r="G1" s="2455"/>
      <c r="H1" s="2455"/>
      <c r="I1" s="2455"/>
      <c r="J1" s="2455"/>
      <c r="K1" s="2455"/>
      <c r="L1" s="2455"/>
      <c r="M1" s="2455"/>
      <c r="N1" s="2455"/>
      <c r="O1" s="2455"/>
      <c r="P1" s="2455"/>
      <c r="Q1" s="2455"/>
      <c r="R1" s="2520" t="str">
        <f>IF(Index!$B$76="na","NA","")</f>
        <v/>
      </c>
      <c r="S1" s="2241"/>
      <c r="T1" s="2241"/>
      <c r="U1" s="2241"/>
      <c r="V1" s="2241"/>
      <c r="W1" s="2241"/>
      <c r="X1" s="2241"/>
    </row>
    <row r="2" spans="1:24" s="1128" customFormat="1" ht="15" customHeight="1" x14ac:dyDescent="0.25">
      <c r="A2" s="2778" t="str">
        <f>Index!A2</f>
        <v>2023 ACFR Worksheets</v>
      </c>
      <c r="B2" s="2778"/>
      <c r="C2" s="2778"/>
      <c r="D2" s="2778"/>
      <c r="E2" s="2778"/>
      <c r="F2" s="2778"/>
      <c r="G2" s="2778"/>
      <c r="H2" s="2778"/>
      <c r="I2" s="2778"/>
      <c r="J2" s="2778"/>
      <c r="K2" s="2778"/>
      <c r="L2" s="2778"/>
      <c r="M2" s="2778"/>
      <c r="N2" s="2778"/>
      <c r="O2" s="2778"/>
      <c r="P2" s="2778"/>
      <c r="Q2" s="2778"/>
      <c r="R2" s="2520"/>
      <c r="S2" s="2241"/>
      <c r="T2" s="2241"/>
      <c r="U2" s="2241"/>
      <c r="V2" s="2241"/>
      <c r="W2" s="2241"/>
      <c r="X2" s="2241"/>
    </row>
    <row r="3" spans="1:24" s="1128" customFormat="1" ht="15" customHeight="1" x14ac:dyDescent="0.25">
      <c r="A3" s="2778" t="s">
        <v>1895</v>
      </c>
      <c r="B3" s="2778"/>
      <c r="C3" s="2778"/>
      <c r="D3" s="2778"/>
      <c r="E3" s="2778"/>
      <c r="F3" s="2778"/>
      <c r="G3" s="2778"/>
      <c r="H3" s="2778"/>
      <c r="I3" s="2778"/>
      <c r="J3" s="2778"/>
      <c r="K3" s="2778"/>
      <c r="L3" s="2778"/>
      <c r="M3" s="2778"/>
      <c r="N3" s="2778"/>
      <c r="O3" s="2778"/>
      <c r="P3" s="2778"/>
      <c r="Q3" s="2778"/>
      <c r="R3" s="2520"/>
      <c r="S3" s="2241"/>
      <c r="T3" s="2241"/>
      <c r="U3" s="2241"/>
      <c r="V3" s="2241"/>
      <c r="W3" s="2241"/>
      <c r="X3" s="2241"/>
    </row>
    <row r="4" spans="1:24" s="1128" customFormat="1" ht="15" customHeight="1" x14ac:dyDescent="0.25">
      <c r="A4" s="2778" t="s">
        <v>1896</v>
      </c>
      <c r="B4" s="2778"/>
      <c r="C4" s="2778"/>
      <c r="D4" s="2778"/>
      <c r="E4" s="2778"/>
      <c r="F4" s="2778"/>
      <c r="G4" s="2778"/>
      <c r="H4" s="2778"/>
      <c r="I4" s="2778"/>
      <c r="J4" s="2778"/>
      <c r="K4" s="2778"/>
      <c r="L4" s="2778"/>
      <c r="M4" s="2778"/>
      <c r="N4" s="2778"/>
      <c r="O4" s="2778"/>
      <c r="P4" s="2778"/>
      <c r="Q4" s="2778"/>
    </row>
    <row r="5" spans="1:24" s="1129" customFormat="1" ht="15" customHeight="1" x14ac:dyDescent="0.25">
      <c r="C5" s="1130"/>
      <c r="D5" s="1131"/>
      <c r="E5" s="1131"/>
      <c r="F5" s="1131"/>
      <c r="G5" s="1131"/>
      <c r="H5" s="1131"/>
      <c r="I5" s="1131"/>
      <c r="J5" s="1131"/>
      <c r="K5" s="1132"/>
      <c r="L5" s="1132"/>
      <c r="M5" s="1132"/>
      <c r="N5" s="1132"/>
      <c r="O5" s="1132" t="s">
        <v>1897</v>
      </c>
      <c r="P5" s="1132"/>
      <c r="Q5" s="1132"/>
    </row>
    <row r="6" spans="1:24" s="1129" customFormat="1" ht="15" customHeight="1" x14ac:dyDescent="0.2">
      <c r="A6" s="1133" t="s">
        <v>317</v>
      </c>
      <c r="C6" s="1134" t="str">
        <f>AgyIdx</f>
        <v>01</v>
      </c>
      <c r="D6" s="1134"/>
      <c r="E6" s="1134"/>
      <c r="H6" s="1135"/>
      <c r="I6" s="1164"/>
      <c r="J6" s="1164"/>
      <c r="K6" s="1164"/>
      <c r="L6" s="1135" t="s">
        <v>319</v>
      </c>
      <c r="M6" s="2779" t="str">
        <f>CONCATENATE(Index!$E$12," ",Index!$E$14)</f>
        <v xml:space="preserve"> </v>
      </c>
      <c r="N6" s="2779"/>
      <c r="O6" s="2779"/>
      <c r="P6" s="2779"/>
      <c r="Q6" s="2779"/>
    </row>
    <row r="7" spans="1:24" s="1129" customFormat="1" ht="15" customHeight="1" x14ac:dyDescent="0.2">
      <c r="A7" s="1133" t="s">
        <v>318</v>
      </c>
      <c r="C7" s="2775" t="str">
        <f>Index!E11</f>
        <v>North Carolina General Assembly</v>
      </c>
      <c r="D7" s="2775"/>
      <c r="E7" s="2775"/>
      <c r="G7" s="1135"/>
      <c r="I7" s="1157"/>
      <c r="J7" s="1157"/>
      <c r="K7" s="1157"/>
      <c r="L7" s="1135" t="s">
        <v>71</v>
      </c>
      <c r="M7" s="2777">
        <f>Index!E13</f>
        <v>0</v>
      </c>
      <c r="N7" s="2777"/>
      <c r="O7" s="2777"/>
      <c r="P7" s="2777"/>
      <c r="Q7" s="2777"/>
    </row>
    <row r="8" spans="1:24" s="1129" customFormat="1" ht="15" customHeight="1" x14ac:dyDescent="0.2">
      <c r="A8" s="1133" t="s">
        <v>1838</v>
      </c>
      <c r="C8" s="2776"/>
      <c r="D8" s="2776"/>
      <c r="E8" s="2776"/>
    </row>
    <row r="9" spans="1:24" s="1129" customFormat="1" ht="15" customHeight="1" thickBot="1" x14ac:dyDescent="0.25">
      <c r="A9" s="1136"/>
      <c r="B9" s="1136"/>
      <c r="C9" s="1136"/>
      <c r="D9" s="1136"/>
      <c r="E9" s="1136"/>
      <c r="F9" s="1136"/>
      <c r="G9" s="1136"/>
      <c r="H9" s="1136"/>
      <c r="I9" s="1136"/>
      <c r="J9" s="1136"/>
      <c r="K9" s="1136"/>
      <c r="L9" s="1136"/>
      <c r="M9" s="1136"/>
      <c r="N9" s="1136"/>
      <c r="O9" s="1136"/>
      <c r="P9" s="1136"/>
      <c r="Q9" s="1136"/>
    </row>
    <row r="10" spans="1:24" s="1129" customFormat="1" ht="15" customHeight="1" x14ac:dyDescent="0.2">
      <c r="A10" s="2772" t="s">
        <v>1898</v>
      </c>
      <c r="B10" s="2773"/>
      <c r="C10" s="2774"/>
      <c r="E10" s="2772" t="s">
        <v>1899</v>
      </c>
      <c r="F10" s="2773"/>
      <c r="G10" s="2774"/>
    </row>
    <row r="11" spans="1:24" s="1129" customFormat="1" ht="15" customHeight="1" x14ac:dyDescent="0.2">
      <c r="A11" s="1227"/>
      <c r="C11" s="1228" t="s">
        <v>1825</v>
      </c>
      <c r="E11" s="1227" t="s">
        <v>50</v>
      </c>
      <c r="G11" s="1232"/>
      <c r="H11" s="1137" t="s">
        <v>50</v>
      </c>
      <c r="J11" s="1130"/>
    </row>
    <row r="12" spans="1:24" s="1129" customFormat="1" ht="15" customHeight="1" x14ac:dyDescent="0.2">
      <c r="A12" s="1227"/>
      <c r="C12" s="1228" t="s">
        <v>1900</v>
      </c>
      <c r="E12" s="1227"/>
      <c r="G12" s="1228"/>
      <c r="J12" s="1130"/>
    </row>
    <row r="13" spans="1:24" s="1129" customFormat="1" ht="15" customHeight="1" x14ac:dyDescent="0.2">
      <c r="A13" s="1227"/>
      <c r="C13" s="1228" t="s">
        <v>1901</v>
      </c>
      <c r="E13" s="1227"/>
      <c r="G13" s="1228"/>
      <c r="J13" s="1130"/>
    </row>
    <row r="14" spans="1:24" s="1129" customFormat="1" ht="15" customHeight="1" x14ac:dyDescent="0.2">
      <c r="A14" s="1227"/>
      <c r="C14" s="1228" t="s">
        <v>1902</v>
      </c>
      <c r="E14" s="1227"/>
      <c r="G14" s="1228"/>
      <c r="J14" s="1130"/>
      <c r="M14" s="131"/>
      <c r="N14" s="1332"/>
      <c r="O14" s="1332"/>
      <c r="P14" s="1332"/>
      <c r="Q14" s="1332"/>
    </row>
    <row r="15" spans="1:24" s="1129" customFormat="1" ht="15" customHeight="1" x14ac:dyDescent="0.2">
      <c r="A15" s="1424"/>
      <c r="C15" s="1228" t="s">
        <v>1903</v>
      </c>
      <c r="E15" s="1424"/>
      <c r="G15" s="1232"/>
      <c r="J15" s="1130"/>
      <c r="M15" s="1332"/>
      <c r="N15" s="1332"/>
      <c r="O15" s="1332"/>
      <c r="P15" s="1332"/>
      <c r="Q15" s="131"/>
    </row>
    <row r="16" spans="1:24" s="1129" customFormat="1" ht="15" customHeight="1" x14ac:dyDescent="0.2">
      <c r="A16" s="1424"/>
      <c r="C16" s="1228" t="s">
        <v>1904</v>
      </c>
      <c r="E16" s="1424"/>
      <c r="G16" s="1232"/>
      <c r="J16" s="1130"/>
    </row>
    <row r="17" spans="1:26" s="1129" customFormat="1" ht="15" customHeight="1" thickBot="1" x14ac:dyDescent="0.25">
      <c r="A17" s="1424"/>
      <c r="C17" s="1228" t="s">
        <v>1905</v>
      </c>
      <c r="E17" s="1424"/>
      <c r="G17" s="1232"/>
      <c r="J17" s="1130"/>
      <c r="M17" s="131"/>
      <c r="N17" s="1332"/>
      <c r="O17" s="1332"/>
      <c r="P17" s="1332"/>
      <c r="Q17" s="1332"/>
    </row>
    <row r="18" spans="1:26" s="1129" customFormat="1" ht="15" customHeight="1" thickBot="1" x14ac:dyDescent="0.25">
      <c r="A18" s="1424"/>
      <c r="C18" s="1228" t="s">
        <v>1906</v>
      </c>
      <c r="E18" s="1424"/>
      <c r="G18" s="1232"/>
      <c r="J18" s="1130"/>
      <c r="M18" s="132" t="s">
        <v>1907</v>
      </c>
      <c r="N18" s="1331"/>
      <c r="O18" s="1331"/>
      <c r="P18" s="1331"/>
      <c r="Q18" s="1331"/>
    </row>
    <row r="19" spans="1:26" s="1129" customFormat="1" ht="15" customHeight="1" x14ac:dyDescent="0.2">
      <c r="A19" s="1227" t="s">
        <v>1879</v>
      </c>
      <c r="C19" s="1228" t="s">
        <v>1908</v>
      </c>
      <c r="E19" s="1227" t="s">
        <v>1909</v>
      </c>
      <c r="G19" s="1228" t="s">
        <v>1910</v>
      </c>
      <c r="J19" s="1130"/>
      <c r="M19" s="1332"/>
      <c r="N19" s="1332"/>
      <c r="O19" s="1332"/>
      <c r="P19" s="1332"/>
      <c r="Q19" s="131" t="s">
        <v>498</v>
      </c>
    </row>
    <row r="20" spans="1:26" s="1129" customFormat="1" ht="15" customHeight="1" thickBot="1" x14ac:dyDescent="0.25">
      <c r="A20" s="1229" t="s">
        <v>1700</v>
      </c>
      <c r="C20" s="1230" t="s">
        <v>1881</v>
      </c>
      <c r="E20" s="1229" t="s">
        <v>1911</v>
      </c>
      <c r="G20" s="1230" t="s">
        <v>1911</v>
      </c>
      <c r="I20" s="1138" t="s">
        <v>1347</v>
      </c>
      <c r="K20" s="1138" t="s">
        <v>1912</v>
      </c>
      <c r="L20" s="1137"/>
      <c r="M20" s="133" t="s">
        <v>1913</v>
      </c>
      <c r="N20" s="130"/>
      <c r="O20" s="133" t="s">
        <v>1914</v>
      </c>
      <c r="P20" s="1333"/>
      <c r="Q20" s="133" t="s">
        <v>1915</v>
      </c>
      <c r="R20" s="1137" t="s">
        <v>50</v>
      </c>
      <c r="S20" s="1137"/>
      <c r="T20" s="1137"/>
      <c r="U20" s="1137"/>
      <c r="V20" s="1137"/>
      <c r="W20" s="1137"/>
      <c r="X20" s="1137"/>
    </row>
    <row r="21" spans="1:26" s="1129" customFormat="1" ht="15" customHeight="1" x14ac:dyDescent="0.2">
      <c r="A21" s="1334" t="s">
        <v>1884</v>
      </c>
      <c r="C21" s="1335">
        <v>438101</v>
      </c>
      <c r="E21" s="1336" t="s">
        <v>1916</v>
      </c>
      <c r="G21" s="1335">
        <v>1100</v>
      </c>
      <c r="H21" s="1140"/>
      <c r="I21" s="1337">
        <v>500000</v>
      </c>
      <c r="K21" s="1338" t="s">
        <v>1885</v>
      </c>
      <c r="L21" s="1339"/>
      <c r="M21" s="1340" t="s">
        <v>1917</v>
      </c>
      <c r="N21" s="1341"/>
      <c r="O21" s="1340"/>
      <c r="P21" s="1341"/>
      <c r="Q21" s="1340"/>
      <c r="R21" s="313" t="str">
        <f t="shared" ref="R21:R35" si="0">IF(AND(S21,Y21),"","*")</f>
        <v/>
      </c>
      <c r="S21" s="1142" t="b">
        <f>IF(OR(T21=0,T21=5),TRUE, FALSE)</f>
        <v>1</v>
      </c>
      <c r="T21" s="1142">
        <f>COUNTIF(U21:Z21,FALSE)</f>
        <v>5</v>
      </c>
      <c r="U21" s="1143" t="b">
        <f>ISBLANK(C21)</f>
        <v>0</v>
      </c>
      <c r="V21" s="1143" t="b">
        <f>ISBLANK(E21)</f>
        <v>0</v>
      </c>
      <c r="W21" s="1143" t="b">
        <f>ISBLANK(G21)</f>
        <v>0</v>
      </c>
      <c r="X21" s="1143" t="b">
        <f>ISBLANK(I21)</f>
        <v>0</v>
      </c>
      <c r="Y21" s="1144" t="b">
        <f>IF(ISBLANK(C21),TRUE,OR(TEXT(LEFT(C21,4),"0000")="4381",TEXT(LEFT(C21,4),"0000")="4380",TEXT(LEFT(C21,4),"0000")="438F"))</f>
        <v>1</v>
      </c>
      <c r="Z21" s="1129" t="b">
        <f t="shared" ref="Z21:Z35" si="1">AND(ISBLANK(M21),ISBLANK(O21),ISBLANK(Q21))</f>
        <v>0</v>
      </c>
    </row>
    <row r="22" spans="1:26" s="1129" customFormat="1" ht="15" customHeight="1" x14ac:dyDescent="0.2">
      <c r="A22" s="1234"/>
      <c r="C22" s="1231"/>
      <c r="E22" s="1233"/>
      <c r="G22" s="1231"/>
      <c r="H22" s="1140"/>
      <c r="I22" s="1141"/>
      <c r="K22" s="1139"/>
      <c r="L22" s="1226"/>
      <c r="M22" s="1355"/>
      <c r="N22" s="1356"/>
      <c r="O22" s="1357"/>
      <c r="P22" s="1356"/>
      <c r="Q22" s="1357"/>
      <c r="R22" s="313" t="str">
        <f t="shared" si="0"/>
        <v/>
      </c>
      <c r="S22" s="1142" t="b">
        <f t="shared" ref="S22:S35" si="2">IF(OR(T22=0,T22=5),TRUE, FALSE)</f>
        <v>1</v>
      </c>
      <c r="T22" s="1142">
        <f t="shared" ref="T22:T35" si="3">COUNTIF(U22:Z22,FALSE)</f>
        <v>0</v>
      </c>
      <c r="U22" s="1143" t="b">
        <f t="shared" ref="U22:U35" si="4">ISBLANK(C22)</f>
        <v>1</v>
      </c>
      <c r="V22" s="1143" t="b">
        <f t="shared" ref="V22:V35" si="5">ISBLANK(E22)</f>
        <v>1</v>
      </c>
      <c r="W22" s="1143" t="b">
        <f t="shared" ref="W22:W35" si="6">ISBLANK(G22)</f>
        <v>1</v>
      </c>
      <c r="X22" s="1143" t="b">
        <f t="shared" ref="X22:X35" si="7">ISBLANK(I22)</f>
        <v>1</v>
      </c>
      <c r="Y22" s="1144" t="b">
        <f>IF(ISBLANK(C22),TRUE,OR(TEXT(LEFT(C22,4),"0000")="4381",TEXT(LEFT(C22,4),"0000")="4380",TEXT(LEFT(C22,4),"0000")="438F"))</f>
        <v>1</v>
      </c>
      <c r="Z22" s="1129" t="b">
        <f t="shared" si="1"/>
        <v>1</v>
      </c>
    </row>
    <row r="23" spans="1:26" s="1129" customFormat="1" ht="15" customHeight="1" x14ac:dyDescent="0.2">
      <c r="A23" s="1234"/>
      <c r="C23" s="1231"/>
      <c r="E23" s="1233"/>
      <c r="G23" s="1231"/>
      <c r="H23" s="1140"/>
      <c r="I23" s="1141"/>
      <c r="K23" s="1139"/>
      <c r="L23" s="1226"/>
      <c r="M23" s="1357"/>
      <c r="N23" s="1356"/>
      <c r="O23" s="1357"/>
      <c r="P23" s="1356"/>
      <c r="Q23" s="1357"/>
      <c r="R23" s="313" t="str">
        <f t="shared" si="0"/>
        <v/>
      </c>
      <c r="S23" s="1142" t="b">
        <f t="shared" si="2"/>
        <v>1</v>
      </c>
      <c r="T23" s="1142">
        <f t="shared" si="3"/>
        <v>0</v>
      </c>
      <c r="U23" s="1143" t="b">
        <f t="shared" si="4"/>
        <v>1</v>
      </c>
      <c r="V23" s="1143" t="b">
        <f t="shared" si="5"/>
        <v>1</v>
      </c>
      <c r="W23" s="1143" t="b">
        <f t="shared" si="6"/>
        <v>1</v>
      </c>
      <c r="X23" s="1143" t="b">
        <f t="shared" si="7"/>
        <v>1</v>
      </c>
      <c r="Y23" s="1144" t="b">
        <f>IF(ISBLANK(C23),TRUE,OR(TEXT(LEFT(C23,4),"0000")="4381",TEXT(LEFT(C23,4),"0000")="4380",TEXT(LEFT(C23,4),"0000")="438F"))</f>
        <v>1</v>
      </c>
      <c r="Z23" s="1129" t="b">
        <f t="shared" si="1"/>
        <v>1</v>
      </c>
    </row>
    <row r="24" spans="1:26" s="1129" customFormat="1" ht="15" customHeight="1" x14ac:dyDescent="0.2">
      <c r="A24" s="1234"/>
      <c r="C24" s="1231"/>
      <c r="E24" s="1233"/>
      <c r="G24" s="1231"/>
      <c r="H24" s="1140"/>
      <c r="I24" s="1141"/>
      <c r="K24" s="1139"/>
      <c r="L24" s="1226"/>
      <c r="M24" s="1357"/>
      <c r="N24" s="1356"/>
      <c r="O24" s="1357"/>
      <c r="P24" s="1356"/>
      <c r="Q24" s="1357"/>
      <c r="R24" s="313" t="str">
        <f t="shared" si="0"/>
        <v/>
      </c>
      <c r="S24" s="1142" t="b">
        <f t="shared" si="2"/>
        <v>1</v>
      </c>
      <c r="T24" s="1142">
        <f t="shared" si="3"/>
        <v>0</v>
      </c>
      <c r="U24" s="1143" t="b">
        <f t="shared" si="4"/>
        <v>1</v>
      </c>
      <c r="V24" s="1143" t="b">
        <f t="shared" si="5"/>
        <v>1</v>
      </c>
      <c r="W24" s="1143" t="b">
        <f t="shared" si="6"/>
        <v>1</v>
      </c>
      <c r="X24" s="1143" t="b">
        <f t="shared" si="7"/>
        <v>1</v>
      </c>
      <c r="Y24" s="1144" t="b">
        <f t="shared" ref="Y24:Y35" si="8">IF(ISBLANK(C24),TRUE,OR(TEXT(LEFT(C24,4),"0000")="4381",TEXT(LEFT(C24,4),"0000")="4380",TEXT(LEFT(C24,4),"0000")="438F"))</f>
        <v>1</v>
      </c>
      <c r="Z24" s="1129" t="b">
        <f t="shared" si="1"/>
        <v>1</v>
      </c>
    </row>
    <row r="25" spans="1:26" s="1129" customFormat="1" ht="15" customHeight="1" x14ac:dyDescent="0.2">
      <c r="A25" s="1234"/>
      <c r="C25" s="1231"/>
      <c r="E25" s="1233"/>
      <c r="G25" s="1231"/>
      <c r="H25" s="1140"/>
      <c r="I25" s="1141"/>
      <c r="K25" s="1139"/>
      <c r="L25" s="1226"/>
      <c r="M25" s="1357"/>
      <c r="N25" s="1356"/>
      <c r="O25" s="1357"/>
      <c r="P25" s="1356"/>
      <c r="Q25" s="1357"/>
      <c r="R25" s="313" t="str">
        <f t="shared" si="0"/>
        <v/>
      </c>
      <c r="S25" s="1142" t="b">
        <f t="shared" si="2"/>
        <v>1</v>
      </c>
      <c r="T25" s="1142">
        <f t="shared" si="3"/>
        <v>0</v>
      </c>
      <c r="U25" s="1143" t="b">
        <f t="shared" si="4"/>
        <v>1</v>
      </c>
      <c r="V25" s="1143" t="b">
        <f t="shared" si="5"/>
        <v>1</v>
      </c>
      <c r="W25" s="1143" t="b">
        <f t="shared" si="6"/>
        <v>1</v>
      </c>
      <c r="X25" s="1143" t="b">
        <f t="shared" si="7"/>
        <v>1</v>
      </c>
      <c r="Y25" s="1144" t="b">
        <f t="shared" si="8"/>
        <v>1</v>
      </c>
      <c r="Z25" s="1129" t="b">
        <f t="shared" si="1"/>
        <v>1</v>
      </c>
    </row>
    <row r="26" spans="1:26" s="1129" customFormat="1" ht="15" customHeight="1" x14ac:dyDescent="0.2">
      <c r="A26" s="1234"/>
      <c r="C26" s="1231"/>
      <c r="E26" s="1233"/>
      <c r="G26" s="1231"/>
      <c r="H26" s="1140"/>
      <c r="I26" s="1141"/>
      <c r="K26" s="1139"/>
      <c r="L26" s="1226"/>
      <c r="M26" s="1357"/>
      <c r="N26" s="1356"/>
      <c r="O26" s="1357"/>
      <c r="P26" s="1356"/>
      <c r="Q26" s="1357"/>
      <c r="R26" s="313" t="str">
        <f t="shared" si="0"/>
        <v/>
      </c>
      <c r="S26" s="1142" t="b">
        <f t="shared" si="2"/>
        <v>1</v>
      </c>
      <c r="T26" s="1142">
        <f t="shared" si="3"/>
        <v>0</v>
      </c>
      <c r="U26" s="1143" t="b">
        <f t="shared" si="4"/>
        <v>1</v>
      </c>
      <c r="V26" s="1143" t="b">
        <f t="shared" si="5"/>
        <v>1</v>
      </c>
      <c r="W26" s="1143" t="b">
        <f t="shared" si="6"/>
        <v>1</v>
      </c>
      <c r="X26" s="1143" t="b">
        <f t="shared" si="7"/>
        <v>1</v>
      </c>
      <c r="Y26" s="1144" t="b">
        <f t="shared" si="8"/>
        <v>1</v>
      </c>
      <c r="Z26" s="1129" t="b">
        <f t="shared" si="1"/>
        <v>1</v>
      </c>
    </row>
    <row r="27" spans="1:26" s="1129" customFormat="1" ht="15" customHeight="1" x14ac:dyDescent="0.2">
      <c r="A27" s="1234"/>
      <c r="C27" s="1231"/>
      <c r="E27" s="1233"/>
      <c r="G27" s="1231"/>
      <c r="H27" s="1140"/>
      <c r="I27" s="1141"/>
      <c r="K27" s="1139"/>
      <c r="L27" s="1226"/>
      <c r="M27" s="1357"/>
      <c r="N27" s="1356"/>
      <c r="O27" s="1357"/>
      <c r="P27" s="1356"/>
      <c r="Q27" s="1357"/>
      <c r="R27" s="313" t="str">
        <f t="shared" si="0"/>
        <v/>
      </c>
      <c r="S27" s="1142" t="b">
        <f t="shared" si="2"/>
        <v>1</v>
      </c>
      <c r="T27" s="1142">
        <f t="shared" si="3"/>
        <v>0</v>
      </c>
      <c r="U27" s="1143" t="b">
        <f t="shared" si="4"/>
        <v>1</v>
      </c>
      <c r="V27" s="1143" t="b">
        <f t="shared" si="5"/>
        <v>1</v>
      </c>
      <c r="W27" s="1143" t="b">
        <f t="shared" si="6"/>
        <v>1</v>
      </c>
      <c r="X27" s="1143" t="b">
        <f t="shared" si="7"/>
        <v>1</v>
      </c>
      <c r="Y27" s="1144" t="b">
        <f t="shared" si="8"/>
        <v>1</v>
      </c>
      <c r="Z27" s="1129" t="b">
        <f t="shared" si="1"/>
        <v>1</v>
      </c>
    </row>
    <row r="28" spans="1:26" s="1129" customFormat="1" ht="15" customHeight="1" x14ac:dyDescent="0.2">
      <c r="A28" s="1234"/>
      <c r="C28" s="1231"/>
      <c r="E28" s="1233"/>
      <c r="G28" s="1231"/>
      <c r="H28" s="1140"/>
      <c r="I28" s="1141"/>
      <c r="K28" s="1139"/>
      <c r="L28" s="1226"/>
      <c r="M28" s="1357"/>
      <c r="N28" s="1356"/>
      <c r="O28" s="1357"/>
      <c r="P28" s="1356"/>
      <c r="Q28" s="1357"/>
      <c r="R28" s="313" t="str">
        <f t="shared" si="0"/>
        <v/>
      </c>
      <c r="S28" s="1142" t="b">
        <f t="shared" si="2"/>
        <v>1</v>
      </c>
      <c r="T28" s="1142">
        <f t="shared" si="3"/>
        <v>0</v>
      </c>
      <c r="U28" s="1143" t="b">
        <f t="shared" si="4"/>
        <v>1</v>
      </c>
      <c r="V28" s="1143" t="b">
        <f t="shared" si="5"/>
        <v>1</v>
      </c>
      <c r="W28" s="1143" t="b">
        <f t="shared" si="6"/>
        <v>1</v>
      </c>
      <c r="X28" s="1143" t="b">
        <f t="shared" si="7"/>
        <v>1</v>
      </c>
      <c r="Y28" s="1144" t="b">
        <f t="shared" si="8"/>
        <v>1</v>
      </c>
      <c r="Z28" s="1129" t="b">
        <f t="shared" si="1"/>
        <v>1</v>
      </c>
    </row>
    <row r="29" spans="1:26" s="1129" customFormat="1" ht="15" customHeight="1" x14ac:dyDescent="0.2">
      <c r="A29" s="1234"/>
      <c r="C29" s="1231"/>
      <c r="E29" s="1233"/>
      <c r="G29" s="1231"/>
      <c r="H29" s="1140"/>
      <c r="I29" s="1141"/>
      <c r="K29" s="1139"/>
      <c r="L29" s="1226"/>
      <c r="M29" s="1357"/>
      <c r="N29" s="1356"/>
      <c r="O29" s="1357"/>
      <c r="P29" s="1356"/>
      <c r="Q29" s="1357"/>
      <c r="R29" s="313" t="str">
        <f t="shared" si="0"/>
        <v/>
      </c>
      <c r="S29" s="1142" t="b">
        <f t="shared" si="2"/>
        <v>1</v>
      </c>
      <c r="T29" s="1142">
        <f t="shared" si="3"/>
        <v>0</v>
      </c>
      <c r="U29" s="1143" t="b">
        <f t="shared" si="4"/>
        <v>1</v>
      </c>
      <c r="V29" s="1143" t="b">
        <f t="shared" si="5"/>
        <v>1</v>
      </c>
      <c r="W29" s="1143" t="b">
        <f t="shared" si="6"/>
        <v>1</v>
      </c>
      <c r="X29" s="1143" t="b">
        <f t="shared" si="7"/>
        <v>1</v>
      </c>
      <c r="Y29" s="1144" t="b">
        <f t="shared" si="8"/>
        <v>1</v>
      </c>
      <c r="Z29" s="1129" t="b">
        <f t="shared" si="1"/>
        <v>1</v>
      </c>
    </row>
    <row r="30" spans="1:26" s="1129" customFormat="1" ht="15" customHeight="1" x14ac:dyDescent="0.2">
      <c r="A30" s="1234"/>
      <c r="C30" s="1231"/>
      <c r="E30" s="1233"/>
      <c r="G30" s="1231"/>
      <c r="H30" s="1140"/>
      <c r="I30" s="1141"/>
      <c r="K30" s="1139"/>
      <c r="L30" s="1226"/>
      <c r="M30" s="1357"/>
      <c r="N30" s="1356"/>
      <c r="O30" s="1357"/>
      <c r="P30" s="1356"/>
      <c r="Q30" s="1357"/>
      <c r="R30" s="313" t="str">
        <f t="shared" si="0"/>
        <v/>
      </c>
      <c r="S30" s="1142" t="b">
        <f t="shared" si="2"/>
        <v>1</v>
      </c>
      <c r="T30" s="1142">
        <f t="shared" si="3"/>
        <v>0</v>
      </c>
      <c r="U30" s="1143" t="b">
        <f t="shared" si="4"/>
        <v>1</v>
      </c>
      <c r="V30" s="1143" t="b">
        <f t="shared" si="5"/>
        <v>1</v>
      </c>
      <c r="W30" s="1143" t="b">
        <f t="shared" si="6"/>
        <v>1</v>
      </c>
      <c r="X30" s="1143" t="b">
        <f t="shared" si="7"/>
        <v>1</v>
      </c>
      <c r="Y30" s="1144" t="b">
        <f t="shared" si="8"/>
        <v>1</v>
      </c>
      <c r="Z30" s="1129" t="b">
        <f t="shared" si="1"/>
        <v>1</v>
      </c>
    </row>
    <row r="31" spans="1:26" s="1129" customFormat="1" ht="15" customHeight="1" x14ac:dyDescent="0.2">
      <c r="A31" s="1234"/>
      <c r="C31" s="1231"/>
      <c r="E31" s="1233"/>
      <c r="G31" s="1231"/>
      <c r="H31" s="1140"/>
      <c r="I31" s="1141"/>
      <c r="K31" s="1139"/>
      <c r="L31" s="1226"/>
      <c r="M31" s="1357"/>
      <c r="N31" s="1356"/>
      <c r="O31" s="1357"/>
      <c r="P31" s="1356"/>
      <c r="Q31" s="1357"/>
      <c r="R31" s="313" t="str">
        <f t="shared" si="0"/>
        <v/>
      </c>
      <c r="S31" s="1142" t="b">
        <f t="shared" si="2"/>
        <v>1</v>
      </c>
      <c r="T31" s="1142">
        <f t="shared" si="3"/>
        <v>0</v>
      </c>
      <c r="U31" s="1143" t="b">
        <f t="shared" si="4"/>
        <v>1</v>
      </c>
      <c r="V31" s="1143" t="b">
        <f t="shared" si="5"/>
        <v>1</v>
      </c>
      <c r="W31" s="1143" t="b">
        <f t="shared" si="6"/>
        <v>1</v>
      </c>
      <c r="X31" s="1143" t="b">
        <f t="shared" si="7"/>
        <v>1</v>
      </c>
      <c r="Y31" s="1144" t="b">
        <f t="shared" si="8"/>
        <v>1</v>
      </c>
      <c r="Z31" s="1129" t="b">
        <f t="shared" si="1"/>
        <v>1</v>
      </c>
    </row>
    <row r="32" spans="1:26" s="1129" customFormat="1" ht="15" customHeight="1" x14ac:dyDescent="0.2">
      <c r="A32" s="1234"/>
      <c r="C32" s="1231"/>
      <c r="E32" s="1233"/>
      <c r="G32" s="1231"/>
      <c r="H32" s="1140"/>
      <c r="I32" s="1141"/>
      <c r="K32" s="1139"/>
      <c r="L32" s="1226"/>
      <c r="M32" s="1357"/>
      <c r="N32" s="1356"/>
      <c r="O32" s="1357"/>
      <c r="P32" s="1356"/>
      <c r="Q32" s="1357"/>
      <c r="R32" s="313" t="str">
        <f t="shared" si="0"/>
        <v/>
      </c>
      <c r="S32" s="1142" t="b">
        <f t="shared" si="2"/>
        <v>1</v>
      </c>
      <c r="T32" s="1142">
        <f t="shared" si="3"/>
        <v>0</v>
      </c>
      <c r="U32" s="1143" t="b">
        <f t="shared" si="4"/>
        <v>1</v>
      </c>
      <c r="V32" s="1143" t="b">
        <f t="shared" si="5"/>
        <v>1</v>
      </c>
      <c r="W32" s="1143" t="b">
        <f t="shared" si="6"/>
        <v>1</v>
      </c>
      <c r="X32" s="1143" t="b">
        <f t="shared" si="7"/>
        <v>1</v>
      </c>
      <c r="Y32" s="1144" t="b">
        <f t="shared" si="8"/>
        <v>1</v>
      </c>
      <c r="Z32" s="1129" t="b">
        <f t="shared" si="1"/>
        <v>1</v>
      </c>
    </row>
    <row r="33" spans="1:26" s="1129" customFormat="1" ht="15" customHeight="1" x14ac:dyDescent="0.2">
      <c r="A33" s="1234"/>
      <c r="C33" s="1231"/>
      <c r="E33" s="1233"/>
      <c r="G33" s="1231"/>
      <c r="H33" s="1140"/>
      <c r="I33" s="1141"/>
      <c r="K33" s="1139"/>
      <c r="L33" s="1226"/>
      <c r="M33" s="1357"/>
      <c r="N33" s="1356"/>
      <c r="O33" s="1357"/>
      <c r="P33" s="1356"/>
      <c r="Q33" s="1357"/>
      <c r="R33" s="313" t="str">
        <f t="shared" si="0"/>
        <v/>
      </c>
      <c r="S33" s="1142" t="b">
        <f t="shared" si="2"/>
        <v>1</v>
      </c>
      <c r="T33" s="1142">
        <f t="shared" si="3"/>
        <v>0</v>
      </c>
      <c r="U33" s="1143" t="b">
        <f t="shared" si="4"/>
        <v>1</v>
      </c>
      <c r="V33" s="1143" t="b">
        <f t="shared" si="5"/>
        <v>1</v>
      </c>
      <c r="W33" s="1143" t="b">
        <f t="shared" si="6"/>
        <v>1</v>
      </c>
      <c r="X33" s="1143" t="b">
        <f t="shared" si="7"/>
        <v>1</v>
      </c>
      <c r="Y33" s="1144" t="b">
        <f t="shared" si="8"/>
        <v>1</v>
      </c>
      <c r="Z33" s="1129" t="b">
        <f t="shared" si="1"/>
        <v>1</v>
      </c>
    </row>
    <row r="34" spans="1:26" s="1129" customFormat="1" ht="15" customHeight="1" x14ac:dyDescent="0.2">
      <c r="A34" s="1234"/>
      <c r="C34" s="1231"/>
      <c r="E34" s="1233"/>
      <c r="G34" s="1231"/>
      <c r="H34" s="1140"/>
      <c r="I34" s="1141"/>
      <c r="K34" s="1139"/>
      <c r="L34" s="1226"/>
      <c r="M34" s="1357"/>
      <c r="N34" s="1356"/>
      <c r="O34" s="1357"/>
      <c r="P34" s="1356"/>
      <c r="Q34" s="1357"/>
      <c r="R34" s="313" t="str">
        <f t="shared" si="0"/>
        <v/>
      </c>
      <c r="S34" s="1142" t="b">
        <f t="shared" si="2"/>
        <v>1</v>
      </c>
      <c r="T34" s="1142">
        <f t="shared" si="3"/>
        <v>0</v>
      </c>
      <c r="U34" s="1143" t="b">
        <f t="shared" si="4"/>
        <v>1</v>
      </c>
      <c r="V34" s="1143" t="b">
        <f t="shared" si="5"/>
        <v>1</v>
      </c>
      <c r="W34" s="1143" t="b">
        <f t="shared" si="6"/>
        <v>1</v>
      </c>
      <c r="X34" s="1143" t="b">
        <f t="shared" si="7"/>
        <v>1</v>
      </c>
      <c r="Y34" s="1144" t="b">
        <f t="shared" si="8"/>
        <v>1</v>
      </c>
      <c r="Z34" s="1129" t="b">
        <f t="shared" si="1"/>
        <v>1</v>
      </c>
    </row>
    <row r="35" spans="1:26" s="1129" customFormat="1" ht="15" customHeight="1" x14ac:dyDescent="0.2">
      <c r="A35" s="1234"/>
      <c r="C35" s="1231"/>
      <c r="E35" s="1233"/>
      <c r="G35" s="1231"/>
      <c r="H35" s="1140"/>
      <c r="I35" s="1141"/>
      <c r="K35" s="1139"/>
      <c r="L35" s="1226"/>
      <c r="M35" s="1357"/>
      <c r="N35" s="1356"/>
      <c r="O35" s="1357"/>
      <c r="P35" s="1356"/>
      <c r="Q35" s="1357"/>
      <c r="R35" s="313" t="str">
        <f t="shared" si="0"/>
        <v/>
      </c>
      <c r="S35" s="1142" t="b">
        <f t="shared" si="2"/>
        <v>1</v>
      </c>
      <c r="T35" s="1142">
        <f t="shared" si="3"/>
        <v>0</v>
      </c>
      <c r="U35" s="1143" t="b">
        <f t="shared" si="4"/>
        <v>1</v>
      </c>
      <c r="V35" s="1143" t="b">
        <f t="shared" si="5"/>
        <v>1</v>
      </c>
      <c r="W35" s="1143" t="b">
        <f t="shared" si="6"/>
        <v>1</v>
      </c>
      <c r="X35" s="1143" t="b">
        <f t="shared" si="7"/>
        <v>1</v>
      </c>
      <c r="Y35" s="1144" t="b">
        <f t="shared" si="8"/>
        <v>1</v>
      </c>
      <c r="Z35" s="1129" t="b">
        <f t="shared" si="1"/>
        <v>1</v>
      </c>
    </row>
    <row r="36" spans="1:26" ht="20.100000000000001" customHeight="1" thickBot="1" x14ac:dyDescent="0.3">
      <c r="A36" s="1342"/>
      <c r="B36" s="1343"/>
      <c r="C36" s="1344"/>
      <c r="D36" s="1146"/>
      <c r="E36" s="1345"/>
      <c r="F36" s="1346"/>
      <c r="G36" s="1344"/>
      <c r="H36" s="1147"/>
      <c r="I36" s="1146"/>
      <c r="J36" s="1146"/>
      <c r="K36" s="1146"/>
      <c r="L36" s="1146"/>
      <c r="M36" s="1146"/>
      <c r="N36" s="1146"/>
      <c r="O36" s="1146"/>
      <c r="P36" s="1146"/>
      <c r="Q36" s="1146"/>
      <c r="R36" s="1148"/>
      <c r="S36" s="1142">
        <f>COUNTIF(S21:S35,FALSE)</f>
        <v>0</v>
      </c>
      <c r="T36" s="1148"/>
      <c r="U36" s="1148"/>
      <c r="V36" s="1148"/>
      <c r="W36" s="1148"/>
      <c r="X36" s="1148"/>
      <c r="Y36" s="1149">
        <f>COUNTIF(Y21:Y35,FALSE)</f>
        <v>0</v>
      </c>
    </row>
    <row r="37" spans="1:26" ht="6" customHeight="1" x14ac:dyDescent="0.25">
      <c r="C37" s="1146"/>
      <c r="D37" s="1146"/>
      <c r="E37" s="1146"/>
      <c r="F37" s="1146"/>
      <c r="G37" s="1146"/>
      <c r="H37" s="1147"/>
      <c r="I37" s="1146"/>
      <c r="J37" s="1146"/>
      <c r="K37" s="1146"/>
      <c r="L37" s="1146"/>
      <c r="M37" s="1146"/>
      <c r="N37" s="1146"/>
      <c r="O37" s="1146"/>
      <c r="P37" s="1146"/>
      <c r="Q37" s="1146"/>
      <c r="R37" s="1148"/>
      <c r="S37" s="1142"/>
      <c r="T37" s="1148"/>
      <c r="U37" s="1148"/>
      <c r="V37" s="1148"/>
      <c r="W37" s="1148"/>
      <c r="X37" s="1148"/>
      <c r="Y37" s="1149"/>
    </row>
    <row r="38" spans="1:26" s="1150" customFormat="1" ht="11.25" customHeight="1" x14ac:dyDescent="0.2">
      <c r="A38" s="1172" t="s">
        <v>1886</v>
      </c>
    </row>
    <row r="39" spans="1:26" s="1153" customFormat="1" ht="14.25" customHeight="1" x14ac:dyDescent="0.2">
      <c r="A39" s="1151"/>
      <c r="B39" s="1152"/>
      <c r="C39" s="1152"/>
      <c r="D39" s="1151"/>
      <c r="E39" s="1151"/>
      <c r="F39" s="1151"/>
      <c r="G39" s="1151"/>
      <c r="H39" s="1151"/>
      <c r="I39" s="1151"/>
      <c r="J39" s="1151"/>
      <c r="K39" s="1151"/>
      <c r="L39" s="1151"/>
      <c r="M39" s="1151"/>
      <c r="N39" s="1151"/>
      <c r="O39" s="1151"/>
      <c r="P39" s="1151"/>
      <c r="Q39" s="1151"/>
    </row>
    <row r="40" spans="1:26" s="1153" customFormat="1" ht="15" customHeight="1" x14ac:dyDescent="0.2">
      <c r="A40" s="1151"/>
      <c r="B40" s="1154"/>
      <c r="C40" s="1154"/>
      <c r="D40" s="1151"/>
      <c r="E40" s="1151"/>
      <c r="F40" s="1151"/>
      <c r="G40" s="1151"/>
      <c r="H40" s="1151"/>
      <c r="I40" s="1151"/>
      <c r="J40" s="1151"/>
      <c r="K40" s="1155"/>
      <c r="L40" s="1155"/>
      <c r="M40" s="1155"/>
      <c r="N40" s="1155"/>
      <c r="O40" s="1155"/>
      <c r="P40" s="1155"/>
      <c r="Q40" s="1155"/>
    </row>
    <row r="41" spans="1:26" s="1153" customFormat="1" ht="15" customHeight="1" x14ac:dyDescent="0.2">
      <c r="A41" s="1155"/>
      <c r="B41" s="1152"/>
      <c r="C41" s="1152"/>
      <c r="D41" s="1155"/>
      <c r="E41" s="1155"/>
      <c r="F41" s="1155"/>
      <c r="G41" s="1155"/>
      <c r="H41" s="1155"/>
      <c r="I41" s="1155"/>
      <c r="J41" s="1155"/>
      <c r="K41" s="1155"/>
      <c r="L41" s="1155"/>
      <c r="M41" s="1155"/>
      <c r="N41" s="1155"/>
      <c r="O41" s="1155"/>
      <c r="P41" s="1155"/>
      <c r="Q41" s="1155"/>
    </row>
    <row r="42" spans="1:26" ht="26.1" customHeight="1" x14ac:dyDescent="0.25">
      <c r="F42" s="1146"/>
    </row>
    <row r="43" spans="1:26" ht="20.85" customHeight="1" x14ac:dyDescent="0.25">
      <c r="A43" s="692" t="s">
        <v>1918</v>
      </c>
      <c r="F43" s="1146"/>
    </row>
    <row r="44" spans="1:26" ht="20.85" customHeight="1" x14ac:dyDescent="0.25">
      <c r="B44" s="445"/>
      <c r="C44" s="445"/>
      <c r="F44" s="1146"/>
    </row>
    <row r="45" spans="1:26" ht="20.85" customHeight="1" x14ac:dyDescent="0.25">
      <c r="F45" s="1146"/>
      <c r="G45" s="1145" t="s">
        <v>50</v>
      </c>
    </row>
    <row r="46" spans="1:26" ht="20.85" customHeight="1" x14ac:dyDescent="0.25">
      <c r="F46" s="1146"/>
    </row>
    <row r="47" spans="1:26" ht="20.85" customHeight="1" x14ac:dyDescent="0.25">
      <c r="F47" s="1146"/>
    </row>
    <row r="48" spans="1:26" ht="20.85" customHeight="1" x14ac:dyDescent="0.25">
      <c r="F48" s="1146"/>
      <c r="G48" s="1156" t="s">
        <v>50</v>
      </c>
      <c r="H48" s="1156"/>
      <c r="R48" s="1156" t="s">
        <v>50</v>
      </c>
      <c r="S48" s="1156"/>
      <c r="T48" s="1156"/>
      <c r="U48" s="1156"/>
      <c r="V48" s="1156"/>
      <c r="W48" s="1156"/>
      <c r="X48" s="1156"/>
    </row>
    <row r="49" spans="6:6" x14ac:dyDescent="0.25">
      <c r="F49" s="1146"/>
    </row>
    <row r="50" spans="6:6" x14ac:dyDescent="0.25">
      <c r="F50" s="1146"/>
    </row>
    <row r="51" spans="6:6" x14ac:dyDescent="0.25">
      <c r="F51" s="1146"/>
    </row>
    <row r="52" spans="6:6" x14ac:dyDescent="0.25">
      <c r="F52" s="1146"/>
    </row>
    <row r="53" spans="6:6" x14ac:dyDescent="0.25">
      <c r="F53" s="1146"/>
    </row>
    <row r="54" spans="6:6" x14ac:dyDescent="0.25">
      <c r="F54" s="1146"/>
    </row>
    <row r="55" spans="6:6" x14ac:dyDescent="0.25">
      <c r="F55" s="1146"/>
    </row>
    <row r="56" spans="6:6" x14ac:dyDescent="0.25">
      <c r="F56" s="1146"/>
    </row>
    <row r="57" spans="6:6" x14ac:dyDescent="0.25">
      <c r="F57" s="1146"/>
    </row>
    <row r="58" spans="6:6" x14ac:dyDescent="0.25">
      <c r="F58" s="1146"/>
    </row>
    <row r="59" spans="6:6" x14ac:dyDescent="0.25">
      <c r="F59" s="1146"/>
    </row>
    <row r="60" spans="6:6" x14ac:dyDescent="0.25">
      <c r="F60" s="1146"/>
    </row>
    <row r="61" spans="6:6" x14ac:dyDescent="0.25">
      <c r="F61" s="1146"/>
    </row>
    <row r="62" spans="6:6" x14ac:dyDescent="0.25">
      <c r="F62" s="1146"/>
    </row>
    <row r="63" spans="6:6" x14ac:dyDescent="0.25">
      <c r="F63" s="1146"/>
    </row>
    <row r="64" spans="6:6" x14ac:dyDescent="0.25">
      <c r="F64" s="1146"/>
    </row>
    <row r="65" spans="6:6" x14ac:dyDescent="0.25">
      <c r="F65" s="1146"/>
    </row>
    <row r="66" spans="6:6" x14ac:dyDescent="0.25">
      <c r="F66" s="1146"/>
    </row>
    <row r="67" spans="6:6" x14ac:dyDescent="0.25">
      <c r="F67" s="1146"/>
    </row>
    <row r="68" spans="6:6" x14ac:dyDescent="0.25">
      <c r="F68" s="1146"/>
    </row>
    <row r="69" spans="6:6" x14ac:dyDescent="0.25">
      <c r="F69" s="1146"/>
    </row>
    <row r="70" spans="6:6" x14ac:dyDescent="0.25">
      <c r="F70" s="1146"/>
    </row>
    <row r="71" spans="6:6" x14ac:dyDescent="0.25">
      <c r="F71" s="1146"/>
    </row>
    <row r="72" spans="6:6" x14ac:dyDescent="0.25">
      <c r="F72" s="1146"/>
    </row>
    <row r="73" spans="6:6" x14ac:dyDescent="0.25">
      <c r="F73" s="1146"/>
    </row>
    <row r="74" spans="6:6" x14ac:dyDescent="0.25">
      <c r="F74" s="1146"/>
    </row>
    <row r="75" spans="6:6" x14ac:dyDescent="0.25">
      <c r="F75" s="1146"/>
    </row>
    <row r="76" spans="6:6" x14ac:dyDescent="0.25">
      <c r="F76" s="1146"/>
    </row>
    <row r="77" spans="6:6" x14ac:dyDescent="0.25">
      <c r="F77" s="1146"/>
    </row>
    <row r="78" spans="6:6" x14ac:dyDescent="0.25">
      <c r="F78" s="1146"/>
    </row>
    <row r="79" spans="6:6" x14ac:dyDescent="0.25">
      <c r="F79" s="1146"/>
    </row>
    <row r="80" spans="6:6" x14ac:dyDescent="0.25">
      <c r="F80" s="1146"/>
    </row>
    <row r="81" spans="6:6" x14ac:dyDescent="0.25">
      <c r="F81" s="1146"/>
    </row>
    <row r="82" spans="6:6" x14ac:dyDescent="0.25">
      <c r="F82" s="1146"/>
    </row>
    <row r="83" spans="6:6" x14ac:dyDescent="0.25">
      <c r="F83" s="1146"/>
    </row>
    <row r="84" spans="6:6" x14ac:dyDescent="0.25">
      <c r="F84" s="1146"/>
    </row>
    <row r="85" spans="6:6" x14ac:dyDescent="0.25">
      <c r="F85" s="1146"/>
    </row>
    <row r="86" spans="6:6" x14ac:dyDescent="0.25">
      <c r="F86" s="1146"/>
    </row>
    <row r="87" spans="6:6" x14ac:dyDescent="0.25">
      <c r="F87" s="1146"/>
    </row>
    <row r="88" spans="6:6" x14ac:dyDescent="0.25">
      <c r="F88" s="1146"/>
    </row>
    <row r="89" spans="6:6" x14ac:dyDescent="0.25">
      <c r="F89" s="1146"/>
    </row>
    <row r="90" spans="6:6" x14ac:dyDescent="0.25">
      <c r="F90" s="1146"/>
    </row>
    <row r="91" spans="6:6" x14ac:dyDescent="0.25">
      <c r="F91" s="1146"/>
    </row>
    <row r="92" spans="6:6" x14ac:dyDescent="0.25">
      <c r="F92" s="1146"/>
    </row>
    <row r="93" spans="6:6" x14ac:dyDescent="0.25">
      <c r="F93" s="1146"/>
    </row>
    <row r="94" spans="6:6" x14ac:dyDescent="0.25">
      <c r="F94" s="1146"/>
    </row>
    <row r="95" spans="6:6" x14ac:dyDescent="0.25">
      <c r="F95" s="1146"/>
    </row>
    <row r="96" spans="6:6" x14ac:dyDescent="0.25">
      <c r="F96" s="1146"/>
    </row>
    <row r="97" spans="6:6" x14ac:dyDescent="0.25">
      <c r="F97" s="1146"/>
    </row>
    <row r="98" spans="6:6" x14ac:dyDescent="0.25">
      <c r="F98" s="1146"/>
    </row>
    <row r="99" spans="6:6" x14ac:dyDescent="0.25">
      <c r="F99" s="1146"/>
    </row>
    <row r="100" spans="6:6" x14ac:dyDescent="0.25">
      <c r="F100" s="1146"/>
    </row>
    <row r="101" spans="6:6" x14ac:dyDescent="0.25">
      <c r="F101" s="1146"/>
    </row>
    <row r="102" spans="6:6" x14ac:dyDescent="0.25">
      <c r="F102" s="1146"/>
    </row>
    <row r="103" spans="6:6" x14ac:dyDescent="0.25">
      <c r="F103" s="1146"/>
    </row>
    <row r="104" spans="6:6" x14ac:dyDescent="0.25">
      <c r="F104" s="1146"/>
    </row>
    <row r="105" spans="6:6" x14ac:dyDescent="0.25">
      <c r="F105" s="1146"/>
    </row>
    <row r="106" spans="6:6" x14ac:dyDescent="0.25">
      <c r="F106" s="1146"/>
    </row>
    <row r="107" spans="6:6" x14ac:dyDescent="0.25">
      <c r="F107" s="1146"/>
    </row>
    <row r="108" spans="6:6" x14ac:dyDescent="0.25">
      <c r="F108" s="1146"/>
    </row>
    <row r="109" spans="6:6" x14ac:dyDescent="0.25">
      <c r="F109" s="1146"/>
    </row>
    <row r="110" spans="6:6" x14ac:dyDescent="0.25">
      <c r="F110" s="1146"/>
    </row>
    <row r="111" spans="6:6" x14ac:dyDescent="0.25">
      <c r="F111" s="1146"/>
    </row>
    <row r="112" spans="6:6" x14ac:dyDescent="0.25">
      <c r="F112" s="1146"/>
    </row>
    <row r="113" spans="6:6" x14ac:dyDescent="0.25">
      <c r="F113" s="1146"/>
    </row>
    <row r="114" spans="6:6" x14ac:dyDescent="0.25">
      <c r="F114" s="1146"/>
    </row>
    <row r="115" spans="6:6" x14ac:dyDescent="0.25">
      <c r="F115" s="1146"/>
    </row>
    <row r="116" spans="6:6" x14ac:dyDescent="0.25">
      <c r="F116" s="1146"/>
    </row>
    <row r="117" spans="6:6" x14ac:dyDescent="0.25">
      <c r="F117" s="1146"/>
    </row>
    <row r="118" spans="6:6" x14ac:dyDescent="0.25">
      <c r="F118" s="1146"/>
    </row>
    <row r="119" spans="6:6" x14ac:dyDescent="0.25">
      <c r="F119" s="1146"/>
    </row>
    <row r="120" spans="6:6" x14ac:dyDescent="0.25">
      <c r="F120" s="1146"/>
    </row>
    <row r="121" spans="6:6" x14ac:dyDescent="0.25">
      <c r="F121" s="1146"/>
    </row>
    <row r="122" spans="6:6" x14ac:dyDescent="0.25">
      <c r="F122" s="1146"/>
    </row>
    <row r="123" spans="6:6" x14ac:dyDescent="0.25">
      <c r="F123" s="1146"/>
    </row>
    <row r="124" spans="6:6" x14ac:dyDescent="0.25">
      <c r="F124" s="1146"/>
    </row>
    <row r="125" spans="6:6" x14ac:dyDescent="0.25">
      <c r="F125" s="1146"/>
    </row>
    <row r="126" spans="6:6" x14ac:dyDescent="0.25">
      <c r="F126" s="1146"/>
    </row>
    <row r="127" spans="6:6" x14ac:dyDescent="0.25">
      <c r="F127" s="1146"/>
    </row>
    <row r="128" spans="6:6" x14ac:dyDescent="0.25">
      <c r="F128" s="1146"/>
    </row>
    <row r="129" spans="6:6" x14ac:dyDescent="0.25">
      <c r="F129" s="1146"/>
    </row>
    <row r="130" spans="6:6" x14ac:dyDescent="0.25">
      <c r="F130" s="1146"/>
    </row>
    <row r="131" spans="6:6" x14ac:dyDescent="0.25">
      <c r="F131" s="1146"/>
    </row>
    <row r="132" spans="6:6" x14ac:dyDescent="0.25">
      <c r="F132" s="1146"/>
    </row>
    <row r="133" spans="6:6" x14ac:dyDescent="0.25">
      <c r="F133" s="1146"/>
    </row>
    <row r="134" spans="6:6" x14ac:dyDescent="0.25">
      <c r="F134" s="1146"/>
    </row>
    <row r="135" spans="6:6" x14ac:dyDescent="0.25">
      <c r="F135" s="1146"/>
    </row>
    <row r="136" spans="6:6" x14ac:dyDescent="0.25">
      <c r="F136" s="1146"/>
    </row>
    <row r="137" spans="6:6" x14ac:dyDescent="0.25">
      <c r="F137" s="1146"/>
    </row>
    <row r="138" spans="6:6" x14ac:dyDescent="0.25">
      <c r="F138" s="1146"/>
    </row>
    <row r="139" spans="6:6" x14ac:dyDescent="0.25">
      <c r="F139" s="1146"/>
    </row>
    <row r="140" spans="6:6" x14ac:dyDescent="0.25">
      <c r="F140" s="1146"/>
    </row>
    <row r="141" spans="6:6" x14ac:dyDescent="0.25">
      <c r="F141" s="1146"/>
    </row>
    <row r="142" spans="6:6" x14ac:dyDescent="0.25">
      <c r="F142" s="1146"/>
    </row>
    <row r="143" spans="6:6" x14ac:dyDescent="0.25">
      <c r="F143" s="1146"/>
    </row>
    <row r="144" spans="6:6" x14ac:dyDescent="0.25">
      <c r="F144" s="1146"/>
    </row>
    <row r="145" spans="6:6" x14ac:dyDescent="0.25">
      <c r="F145" s="1146"/>
    </row>
    <row r="146" spans="6:6" x14ac:dyDescent="0.25">
      <c r="F146" s="1146"/>
    </row>
    <row r="147" spans="6:6" x14ac:dyDescent="0.25">
      <c r="F147" s="1146"/>
    </row>
    <row r="148" spans="6:6" x14ac:dyDescent="0.25">
      <c r="F148" s="1146"/>
    </row>
    <row r="149" spans="6:6" x14ac:dyDescent="0.25">
      <c r="F149" s="1146"/>
    </row>
    <row r="150" spans="6:6" x14ac:dyDescent="0.25">
      <c r="F150" s="1146"/>
    </row>
    <row r="151" spans="6:6" x14ac:dyDescent="0.25">
      <c r="F151" s="1146"/>
    </row>
    <row r="152" spans="6:6" x14ac:dyDescent="0.25">
      <c r="F152" s="1146"/>
    </row>
    <row r="153" spans="6:6" x14ac:dyDescent="0.25">
      <c r="F153" s="1146"/>
    </row>
    <row r="154" spans="6:6" x14ac:dyDescent="0.25">
      <c r="F154" s="1146"/>
    </row>
    <row r="155" spans="6:6" x14ac:dyDescent="0.25">
      <c r="F155" s="1146"/>
    </row>
    <row r="156" spans="6:6" x14ac:dyDescent="0.25">
      <c r="F156" s="1146"/>
    </row>
    <row r="157" spans="6:6" x14ac:dyDescent="0.25">
      <c r="F157" s="1146"/>
    </row>
    <row r="158" spans="6:6" x14ac:dyDescent="0.25">
      <c r="F158" s="1146"/>
    </row>
    <row r="159" spans="6:6" x14ac:dyDescent="0.25">
      <c r="F159" s="1146"/>
    </row>
    <row r="160" spans="6:6" x14ac:dyDescent="0.25">
      <c r="F160" s="1146"/>
    </row>
    <row r="161" spans="6:6" x14ac:dyDescent="0.25">
      <c r="F161" s="1146"/>
    </row>
    <row r="162" spans="6:6" x14ac:dyDescent="0.25">
      <c r="F162" s="1146"/>
    </row>
    <row r="163" spans="6:6" x14ac:dyDescent="0.25">
      <c r="F163" s="1146"/>
    </row>
    <row r="164" spans="6:6" x14ac:dyDescent="0.25">
      <c r="F164" s="1146"/>
    </row>
    <row r="165" spans="6:6" x14ac:dyDescent="0.25">
      <c r="F165" s="1146"/>
    </row>
    <row r="166" spans="6:6" x14ac:dyDescent="0.25">
      <c r="F166" s="1146"/>
    </row>
    <row r="167" spans="6:6" x14ac:dyDescent="0.25">
      <c r="F167" s="1146"/>
    </row>
    <row r="168" spans="6:6" x14ac:dyDescent="0.25">
      <c r="F168" s="1146"/>
    </row>
    <row r="169" spans="6:6" x14ac:dyDescent="0.25">
      <c r="F169" s="1146"/>
    </row>
    <row r="170" spans="6:6" x14ac:dyDescent="0.25">
      <c r="F170" s="1146"/>
    </row>
    <row r="171" spans="6:6" x14ac:dyDescent="0.25">
      <c r="F171" s="1146"/>
    </row>
    <row r="172" spans="6:6" x14ac:dyDescent="0.25">
      <c r="F172" s="1146"/>
    </row>
    <row r="173" spans="6:6" x14ac:dyDescent="0.25">
      <c r="F173" s="1146"/>
    </row>
  </sheetData>
  <sheetProtection algorithmName="SHA-512" hashValue="ENSYS6RH8Jg+nu0FtY/gnvLH63if3K7EA2iy2wWnwLhmLZmEoaLFdAd6ujkJgXTm5DmxSlOE6fAQD/LXMsPrtg==" saltValue="ti21CuMlbjz+TOSoGyrc9Q==" spinCount="100000" sheet="1" objects="1" scenarios="1" autoFilter="0"/>
  <dataConsolidate link="1"/>
  <mergeCells count="11">
    <mergeCell ref="R1:R3"/>
    <mergeCell ref="A2:Q2"/>
    <mergeCell ref="A3:Q3"/>
    <mergeCell ref="A4:Q4"/>
    <mergeCell ref="M6:Q6"/>
    <mergeCell ref="A1:Q1"/>
    <mergeCell ref="A10:C10"/>
    <mergeCell ref="E10:G10"/>
    <mergeCell ref="C7:E7"/>
    <mergeCell ref="C8:E8"/>
    <mergeCell ref="M7:Q7"/>
  </mergeCells>
  <conditionalFormatting sqref="R1:X3">
    <cfRule type="cellIs" dxfId="58" priority="1" stopIfTrue="1" operator="equal">
      <formula>"na"</formula>
    </cfRule>
  </conditionalFormatting>
  <dataValidations xWindow="160" yWindow="702" count="4">
    <dataValidation type="textLength" operator="equal" allowBlank="1" showInputMessage="1" showErrorMessage="1" errorTitle="Invalid data!" error="GASB number must be 4 digits." sqref="WVU983050:WVV983064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40:E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D131076:E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D196612:E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D262148:E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D327684:E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D393220:E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D458756:E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D524292:E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D589828:E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D655364:E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D720900:E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D786436:E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D851972:E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D917508:E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D983044:E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C8 JI21:JJ35 TE21:TF35 ADA21:ADB35 AMW21:AMX35 AWS21:AWT35 BGO21:BGP35 BQK21:BQL35 CAG21:CAH35 CKC21:CKD35 CTY21:CTZ35 DDU21:DDV35 DNQ21:DNR35 DXM21:DXN35 EHI21:EHJ35 ERE21:ERF35 FBA21:FBB35 FKW21:FKX35 FUS21:FUT35 GEO21:GEP35 GOK21:GOL35 GYG21:GYH35 HIC21:HID35 HRY21:HRZ35 IBU21:IBV35 ILQ21:ILR35 IVM21:IVN35 JFI21:JFJ35 JPE21:JPF35 JZA21:JZB35 KIW21:KIX35 KSS21:KST35 LCO21:LCP35 LMK21:LML35 LWG21:LWH35 MGC21:MGD35 MPY21:MPZ35 MZU21:MZV35 NJQ21:NJR35 NTM21:NTN35 ODI21:ODJ35 ONE21:ONF35 OXA21:OXB35 PGW21:PGX35 PQS21:PQT35 QAO21:QAP35 QKK21:QKL35 QUG21:QUH35 REC21:RED35 RNY21:RNZ35 RXU21:RXV35 SHQ21:SHR35 SRM21:SRN35 TBI21:TBJ35 TLE21:TLF35 TVA21:TVB35 UEW21:UEX35 UOS21:UOT35 UYO21:UYP35 VIK21:VIL35 VSG21:VSH35 WCC21:WCD35 WLY21:WLZ35 WVU21:WVV35 G65546:H65560 JI65546:JJ65560 TE65546:TF65560 ADA65546:ADB65560 AMW65546:AMX65560 AWS65546:AWT65560 BGO65546:BGP65560 BQK65546:BQL65560 CAG65546:CAH65560 CKC65546:CKD65560 CTY65546:CTZ65560 DDU65546:DDV65560 DNQ65546:DNR65560 DXM65546:DXN65560 EHI65546:EHJ65560 ERE65546:ERF65560 FBA65546:FBB65560 FKW65546:FKX65560 FUS65546:FUT65560 GEO65546:GEP65560 GOK65546:GOL65560 GYG65546:GYH65560 HIC65546:HID65560 HRY65546:HRZ65560 IBU65546:IBV65560 ILQ65546:ILR65560 IVM65546:IVN65560 JFI65546:JFJ65560 JPE65546:JPF65560 JZA65546:JZB65560 KIW65546:KIX65560 KSS65546:KST65560 LCO65546:LCP65560 LMK65546:LML65560 LWG65546:LWH65560 MGC65546:MGD65560 MPY65546:MPZ65560 MZU65546:MZV65560 NJQ65546:NJR65560 NTM65546:NTN65560 ODI65546:ODJ65560 ONE65546:ONF65560 OXA65546:OXB65560 PGW65546:PGX65560 PQS65546:PQT65560 QAO65546:QAP65560 QKK65546:QKL65560 QUG65546:QUH65560 REC65546:RED65560 RNY65546:RNZ65560 RXU65546:RXV65560 SHQ65546:SHR65560 SRM65546:SRN65560 TBI65546:TBJ65560 TLE65546:TLF65560 TVA65546:TVB65560 UEW65546:UEX65560 UOS65546:UOT65560 UYO65546:UYP65560 VIK65546:VIL65560 VSG65546:VSH65560 WCC65546:WCD65560 WLY65546:WLZ65560 WVU65546:WVV65560 G131082:H131096 JI131082:JJ131096 TE131082:TF131096 ADA131082:ADB131096 AMW131082:AMX131096 AWS131082:AWT131096 BGO131082:BGP131096 BQK131082:BQL131096 CAG131082:CAH131096 CKC131082:CKD131096 CTY131082:CTZ131096 DDU131082:DDV131096 DNQ131082:DNR131096 DXM131082:DXN131096 EHI131082:EHJ131096 ERE131082:ERF131096 FBA131082:FBB131096 FKW131082:FKX131096 FUS131082:FUT131096 GEO131082:GEP131096 GOK131082:GOL131096 GYG131082:GYH131096 HIC131082:HID131096 HRY131082:HRZ131096 IBU131082:IBV131096 ILQ131082:ILR131096 IVM131082:IVN131096 JFI131082:JFJ131096 JPE131082:JPF131096 JZA131082:JZB131096 KIW131082:KIX131096 KSS131082:KST131096 LCO131082:LCP131096 LMK131082:LML131096 LWG131082:LWH131096 MGC131082:MGD131096 MPY131082:MPZ131096 MZU131082:MZV131096 NJQ131082:NJR131096 NTM131082:NTN131096 ODI131082:ODJ131096 ONE131082:ONF131096 OXA131082:OXB131096 PGW131082:PGX131096 PQS131082:PQT131096 QAO131082:QAP131096 QKK131082:QKL131096 QUG131082:QUH131096 REC131082:RED131096 RNY131082:RNZ131096 RXU131082:RXV131096 SHQ131082:SHR131096 SRM131082:SRN131096 TBI131082:TBJ131096 TLE131082:TLF131096 TVA131082:TVB131096 UEW131082:UEX131096 UOS131082:UOT131096 UYO131082:UYP131096 VIK131082:VIL131096 VSG131082:VSH131096 WCC131082:WCD131096 WLY131082:WLZ131096 WVU131082:WVV131096 G196618:H196632 JI196618:JJ196632 TE196618:TF196632 ADA196618:ADB196632 AMW196618:AMX196632 AWS196618:AWT196632 BGO196618:BGP196632 BQK196618:BQL196632 CAG196618:CAH196632 CKC196618:CKD196632 CTY196618:CTZ196632 DDU196618:DDV196632 DNQ196618:DNR196632 DXM196618:DXN196632 EHI196618:EHJ196632 ERE196618:ERF196632 FBA196618:FBB196632 FKW196618:FKX196632 FUS196618:FUT196632 GEO196618:GEP196632 GOK196618:GOL196632 GYG196618:GYH196632 HIC196618:HID196632 HRY196618:HRZ196632 IBU196618:IBV196632 ILQ196618:ILR196632 IVM196618:IVN196632 JFI196618:JFJ196632 JPE196618:JPF196632 JZA196618:JZB196632 KIW196618:KIX196632 KSS196618:KST196632 LCO196618:LCP196632 LMK196618:LML196632 LWG196618:LWH196632 MGC196618:MGD196632 MPY196618:MPZ196632 MZU196618:MZV196632 NJQ196618:NJR196632 NTM196618:NTN196632 ODI196618:ODJ196632 ONE196618:ONF196632 OXA196618:OXB196632 PGW196618:PGX196632 PQS196618:PQT196632 QAO196618:QAP196632 QKK196618:QKL196632 QUG196618:QUH196632 REC196618:RED196632 RNY196618:RNZ196632 RXU196618:RXV196632 SHQ196618:SHR196632 SRM196618:SRN196632 TBI196618:TBJ196632 TLE196618:TLF196632 TVA196618:TVB196632 UEW196618:UEX196632 UOS196618:UOT196632 UYO196618:UYP196632 VIK196618:VIL196632 VSG196618:VSH196632 WCC196618:WCD196632 WLY196618:WLZ196632 WVU196618:WVV196632 G262154:H262168 JI262154:JJ262168 TE262154:TF262168 ADA262154:ADB262168 AMW262154:AMX262168 AWS262154:AWT262168 BGO262154:BGP262168 BQK262154:BQL262168 CAG262154:CAH262168 CKC262154:CKD262168 CTY262154:CTZ262168 DDU262154:DDV262168 DNQ262154:DNR262168 DXM262154:DXN262168 EHI262154:EHJ262168 ERE262154:ERF262168 FBA262154:FBB262168 FKW262154:FKX262168 FUS262154:FUT262168 GEO262154:GEP262168 GOK262154:GOL262168 GYG262154:GYH262168 HIC262154:HID262168 HRY262154:HRZ262168 IBU262154:IBV262168 ILQ262154:ILR262168 IVM262154:IVN262168 JFI262154:JFJ262168 JPE262154:JPF262168 JZA262154:JZB262168 KIW262154:KIX262168 KSS262154:KST262168 LCO262154:LCP262168 LMK262154:LML262168 LWG262154:LWH262168 MGC262154:MGD262168 MPY262154:MPZ262168 MZU262154:MZV262168 NJQ262154:NJR262168 NTM262154:NTN262168 ODI262154:ODJ262168 ONE262154:ONF262168 OXA262154:OXB262168 PGW262154:PGX262168 PQS262154:PQT262168 QAO262154:QAP262168 QKK262154:QKL262168 QUG262154:QUH262168 REC262154:RED262168 RNY262154:RNZ262168 RXU262154:RXV262168 SHQ262154:SHR262168 SRM262154:SRN262168 TBI262154:TBJ262168 TLE262154:TLF262168 TVA262154:TVB262168 UEW262154:UEX262168 UOS262154:UOT262168 UYO262154:UYP262168 VIK262154:VIL262168 VSG262154:VSH262168 WCC262154:WCD262168 WLY262154:WLZ262168 WVU262154:WVV262168 G327690:H327704 JI327690:JJ327704 TE327690:TF327704 ADA327690:ADB327704 AMW327690:AMX327704 AWS327690:AWT327704 BGO327690:BGP327704 BQK327690:BQL327704 CAG327690:CAH327704 CKC327690:CKD327704 CTY327690:CTZ327704 DDU327690:DDV327704 DNQ327690:DNR327704 DXM327690:DXN327704 EHI327690:EHJ327704 ERE327690:ERF327704 FBA327690:FBB327704 FKW327690:FKX327704 FUS327690:FUT327704 GEO327690:GEP327704 GOK327690:GOL327704 GYG327690:GYH327704 HIC327690:HID327704 HRY327690:HRZ327704 IBU327690:IBV327704 ILQ327690:ILR327704 IVM327690:IVN327704 JFI327690:JFJ327704 JPE327690:JPF327704 JZA327690:JZB327704 KIW327690:KIX327704 KSS327690:KST327704 LCO327690:LCP327704 LMK327690:LML327704 LWG327690:LWH327704 MGC327690:MGD327704 MPY327690:MPZ327704 MZU327690:MZV327704 NJQ327690:NJR327704 NTM327690:NTN327704 ODI327690:ODJ327704 ONE327690:ONF327704 OXA327690:OXB327704 PGW327690:PGX327704 PQS327690:PQT327704 QAO327690:QAP327704 QKK327690:QKL327704 QUG327690:QUH327704 REC327690:RED327704 RNY327690:RNZ327704 RXU327690:RXV327704 SHQ327690:SHR327704 SRM327690:SRN327704 TBI327690:TBJ327704 TLE327690:TLF327704 TVA327690:TVB327704 UEW327690:UEX327704 UOS327690:UOT327704 UYO327690:UYP327704 VIK327690:VIL327704 VSG327690:VSH327704 WCC327690:WCD327704 WLY327690:WLZ327704 WVU327690:WVV327704 G393226:H393240 JI393226:JJ393240 TE393226:TF393240 ADA393226:ADB393240 AMW393226:AMX393240 AWS393226:AWT393240 BGO393226:BGP393240 BQK393226:BQL393240 CAG393226:CAH393240 CKC393226:CKD393240 CTY393226:CTZ393240 DDU393226:DDV393240 DNQ393226:DNR393240 DXM393226:DXN393240 EHI393226:EHJ393240 ERE393226:ERF393240 FBA393226:FBB393240 FKW393226:FKX393240 FUS393226:FUT393240 GEO393226:GEP393240 GOK393226:GOL393240 GYG393226:GYH393240 HIC393226:HID393240 HRY393226:HRZ393240 IBU393226:IBV393240 ILQ393226:ILR393240 IVM393226:IVN393240 JFI393226:JFJ393240 JPE393226:JPF393240 JZA393226:JZB393240 KIW393226:KIX393240 KSS393226:KST393240 LCO393226:LCP393240 LMK393226:LML393240 LWG393226:LWH393240 MGC393226:MGD393240 MPY393226:MPZ393240 MZU393226:MZV393240 NJQ393226:NJR393240 NTM393226:NTN393240 ODI393226:ODJ393240 ONE393226:ONF393240 OXA393226:OXB393240 PGW393226:PGX393240 PQS393226:PQT393240 QAO393226:QAP393240 QKK393226:QKL393240 QUG393226:QUH393240 REC393226:RED393240 RNY393226:RNZ393240 RXU393226:RXV393240 SHQ393226:SHR393240 SRM393226:SRN393240 TBI393226:TBJ393240 TLE393226:TLF393240 TVA393226:TVB393240 UEW393226:UEX393240 UOS393226:UOT393240 UYO393226:UYP393240 VIK393226:VIL393240 VSG393226:VSH393240 WCC393226:WCD393240 WLY393226:WLZ393240 WVU393226:WVV393240 G458762:H458776 JI458762:JJ458776 TE458762:TF458776 ADA458762:ADB458776 AMW458762:AMX458776 AWS458762:AWT458776 BGO458762:BGP458776 BQK458762:BQL458776 CAG458762:CAH458776 CKC458762:CKD458776 CTY458762:CTZ458776 DDU458762:DDV458776 DNQ458762:DNR458776 DXM458762:DXN458776 EHI458762:EHJ458776 ERE458762:ERF458776 FBA458762:FBB458776 FKW458762:FKX458776 FUS458762:FUT458776 GEO458762:GEP458776 GOK458762:GOL458776 GYG458762:GYH458776 HIC458762:HID458776 HRY458762:HRZ458776 IBU458762:IBV458776 ILQ458762:ILR458776 IVM458762:IVN458776 JFI458762:JFJ458776 JPE458762:JPF458776 JZA458762:JZB458776 KIW458762:KIX458776 KSS458762:KST458776 LCO458762:LCP458776 LMK458762:LML458776 LWG458762:LWH458776 MGC458762:MGD458776 MPY458762:MPZ458776 MZU458762:MZV458776 NJQ458762:NJR458776 NTM458762:NTN458776 ODI458762:ODJ458776 ONE458762:ONF458776 OXA458762:OXB458776 PGW458762:PGX458776 PQS458762:PQT458776 QAO458762:QAP458776 QKK458762:QKL458776 QUG458762:QUH458776 REC458762:RED458776 RNY458762:RNZ458776 RXU458762:RXV458776 SHQ458762:SHR458776 SRM458762:SRN458776 TBI458762:TBJ458776 TLE458762:TLF458776 TVA458762:TVB458776 UEW458762:UEX458776 UOS458762:UOT458776 UYO458762:UYP458776 VIK458762:VIL458776 VSG458762:VSH458776 WCC458762:WCD458776 WLY458762:WLZ458776 WVU458762:WVV458776 G524298:H524312 JI524298:JJ524312 TE524298:TF524312 ADA524298:ADB524312 AMW524298:AMX524312 AWS524298:AWT524312 BGO524298:BGP524312 BQK524298:BQL524312 CAG524298:CAH524312 CKC524298:CKD524312 CTY524298:CTZ524312 DDU524298:DDV524312 DNQ524298:DNR524312 DXM524298:DXN524312 EHI524298:EHJ524312 ERE524298:ERF524312 FBA524298:FBB524312 FKW524298:FKX524312 FUS524298:FUT524312 GEO524298:GEP524312 GOK524298:GOL524312 GYG524298:GYH524312 HIC524298:HID524312 HRY524298:HRZ524312 IBU524298:IBV524312 ILQ524298:ILR524312 IVM524298:IVN524312 JFI524298:JFJ524312 JPE524298:JPF524312 JZA524298:JZB524312 KIW524298:KIX524312 KSS524298:KST524312 LCO524298:LCP524312 LMK524298:LML524312 LWG524298:LWH524312 MGC524298:MGD524312 MPY524298:MPZ524312 MZU524298:MZV524312 NJQ524298:NJR524312 NTM524298:NTN524312 ODI524298:ODJ524312 ONE524298:ONF524312 OXA524298:OXB524312 PGW524298:PGX524312 PQS524298:PQT524312 QAO524298:QAP524312 QKK524298:QKL524312 QUG524298:QUH524312 REC524298:RED524312 RNY524298:RNZ524312 RXU524298:RXV524312 SHQ524298:SHR524312 SRM524298:SRN524312 TBI524298:TBJ524312 TLE524298:TLF524312 TVA524298:TVB524312 UEW524298:UEX524312 UOS524298:UOT524312 UYO524298:UYP524312 VIK524298:VIL524312 VSG524298:VSH524312 WCC524298:WCD524312 WLY524298:WLZ524312 WVU524298:WVV524312 G589834:H589848 JI589834:JJ589848 TE589834:TF589848 ADA589834:ADB589848 AMW589834:AMX589848 AWS589834:AWT589848 BGO589834:BGP589848 BQK589834:BQL589848 CAG589834:CAH589848 CKC589834:CKD589848 CTY589834:CTZ589848 DDU589834:DDV589848 DNQ589834:DNR589848 DXM589834:DXN589848 EHI589834:EHJ589848 ERE589834:ERF589848 FBA589834:FBB589848 FKW589834:FKX589848 FUS589834:FUT589848 GEO589834:GEP589848 GOK589834:GOL589848 GYG589834:GYH589848 HIC589834:HID589848 HRY589834:HRZ589848 IBU589834:IBV589848 ILQ589834:ILR589848 IVM589834:IVN589848 JFI589834:JFJ589848 JPE589834:JPF589848 JZA589834:JZB589848 KIW589834:KIX589848 KSS589834:KST589848 LCO589834:LCP589848 LMK589834:LML589848 LWG589834:LWH589848 MGC589834:MGD589848 MPY589834:MPZ589848 MZU589834:MZV589848 NJQ589834:NJR589848 NTM589834:NTN589848 ODI589834:ODJ589848 ONE589834:ONF589848 OXA589834:OXB589848 PGW589834:PGX589848 PQS589834:PQT589848 QAO589834:QAP589848 QKK589834:QKL589848 QUG589834:QUH589848 REC589834:RED589848 RNY589834:RNZ589848 RXU589834:RXV589848 SHQ589834:SHR589848 SRM589834:SRN589848 TBI589834:TBJ589848 TLE589834:TLF589848 TVA589834:TVB589848 UEW589834:UEX589848 UOS589834:UOT589848 UYO589834:UYP589848 VIK589834:VIL589848 VSG589834:VSH589848 WCC589834:WCD589848 WLY589834:WLZ589848 WVU589834:WVV589848 G655370:H655384 JI655370:JJ655384 TE655370:TF655384 ADA655370:ADB655384 AMW655370:AMX655384 AWS655370:AWT655384 BGO655370:BGP655384 BQK655370:BQL655384 CAG655370:CAH655384 CKC655370:CKD655384 CTY655370:CTZ655384 DDU655370:DDV655384 DNQ655370:DNR655384 DXM655370:DXN655384 EHI655370:EHJ655384 ERE655370:ERF655384 FBA655370:FBB655384 FKW655370:FKX655384 FUS655370:FUT655384 GEO655370:GEP655384 GOK655370:GOL655384 GYG655370:GYH655384 HIC655370:HID655384 HRY655370:HRZ655384 IBU655370:IBV655384 ILQ655370:ILR655384 IVM655370:IVN655384 JFI655370:JFJ655384 JPE655370:JPF655384 JZA655370:JZB655384 KIW655370:KIX655384 KSS655370:KST655384 LCO655370:LCP655384 LMK655370:LML655384 LWG655370:LWH655384 MGC655370:MGD655384 MPY655370:MPZ655384 MZU655370:MZV655384 NJQ655370:NJR655384 NTM655370:NTN655384 ODI655370:ODJ655384 ONE655370:ONF655384 OXA655370:OXB655384 PGW655370:PGX655384 PQS655370:PQT655384 QAO655370:QAP655384 QKK655370:QKL655384 QUG655370:QUH655384 REC655370:RED655384 RNY655370:RNZ655384 RXU655370:RXV655384 SHQ655370:SHR655384 SRM655370:SRN655384 TBI655370:TBJ655384 TLE655370:TLF655384 TVA655370:TVB655384 UEW655370:UEX655384 UOS655370:UOT655384 UYO655370:UYP655384 VIK655370:VIL655384 VSG655370:VSH655384 WCC655370:WCD655384 WLY655370:WLZ655384 WVU655370:WVV655384 G720906:H720920 JI720906:JJ720920 TE720906:TF720920 ADA720906:ADB720920 AMW720906:AMX720920 AWS720906:AWT720920 BGO720906:BGP720920 BQK720906:BQL720920 CAG720906:CAH720920 CKC720906:CKD720920 CTY720906:CTZ720920 DDU720906:DDV720920 DNQ720906:DNR720920 DXM720906:DXN720920 EHI720906:EHJ720920 ERE720906:ERF720920 FBA720906:FBB720920 FKW720906:FKX720920 FUS720906:FUT720920 GEO720906:GEP720920 GOK720906:GOL720920 GYG720906:GYH720920 HIC720906:HID720920 HRY720906:HRZ720920 IBU720906:IBV720920 ILQ720906:ILR720920 IVM720906:IVN720920 JFI720906:JFJ720920 JPE720906:JPF720920 JZA720906:JZB720920 KIW720906:KIX720920 KSS720906:KST720920 LCO720906:LCP720920 LMK720906:LML720920 LWG720906:LWH720920 MGC720906:MGD720920 MPY720906:MPZ720920 MZU720906:MZV720920 NJQ720906:NJR720920 NTM720906:NTN720920 ODI720906:ODJ720920 ONE720906:ONF720920 OXA720906:OXB720920 PGW720906:PGX720920 PQS720906:PQT720920 QAO720906:QAP720920 QKK720906:QKL720920 QUG720906:QUH720920 REC720906:RED720920 RNY720906:RNZ720920 RXU720906:RXV720920 SHQ720906:SHR720920 SRM720906:SRN720920 TBI720906:TBJ720920 TLE720906:TLF720920 TVA720906:TVB720920 UEW720906:UEX720920 UOS720906:UOT720920 UYO720906:UYP720920 VIK720906:VIL720920 VSG720906:VSH720920 WCC720906:WCD720920 WLY720906:WLZ720920 WVU720906:WVV720920 G786442:H786456 JI786442:JJ786456 TE786442:TF786456 ADA786442:ADB786456 AMW786442:AMX786456 AWS786442:AWT786456 BGO786442:BGP786456 BQK786442:BQL786456 CAG786442:CAH786456 CKC786442:CKD786456 CTY786442:CTZ786456 DDU786442:DDV786456 DNQ786442:DNR786456 DXM786442:DXN786456 EHI786442:EHJ786456 ERE786442:ERF786456 FBA786442:FBB786456 FKW786442:FKX786456 FUS786442:FUT786456 GEO786442:GEP786456 GOK786442:GOL786456 GYG786442:GYH786456 HIC786442:HID786456 HRY786442:HRZ786456 IBU786442:IBV786456 ILQ786442:ILR786456 IVM786442:IVN786456 JFI786442:JFJ786456 JPE786442:JPF786456 JZA786442:JZB786456 KIW786442:KIX786456 KSS786442:KST786456 LCO786442:LCP786456 LMK786442:LML786456 LWG786442:LWH786456 MGC786442:MGD786456 MPY786442:MPZ786456 MZU786442:MZV786456 NJQ786442:NJR786456 NTM786442:NTN786456 ODI786442:ODJ786456 ONE786442:ONF786456 OXA786442:OXB786456 PGW786442:PGX786456 PQS786442:PQT786456 QAO786442:QAP786456 QKK786442:QKL786456 QUG786442:QUH786456 REC786442:RED786456 RNY786442:RNZ786456 RXU786442:RXV786456 SHQ786442:SHR786456 SRM786442:SRN786456 TBI786442:TBJ786456 TLE786442:TLF786456 TVA786442:TVB786456 UEW786442:UEX786456 UOS786442:UOT786456 UYO786442:UYP786456 VIK786442:VIL786456 VSG786442:VSH786456 WCC786442:WCD786456 WLY786442:WLZ786456 WVU786442:WVV786456 G851978:H851992 JI851978:JJ851992 TE851978:TF851992 ADA851978:ADB851992 AMW851978:AMX851992 AWS851978:AWT851992 BGO851978:BGP851992 BQK851978:BQL851992 CAG851978:CAH851992 CKC851978:CKD851992 CTY851978:CTZ851992 DDU851978:DDV851992 DNQ851978:DNR851992 DXM851978:DXN851992 EHI851978:EHJ851992 ERE851978:ERF851992 FBA851978:FBB851992 FKW851978:FKX851992 FUS851978:FUT851992 GEO851978:GEP851992 GOK851978:GOL851992 GYG851978:GYH851992 HIC851978:HID851992 HRY851978:HRZ851992 IBU851978:IBV851992 ILQ851978:ILR851992 IVM851978:IVN851992 JFI851978:JFJ851992 JPE851978:JPF851992 JZA851978:JZB851992 KIW851978:KIX851992 KSS851978:KST851992 LCO851978:LCP851992 LMK851978:LML851992 LWG851978:LWH851992 MGC851978:MGD851992 MPY851978:MPZ851992 MZU851978:MZV851992 NJQ851978:NJR851992 NTM851978:NTN851992 ODI851978:ODJ851992 ONE851978:ONF851992 OXA851978:OXB851992 PGW851978:PGX851992 PQS851978:PQT851992 QAO851978:QAP851992 QKK851978:QKL851992 QUG851978:QUH851992 REC851978:RED851992 RNY851978:RNZ851992 RXU851978:RXV851992 SHQ851978:SHR851992 SRM851978:SRN851992 TBI851978:TBJ851992 TLE851978:TLF851992 TVA851978:TVB851992 UEW851978:UEX851992 UOS851978:UOT851992 UYO851978:UYP851992 VIK851978:VIL851992 VSG851978:VSH851992 WCC851978:WCD851992 WLY851978:WLZ851992 WVU851978:WVV851992 G917514:H917528 JI917514:JJ917528 TE917514:TF917528 ADA917514:ADB917528 AMW917514:AMX917528 AWS917514:AWT917528 BGO917514:BGP917528 BQK917514:BQL917528 CAG917514:CAH917528 CKC917514:CKD917528 CTY917514:CTZ917528 DDU917514:DDV917528 DNQ917514:DNR917528 DXM917514:DXN917528 EHI917514:EHJ917528 ERE917514:ERF917528 FBA917514:FBB917528 FKW917514:FKX917528 FUS917514:FUT917528 GEO917514:GEP917528 GOK917514:GOL917528 GYG917514:GYH917528 HIC917514:HID917528 HRY917514:HRZ917528 IBU917514:IBV917528 ILQ917514:ILR917528 IVM917514:IVN917528 JFI917514:JFJ917528 JPE917514:JPF917528 JZA917514:JZB917528 KIW917514:KIX917528 KSS917514:KST917528 LCO917514:LCP917528 LMK917514:LML917528 LWG917514:LWH917528 MGC917514:MGD917528 MPY917514:MPZ917528 MZU917514:MZV917528 NJQ917514:NJR917528 NTM917514:NTN917528 ODI917514:ODJ917528 ONE917514:ONF917528 OXA917514:OXB917528 PGW917514:PGX917528 PQS917514:PQT917528 QAO917514:QAP917528 QKK917514:QKL917528 QUG917514:QUH917528 REC917514:RED917528 RNY917514:RNZ917528 RXU917514:RXV917528 SHQ917514:SHR917528 SRM917514:SRN917528 TBI917514:TBJ917528 TLE917514:TLF917528 TVA917514:TVB917528 UEW917514:UEX917528 UOS917514:UOT917528 UYO917514:UYP917528 VIK917514:VIL917528 VSG917514:VSH917528 WCC917514:WCD917528 WLY917514:WLZ917528 WVU917514:WVV917528 G983050:H983064 JI983050:JJ983064 TE983050:TF983064 ADA983050:ADB983064 AMW983050:AMX983064 AWS983050:AWT983064 BGO983050:BGP983064 BQK983050:BQL983064 CAG983050:CAH983064 CKC983050:CKD983064 CTY983050:CTZ983064 DDU983050:DDV983064 DNQ983050:DNR983064 DXM983050:DXN983064 EHI983050:EHJ983064 ERE983050:ERF983064 FBA983050:FBB983064 FKW983050:FKX983064 FUS983050:FUT983064 GEO983050:GEP983064 GOK983050:GOL983064 GYG983050:GYH983064 HIC983050:HID983064 HRY983050:HRZ983064 IBU983050:IBV983064 ILQ983050:ILR983064 IVM983050:IVN983064 JFI983050:JFJ983064 JPE983050:JPF983064 JZA983050:JZB983064 KIW983050:KIX983064 KSS983050:KST983064 LCO983050:LCP983064 LMK983050:LML983064 LWG983050:LWH983064 MGC983050:MGD983064 MPY983050:MPZ983064 MZU983050:MZV983064 NJQ983050:NJR983064 NTM983050:NTN983064 ODI983050:ODJ983064 ONE983050:ONF983064 OXA983050:OXB983064 PGW983050:PGX983064 PQS983050:PQT983064 QAO983050:QAP983064 QKK983050:QKL983064 QUG983050:QUH983064 REC983050:RED983064 RNY983050:RNZ983064 RXU983050:RXV983064 SHQ983050:SHR983064 SRM983050:SRN983064 TBI983050:TBJ983064 TLE983050:TLF983064 TVA983050:TVB983064 UEW983050:UEX983064 UOS983050:UOT983064 UYO983050:UYP983064 VIK983050:VIL983064 VSG983050:VSH983064 WCC983050:WCD983064 WLY983050:WLZ983064 G21:H35" xr:uid="{8D64AB9F-C57D-4746-9072-CC7B132C503D}">
      <formula1>4</formula1>
    </dataValidation>
    <dataValidation type="textLength" operator="equal" allowBlank="1" showInputMessage="1" showErrorMessage="1" error="Company number must be 4 digits." sqref="A22:A35" xr:uid="{75792F3D-BC90-471F-9CBE-BEF8BADA4448}">
      <formula1>4</formula1>
    </dataValidation>
    <dataValidation type="whole" operator="notEqual" allowBlank="1" showInputMessage="1" showErrorMessage="1" errorTitle="Wrong Account" error="NCAS Account 438030 is NOT a transfer account. Contact your OSC analyst before proceeding._x000a_" sqref="C36" xr:uid="{48BD0CCC-1A47-4DF5-B5D7-937D66FE0DB1}">
      <formula1>438030</formula1>
    </dataValidation>
    <dataValidation operator="notEqual" allowBlank="1" showInputMessage="1" showErrorMessage="1" errorTitle="Incorrect Account" error="Account 438030 should not be used.  It is not a transfer account.  Contact your OSC analyst before proceeding." promptTitle="Correct Transfer Accounts " prompt="Transfer accounts listed here must begin with 4380, 438C, 438F, 438P, 438S, 4381._x000a_Account 438030 should not be listed here.  It is not a transfer account." sqref="C22:C35" xr:uid="{6108BAF5-901B-4C65-BD69-137960DAB22A}"/>
  </dataValidations>
  <hyperlinks>
    <hyperlink ref="A43" r:id="rId1" xr:uid="{A012704D-4B60-4702-8DBC-FE22DF58B901}"/>
    <hyperlink ref="A1:Q1" location="Index!A1" display="Index!A1" xr:uid="{64E3F3C2-7E9A-4B8D-9379-A0BF63FEDE61}"/>
  </hyperlinks>
  <pageMargins left="0.6" right="0.6" top="0.5" bottom="0.5" header="0.3" footer="0.3"/>
  <pageSetup scale="74" fitToHeight="0"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8">
    <pageSetUpPr fitToPage="1"/>
  </sheetPr>
  <dimension ref="A1:Z172"/>
  <sheetViews>
    <sheetView showGridLines="0" zoomScaleNormal="100" workbookViewId="0">
      <selection activeCell="A2" sqref="A2:Q2"/>
    </sheetView>
  </sheetViews>
  <sheetFormatPr defaultRowHeight="15.75" x14ac:dyDescent="0.25"/>
  <cols>
    <col min="1" max="1" width="11.5703125" style="1145" customWidth="1"/>
    <col min="2" max="2" width="1.5703125" style="1145" customWidth="1"/>
    <col min="3" max="3" width="15.42578125" style="1145" customWidth="1"/>
    <col min="4" max="4" width="1.5703125" style="1145" customWidth="1"/>
    <col min="5" max="5" width="24" style="1145" customWidth="1"/>
    <col min="6" max="6" width="1.5703125" style="1145" customWidth="1"/>
    <col min="7" max="7" width="17.42578125" style="1145" customWidth="1"/>
    <col min="8" max="8" width="1.5703125" style="1145" customWidth="1"/>
    <col min="9" max="9" width="18.42578125" style="1145" customWidth="1"/>
    <col min="10" max="10" width="1.5703125" style="1145" customWidth="1"/>
    <col min="11" max="11" width="32.42578125" style="1145" customWidth="1"/>
    <col min="12" max="12" width="2.42578125" style="1145" customWidth="1"/>
    <col min="13" max="13" width="14.5703125" style="1145" customWidth="1"/>
    <col min="14" max="14" width="3" style="1145" customWidth="1"/>
    <col min="15" max="15" width="11" style="1145" customWidth="1"/>
    <col min="16" max="16" width="2.42578125" style="1145" customWidth="1"/>
    <col min="17" max="17" width="10.42578125" style="1145" customWidth="1"/>
    <col min="18" max="18" width="6.5703125" style="1145" customWidth="1"/>
    <col min="19" max="19" width="7" style="1145" hidden="1" customWidth="1"/>
    <col min="20" max="20" width="2" style="1145" hidden="1" customWidth="1"/>
    <col min="21" max="24" width="7" style="1145" hidden="1" customWidth="1"/>
    <col min="25" max="25" width="6.42578125" style="1145" hidden="1" customWidth="1"/>
    <col min="26" max="26" width="9.42578125" style="1145" hidden="1" customWidth="1"/>
    <col min="27" max="263" width="9.42578125" style="1145"/>
    <col min="264" max="264" width="0" style="1145" hidden="1" customWidth="1"/>
    <col min="265" max="265" width="15.42578125" style="1145" customWidth="1"/>
    <col min="266" max="266" width="1.5703125" style="1145" customWidth="1"/>
    <col min="267" max="267" width="22.5703125" style="1145" customWidth="1"/>
    <col min="268" max="268" width="1.5703125" style="1145" customWidth="1"/>
    <col min="269" max="269" width="17.42578125" style="1145" customWidth="1"/>
    <col min="270" max="270" width="1.5703125" style="1145" customWidth="1"/>
    <col min="271" max="271" width="14.42578125" style="1145" customWidth="1"/>
    <col min="272" max="272" width="1.5703125" style="1145" customWidth="1"/>
    <col min="273" max="273" width="28.5703125" style="1145" customWidth="1"/>
    <col min="274" max="274" width="4.5703125" style="1145" customWidth="1"/>
    <col min="275" max="281" width="0" style="1145" hidden="1" customWidth="1"/>
    <col min="282" max="519" width="9.42578125" style="1145"/>
    <col min="520" max="520" width="0" style="1145" hidden="1" customWidth="1"/>
    <col min="521" max="521" width="15.42578125" style="1145" customWidth="1"/>
    <col min="522" max="522" width="1.5703125" style="1145" customWidth="1"/>
    <col min="523" max="523" width="22.5703125" style="1145" customWidth="1"/>
    <col min="524" max="524" width="1.5703125" style="1145" customWidth="1"/>
    <col min="525" max="525" width="17.42578125" style="1145" customWidth="1"/>
    <col min="526" max="526" width="1.5703125" style="1145" customWidth="1"/>
    <col min="527" max="527" width="14.42578125" style="1145" customWidth="1"/>
    <col min="528" max="528" width="1.5703125" style="1145" customWidth="1"/>
    <col min="529" max="529" width="28.5703125" style="1145" customWidth="1"/>
    <col min="530" max="530" width="4.5703125" style="1145" customWidth="1"/>
    <col min="531" max="537" width="0" style="1145" hidden="1" customWidth="1"/>
    <col min="538" max="775" width="9.42578125" style="1145"/>
    <col min="776" max="776" width="0" style="1145" hidden="1" customWidth="1"/>
    <col min="777" max="777" width="15.42578125" style="1145" customWidth="1"/>
    <col min="778" max="778" width="1.5703125" style="1145" customWidth="1"/>
    <col min="779" max="779" width="22.5703125" style="1145" customWidth="1"/>
    <col min="780" max="780" width="1.5703125" style="1145" customWidth="1"/>
    <col min="781" max="781" width="17.42578125" style="1145" customWidth="1"/>
    <col min="782" max="782" width="1.5703125" style="1145" customWidth="1"/>
    <col min="783" max="783" width="14.42578125" style="1145" customWidth="1"/>
    <col min="784" max="784" width="1.5703125" style="1145" customWidth="1"/>
    <col min="785" max="785" width="28.5703125" style="1145" customWidth="1"/>
    <col min="786" max="786" width="4.5703125" style="1145" customWidth="1"/>
    <col min="787" max="793" width="0" style="1145" hidden="1" customWidth="1"/>
    <col min="794" max="1031" width="9.42578125" style="1145"/>
    <col min="1032" max="1032" width="0" style="1145" hidden="1" customWidth="1"/>
    <col min="1033" max="1033" width="15.42578125" style="1145" customWidth="1"/>
    <col min="1034" max="1034" width="1.5703125" style="1145" customWidth="1"/>
    <col min="1035" max="1035" width="22.5703125" style="1145" customWidth="1"/>
    <col min="1036" max="1036" width="1.5703125" style="1145" customWidth="1"/>
    <col min="1037" max="1037" width="17.42578125" style="1145" customWidth="1"/>
    <col min="1038" max="1038" width="1.5703125" style="1145" customWidth="1"/>
    <col min="1039" max="1039" width="14.42578125" style="1145" customWidth="1"/>
    <col min="1040" max="1040" width="1.5703125" style="1145" customWidth="1"/>
    <col min="1041" max="1041" width="28.5703125" style="1145" customWidth="1"/>
    <col min="1042" max="1042" width="4.5703125" style="1145" customWidth="1"/>
    <col min="1043" max="1049" width="0" style="1145" hidden="1" customWidth="1"/>
    <col min="1050" max="1287" width="9.42578125" style="1145"/>
    <col min="1288" max="1288" width="0" style="1145" hidden="1" customWidth="1"/>
    <col min="1289" max="1289" width="15.42578125" style="1145" customWidth="1"/>
    <col min="1290" max="1290" width="1.5703125" style="1145" customWidth="1"/>
    <col min="1291" max="1291" width="22.5703125" style="1145" customWidth="1"/>
    <col min="1292" max="1292" width="1.5703125" style="1145" customWidth="1"/>
    <col min="1293" max="1293" width="17.42578125" style="1145" customWidth="1"/>
    <col min="1294" max="1294" width="1.5703125" style="1145" customWidth="1"/>
    <col min="1295" max="1295" width="14.42578125" style="1145" customWidth="1"/>
    <col min="1296" max="1296" width="1.5703125" style="1145" customWidth="1"/>
    <col min="1297" max="1297" width="28.5703125" style="1145" customWidth="1"/>
    <col min="1298" max="1298" width="4.5703125" style="1145" customWidth="1"/>
    <col min="1299" max="1305" width="0" style="1145" hidden="1" customWidth="1"/>
    <col min="1306" max="1543" width="9.42578125" style="1145"/>
    <col min="1544" max="1544" width="0" style="1145" hidden="1" customWidth="1"/>
    <col min="1545" max="1545" width="15.42578125" style="1145" customWidth="1"/>
    <col min="1546" max="1546" width="1.5703125" style="1145" customWidth="1"/>
    <col min="1547" max="1547" width="22.5703125" style="1145" customWidth="1"/>
    <col min="1548" max="1548" width="1.5703125" style="1145" customWidth="1"/>
    <col min="1549" max="1549" width="17.42578125" style="1145" customWidth="1"/>
    <col min="1550" max="1550" width="1.5703125" style="1145" customWidth="1"/>
    <col min="1551" max="1551" width="14.42578125" style="1145" customWidth="1"/>
    <col min="1552" max="1552" width="1.5703125" style="1145" customWidth="1"/>
    <col min="1553" max="1553" width="28.5703125" style="1145" customWidth="1"/>
    <col min="1554" max="1554" width="4.5703125" style="1145" customWidth="1"/>
    <col min="1555" max="1561" width="0" style="1145" hidden="1" customWidth="1"/>
    <col min="1562" max="1799" width="9.42578125" style="1145"/>
    <col min="1800" max="1800" width="0" style="1145" hidden="1" customWidth="1"/>
    <col min="1801" max="1801" width="15.42578125" style="1145" customWidth="1"/>
    <col min="1802" max="1802" width="1.5703125" style="1145" customWidth="1"/>
    <col min="1803" max="1803" width="22.5703125" style="1145" customWidth="1"/>
    <col min="1804" max="1804" width="1.5703125" style="1145" customWidth="1"/>
    <col min="1805" max="1805" width="17.42578125" style="1145" customWidth="1"/>
    <col min="1806" max="1806" width="1.5703125" style="1145" customWidth="1"/>
    <col min="1807" max="1807" width="14.42578125" style="1145" customWidth="1"/>
    <col min="1808" max="1808" width="1.5703125" style="1145" customWidth="1"/>
    <col min="1809" max="1809" width="28.5703125" style="1145" customWidth="1"/>
    <col min="1810" max="1810" width="4.5703125" style="1145" customWidth="1"/>
    <col min="1811" max="1817" width="0" style="1145" hidden="1" customWidth="1"/>
    <col min="1818" max="2055" width="9.42578125" style="1145"/>
    <col min="2056" max="2056" width="0" style="1145" hidden="1" customWidth="1"/>
    <col min="2057" max="2057" width="15.42578125" style="1145" customWidth="1"/>
    <col min="2058" max="2058" width="1.5703125" style="1145" customWidth="1"/>
    <col min="2059" max="2059" width="22.5703125" style="1145" customWidth="1"/>
    <col min="2060" max="2060" width="1.5703125" style="1145" customWidth="1"/>
    <col min="2061" max="2061" width="17.42578125" style="1145" customWidth="1"/>
    <col min="2062" max="2062" width="1.5703125" style="1145" customWidth="1"/>
    <col min="2063" max="2063" width="14.42578125" style="1145" customWidth="1"/>
    <col min="2064" max="2064" width="1.5703125" style="1145" customWidth="1"/>
    <col min="2065" max="2065" width="28.5703125" style="1145" customWidth="1"/>
    <col min="2066" max="2066" width="4.5703125" style="1145" customWidth="1"/>
    <col min="2067" max="2073" width="0" style="1145" hidden="1" customWidth="1"/>
    <col min="2074" max="2311" width="9.42578125" style="1145"/>
    <col min="2312" max="2312" width="0" style="1145" hidden="1" customWidth="1"/>
    <col min="2313" max="2313" width="15.42578125" style="1145" customWidth="1"/>
    <col min="2314" max="2314" width="1.5703125" style="1145" customWidth="1"/>
    <col min="2315" max="2315" width="22.5703125" style="1145" customWidth="1"/>
    <col min="2316" max="2316" width="1.5703125" style="1145" customWidth="1"/>
    <col min="2317" max="2317" width="17.42578125" style="1145" customWidth="1"/>
    <col min="2318" max="2318" width="1.5703125" style="1145" customWidth="1"/>
    <col min="2319" max="2319" width="14.42578125" style="1145" customWidth="1"/>
    <col min="2320" max="2320" width="1.5703125" style="1145" customWidth="1"/>
    <col min="2321" max="2321" width="28.5703125" style="1145" customWidth="1"/>
    <col min="2322" max="2322" width="4.5703125" style="1145" customWidth="1"/>
    <col min="2323" max="2329" width="0" style="1145" hidden="1" customWidth="1"/>
    <col min="2330" max="2567" width="9.42578125" style="1145"/>
    <col min="2568" max="2568" width="0" style="1145" hidden="1" customWidth="1"/>
    <col min="2569" max="2569" width="15.42578125" style="1145" customWidth="1"/>
    <col min="2570" max="2570" width="1.5703125" style="1145" customWidth="1"/>
    <col min="2571" max="2571" width="22.5703125" style="1145" customWidth="1"/>
    <col min="2572" max="2572" width="1.5703125" style="1145" customWidth="1"/>
    <col min="2573" max="2573" width="17.42578125" style="1145" customWidth="1"/>
    <col min="2574" max="2574" width="1.5703125" style="1145" customWidth="1"/>
    <col min="2575" max="2575" width="14.42578125" style="1145" customWidth="1"/>
    <col min="2576" max="2576" width="1.5703125" style="1145" customWidth="1"/>
    <col min="2577" max="2577" width="28.5703125" style="1145" customWidth="1"/>
    <col min="2578" max="2578" width="4.5703125" style="1145" customWidth="1"/>
    <col min="2579" max="2585" width="0" style="1145" hidden="1" customWidth="1"/>
    <col min="2586" max="2823" width="9.42578125" style="1145"/>
    <col min="2824" max="2824" width="0" style="1145" hidden="1" customWidth="1"/>
    <col min="2825" max="2825" width="15.42578125" style="1145" customWidth="1"/>
    <col min="2826" max="2826" width="1.5703125" style="1145" customWidth="1"/>
    <col min="2827" max="2827" width="22.5703125" style="1145" customWidth="1"/>
    <col min="2828" max="2828" width="1.5703125" style="1145" customWidth="1"/>
    <col min="2829" max="2829" width="17.42578125" style="1145" customWidth="1"/>
    <col min="2830" max="2830" width="1.5703125" style="1145" customWidth="1"/>
    <col min="2831" max="2831" width="14.42578125" style="1145" customWidth="1"/>
    <col min="2832" max="2832" width="1.5703125" style="1145" customWidth="1"/>
    <col min="2833" max="2833" width="28.5703125" style="1145" customWidth="1"/>
    <col min="2834" max="2834" width="4.5703125" style="1145" customWidth="1"/>
    <col min="2835" max="2841" width="0" style="1145" hidden="1" customWidth="1"/>
    <col min="2842" max="3079" width="9.42578125" style="1145"/>
    <col min="3080" max="3080" width="0" style="1145" hidden="1" customWidth="1"/>
    <col min="3081" max="3081" width="15.42578125" style="1145" customWidth="1"/>
    <col min="3082" max="3082" width="1.5703125" style="1145" customWidth="1"/>
    <col min="3083" max="3083" width="22.5703125" style="1145" customWidth="1"/>
    <col min="3084" max="3084" width="1.5703125" style="1145" customWidth="1"/>
    <col min="3085" max="3085" width="17.42578125" style="1145" customWidth="1"/>
    <col min="3086" max="3086" width="1.5703125" style="1145" customWidth="1"/>
    <col min="3087" max="3087" width="14.42578125" style="1145" customWidth="1"/>
    <col min="3088" max="3088" width="1.5703125" style="1145" customWidth="1"/>
    <col min="3089" max="3089" width="28.5703125" style="1145" customWidth="1"/>
    <col min="3090" max="3090" width="4.5703125" style="1145" customWidth="1"/>
    <col min="3091" max="3097" width="0" style="1145" hidden="1" customWidth="1"/>
    <col min="3098" max="3335" width="9.42578125" style="1145"/>
    <col min="3336" max="3336" width="0" style="1145" hidden="1" customWidth="1"/>
    <col min="3337" max="3337" width="15.42578125" style="1145" customWidth="1"/>
    <col min="3338" max="3338" width="1.5703125" style="1145" customWidth="1"/>
    <col min="3339" max="3339" width="22.5703125" style="1145" customWidth="1"/>
    <col min="3340" max="3340" width="1.5703125" style="1145" customWidth="1"/>
    <col min="3341" max="3341" width="17.42578125" style="1145" customWidth="1"/>
    <col min="3342" max="3342" width="1.5703125" style="1145" customWidth="1"/>
    <col min="3343" max="3343" width="14.42578125" style="1145" customWidth="1"/>
    <col min="3344" max="3344" width="1.5703125" style="1145" customWidth="1"/>
    <col min="3345" max="3345" width="28.5703125" style="1145" customWidth="1"/>
    <col min="3346" max="3346" width="4.5703125" style="1145" customWidth="1"/>
    <col min="3347" max="3353" width="0" style="1145" hidden="1" customWidth="1"/>
    <col min="3354" max="3591" width="9.42578125" style="1145"/>
    <col min="3592" max="3592" width="0" style="1145" hidden="1" customWidth="1"/>
    <col min="3593" max="3593" width="15.42578125" style="1145" customWidth="1"/>
    <col min="3594" max="3594" width="1.5703125" style="1145" customWidth="1"/>
    <col min="3595" max="3595" width="22.5703125" style="1145" customWidth="1"/>
    <col min="3596" max="3596" width="1.5703125" style="1145" customWidth="1"/>
    <col min="3597" max="3597" width="17.42578125" style="1145" customWidth="1"/>
    <col min="3598" max="3598" width="1.5703125" style="1145" customWidth="1"/>
    <col min="3599" max="3599" width="14.42578125" style="1145" customWidth="1"/>
    <col min="3600" max="3600" width="1.5703125" style="1145" customWidth="1"/>
    <col min="3601" max="3601" width="28.5703125" style="1145" customWidth="1"/>
    <col min="3602" max="3602" width="4.5703125" style="1145" customWidth="1"/>
    <col min="3603" max="3609" width="0" style="1145" hidden="1" customWidth="1"/>
    <col min="3610" max="3847" width="9.42578125" style="1145"/>
    <col min="3848" max="3848" width="0" style="1145" hidden="1" customWidth="1"/>
    <col min="3849" max="3849" width="15.42578125" style="1145" customWidth="1"/>
    <col min="3850" max="3850" width="1.5703125" style="1145" customWidth="1"/>
    <col min="3851" max="3851" width="22.5703125" style="1145" customWidth="1"/>
    <col min="3852" max="3852" width="1.5703125" style="1145" customWidth="1"/>
    <col min="3853" max="3853" width="17.42578125" style="1145" customWidth="1"/>
    <col min="3854" max="3854" width="1.5703125" style="1145" customWidth="1"/>
    <col min="3855" max="3855" width="14.42578125" style="1145" customWidth="1"/>
    <col min="3856" max="3856" width="1.5703125" style="1145" customWidth="1"/>
    <col min="3857" max="3857" width="28.5703125" style="1145" customWidth="1"/>
    <col min="3858" max="3858" width="4.5703125" style="1145" customWidth="1"/>
    <col min="3859" max="3865" width="0" style="1145" hidden="1" customWidth="1"/>
    <col min="3866" max="4103" width="9.42578125" style="1145"/>
    <col min="4104" max="4104" width="0" style="1145" hidden="1" customWidth="1"/>
    <col min="4105" max="4105" width="15.42578125" style="1145" customWidth="1"/>
    <col min="4106" max="4106" width="1.5703125" style="1145" customWidth="1"/>
    <col min="4107" max="4107" width="22.5703125" style="1145" customWidth="1"/>
    <col min="4108" max="4108" width="1.5703125" style="1145" customWidth="1"/>
    <col min="4109" max="4109" width="17.42578125" style="1145" customWidth="1"/>
    <col min="4110" max="4110" width="1.5703125" style="1145" customWidth="1"/>
    <col min="4111" max="4111" width="14.42578125" style="1145" customWidth="1"/>
    <col min="4112" max="4112" width="1.5703125" style="1145" customWidth="1"/>
    <col min="4113" max="4113" width="28.5703125" style="1145" customWidth="1"/>
    <col min="4114" max="4114" width="4.5703125" style="1145" customWidth="1"/>
    <col min="4115" max="4121" width="0" style="1145" hidden="1" customWidth="1"/>
    <col min="4122" max="4359" width="9.42578125" style="1145"/>
    <col min="4360" max="4360" width="0" style="1145" hidden="1" customWidth="1"/>
    <col min="4361" max="4361" width="15.42578125" style="1145" customWidth="1"/>
    <col min="4362" max="4362" width="1.5703125" style="1145" customWidth="1"/>
    <col min="4363" max="4363" width="22.5703125" style="1145" customWidth="1"/>
    <col min="4364" max="4364" width="1.5703125" style="1145" customWidth="1"/>
    <col min="4365" max="4365" width="17.42578125" style="1145" customWidth="1"/>
    <col min="4366" max="4366" width="1.5703125" style="1145" customWidth="1"/>
    <col min="4367" max="4367" width="14.42578125" style="1145" customWidth="1"/>
    <col min="4368" max="4368" width="1.5703125" style="1145" customWidth="1"/>
    <col min="4369" max="4369" width="28.5703125" style="1145" customWidth="1"/>
    <col min="4370" max="4370" width="4.5703125" style="1145" customWidth="1"/>
    <col min="4371" max="4377" width="0" style="1145" hidden="1" customWidth="1"/>
    <col min="4378" max="4615" width="9.42578125" style="1145"/>
    <col min="4616" max="4616" width="0" style="1145" hidden="1" customWidth="1"/>
    <col min="4617" max="4617" width="15.42578125" style="1145" customWidth="1"/>
    <col min="4618" max="4618" width="1.5703125" style="1145" customWidth="1"/>
    <col min="4619" max="4619" width="22.5703125" style="1145" customWidth="1"/>
    <col min="4620" max="4620" width="1.5703125" style="1145" customWidth="1"/>
    <col min="4621" max="4621" width="17.42578125" style="1145" customWidth="1"/>
    <col min="4622" max="4622" width="1.5703125" style="1145" customWidth="1"/>
    <col min="4623" max="4623" width="14.42578125" style="1145" customWidth="1"/>
    <col min="4624" max="4624" width="1.5703125" style="1145" customWidth="1"/>
    <col min="4625" max="4625" width="28.5703125" style="1145" customWidth="1"/>
    <col min="4626" max="4626" width="4.5703125" style="1145" customWidth="1"/>
    <col min="4627" max="4633" width="0" style="1145" hidden="1" customWidth="1"/>
    <col min="4634" max="4871" width="9.42578125" style="1145"/>
    <col min="4872" max="4872" width="0" style="1145" hidden="1" customWidth="1"/>
    <col min="4873" max="4873" width="15.42578125" style="1145" customWidth="1"/>
    <col min="4874" max="4874" width="1.5703125" style="1145" customWidth="1"/>
    <col min="4875" max="4875" width="22.5703125" style="1145" customWidth="1"/>
    <col min="4876" max="4876" width="1.5703125" style="1145" customWidth="1"/>
    <col min="4877" max="4877" width="17.42578125" style="1145" customWidth="1"/>
    <col min="4878" max="4878" width="1.5703125" style="1145" customWidth="1"/>
    <col min="4879" max="4879" width="14.42578125" style="1145" customWidth="1"/>
    <col min="4880" max="4880" width="1.5703125" style="1145" customWidth="1"/>
    <col min="4881" max="4881" width="28.5703125" style="1145" customWidth="1"/>
    <col min="4882" max="4882" width="4.5703125" style="1145" customWidth="1"/>
    <col min="4883" max="4889" width="0" style="1145" hidden="1" customWidth="1"/>
    <col min="4890" max="5127" width="9.42578125" style="1145"/>
    <col min="5128" max="5128" width="0" style="1145" hidden="1" customWidth="1"/>
    <col min="5129" max="5129" width="15.42578125" style="1145" customWidth="1"/>
    <col min="5130" max="5130" width="1.5703125" style="1145" customWidth="1"/>
    <col min="5131" max="5131" width="22.5703125" style="1145" customWidth="1"/>
    <col min="5132" max="5132" width="1.5703125" style="1145" customWidth="1"/>
    <col min="5133" max="5133" width="17.42578125" style="1145" customWidth="1"/>
    <col min="5134" max="5134" width="1.5703125" style="1145" customWidth="1"/>
    <col min="5135" max="5135" width="14.42578125" style="1145" customWidth="1"/>
    <col min="5136" max="5136" width="1.5703125" style="1145" customWidth="1"/>
    <col min="5137" max="5137" width="28.5703125" style="1145" customWidth="1"/>
    <col min="5138" max="5138" width="4.5703125" style="1145" customWidth="1"/>
    <col min="5139" max="5145" width="0" style="1145" hidden="1" customWidth="1"/>
    <col min="5146" max="5383" width="9.42578125" style="1145"/>
    <col min="5384" max="5384" width="0" style="1145" hidden="1" customWidth="1"/>
    <col min="5385" max="5385" width="15.42578125" style="1145" customWidth="1"/>
    <col min="5386" max="5386" width="1.5703125" style="1145" customWidth="1"/>
    <col min="5387" max="5387" width="22.5703125" style="1145" customWidth="1"/>
    <col min="5388" max="5388" width="1.5703125" style="1145" customWidth="1"/>
    <col min="5389" max="5389" width="17.42578125" style="1145" customWidth="1"/>
    <col min="5390" max="5390" width="1.5703125" style="1145" customWidth="1"/>
    <col min="5391" max="5391" width="14.42578125" style="1145" customWidth="1"/>
    <col min="5392" max="5392" width="1.5703125" style="1145" customWidth="1"/>
    <col min="5393" max="5393" width="28.5703125" style="1145" customWidth="1"/>
    <col min="5394" max="5394" width="4.5703125" style="1145" customWidth="1"/>
    <col min="5395" max="5401" width="0" style="1145" hidden="1" customWidth="1"/>
    <col min="5402" max="5639" width="9.42578125" style="1145"/>
    <col min="5640" max="5640" width="0" style="1145" hidden="1" customWidth="1"/>
    <col min="5641" max="5641" width="15.42578125" style="1145" customWidth="1"/>
    <col min="5642" max="5642" width="1.5703125" style="1145" customWidth="1"/>
    <col min="5643" max="5643" width="22.5703125" style="1145" customWidth="1"/>
    <col min="5644" max="5644" width="1.5703125" style="1145" customWidth="1"/>
    <col min="5645" max="5645" width="17.42578125" style="1145" customWidth="1"/>
    <col min="5646" max="5646" width="1.5703125" style="1145" customWidth="1"/>
    <col min="5647" max="5647" width="14.42578125" style="1145" customWidth="1"/>
    <col min="5648" max="5648" width="1.5703125" style="1145" customWidth="1"/>
    <col min="5649" max="5649" width="28.5703125" style="1145" customWidth="1"/>
    <col min="5650" max="5650" width="4.5703125" style="1145" customWidth="1"/>
    <col min="5651" max="5657" width="0" style="1145" hidden="1" customWidth="1"/>
    <col min="5658" max="5895" width="9.42578125" style="1145"/>
    <col min="5896" max="5896" width="0" style="1145" hidden="1" customWidth="1"/>
    <col min="5897" max="5897" width="15.42578125" style="1145" customWidth="1"/>
    <col min="5898" max="5898" width="1.5703125" style="1145" customWidth="1"/>
    <col min="5899" max="5899" width="22.5703125" style="1145" customWidth="1"/>
    <col min="5900" max="5900" width="1.5703125" style="1145" customWidth="1"/>
    <col min="5901" max="5901" width="17.42578125" style="1145" customWidth="1"/>
    <col min="5902" max="5902" width="1.5703125" style="1145" customWidth="1"/>
    <col min="5903" max="5903" width="14.42578125" style="1145" customWidth="1"/>
    <col min="5904" max="5904" width="1.5703125" style="1145" customWidth="1"/>
    <col min="5905" max="5905" width="28.5703125" style="1145" customWidth="1"/>
    <col min="5906" max="5906" width="4.5703125" style="1145" customWidth="1"/>
    <col min="5907" max="5913" width="0" style="1145" hidden="1" customWidth="1"/>
    <col min="5914" max="6151" width="9.42578125" style="1145"/>
    <col min="6152" max="6152" width="0" style="1145" hidden="1" customWidth="1"/>
    <col min="6153" max="6153" width="15.42578125" style="1145" customWidth="1"/>
    <col min="6154" max="6154" width="1.5703125" style="1145" customWidth="1"/>
    <col min="6155" max="6155" width="22.5703125" style="1145" customWidth="1"/>
    <col min="6156" max="6156" width="1.5703125" style="1145" customWidth="1"/>
    <col min="6157" max="6157" width="17.42578125" style="1145" customWidth="1"/>
    <col min="6158" max="6158" width="1.5703125" style="1145" customWidth="1"/>
    <col min="6159" max="6159" width="14.42578125" style="1145" customWidth="1"/>
    <col min="6160" max="6160" width="1.5703125" style="1145" customWidth="1"/>
    <col min="6161" max="6161" width="28.5703125" style="1145" customWidth="1"/>
    <col min="6162" max="6162" width="4.5703125" style="1145" customWidth="1"/>
    <col min="6163" max="6169" width="0" style="1145" hidden="1" customWidth="1"/>
    <col min="6170" max="6407" width="9.42578125" style="1145"/>
    <col min="6408" max="6408" width="0" style="1145" hidden="1" customWidth="1"/>
    <col min="6409" max="6409" width="15.42578125" style="1145" customWidth="1"/>
    <col min="6410" max="6410" width="1.5703125" style="1145" customWidth="1"/>
    <col min="6411" max="6411" width="22.5703125" style="1145" customWidth="1"/>
    <col min="6412" max="6412" width="1.5703125" style="1145" customWidth="1"/>
    <col min="6413" max="6413" width="17.42578125" style="1145" customWidth="1"/>
    <col min="6414" max="6414" width="1.5703125" style="1145" customWidth="1"/>
    <col min="6415" max="6415" width="14.42578125" style="1145" customWidth="1"/>
    <col min="6416" max="6416" width="1.5703125" style="1145" customWidth="1"/>
    <col min="6417" max="6417" width="28.5703125" style="1145" customWidth="1"/>
    <col min="6418" max="6418" width="4.5703125" style="1145" customWidth="1"/>
    <col min="6419" max="6425" width="0" style="1145" hidden="1" customWidth="1"/>
    <col min="6426" max="6663" width="9.42578125" style="1145"/>
    <col min="6664" max="6664" width="0" style="1145" hidden="1" customWidth="1"/>
    <col min="6665" max="6665" width="15.42578125" style="1145" customWidth="1"/>
    <col min="6666" max="6666" width="1.5703125" style="1145" customWidth="1"/>
    <col min="6667" max="6667" width="22.5703125" style="1145" customWidth="1"/>
    <col min="6668" max="6668" width="1.5703125" style="1145" customWidth="1"/>
    <col min="6669" max="6669" width="17.42578125" style="1145" customWidth="1"/>
    <col min="6670" max="6670" width="1.5703125" style="1145" customWidth="1"/>
    <col min="6671" max="6671" width="14.42578125" style="1145" customWidth="1"/>
    <col min="6672" max="6672" width="1.5703125" style="1145" customWidth="1"/>
    <col min="6673" max="6673" width="28.5703125" style="1145" customWidth="1"/>
    <col min="6674" max="6674" width="4.5703125" style="1145" customWidth="1"/>
    <col min="6675" max="6681" width="0" style="1145" hidden="1" customWidth="1"/>
    <col min="6682" max="6919" width="9.42578125" style="1145"/>
    <col min="6920" max="6920" width="0" style="1145" hidden="1" customWidth="1"/>
    <col min="6921" max="6921" width="15.42578125" style="1145" customWidth="1"/>
    <col min="6922" max="6922" width="1.5703125" style="1145" customWidth="1"/>
    <col min="6923" max="6923" width="22.5703125" style="1145" customWidth="1"/>
    <col min="6924" max="6924" width="1.5703125" style="1145" customWidth="1"/>
    <col min="6925" max="6925" width="17.42578125" style="1145" customWidth="1"/>
    <col min="6926" max="6926" width="1.5703125" style="1145" customWidth="1"/>
    <col min="6927" max="6927" width="14.42578125" style="1145" customWidth="1"/>
    <col min="6928" max="6928" width="1.5703125" style="1145" customWidth="1"/>
    <col min="6929" max="6929" width="28.5703125" style="1145" customWidth="1"/>
    <col min="6930" max="6930" width="4.5703125" style="1145" customWidth="1"/>
    <col min="6931" max="6937" width="0" style="1145" hidden="1" customWidth="1"/>
    <col min="6938" max="7175" width="9.42578125" style="1145"/>
    <col min="7176" max="7176" width="0" style="1145" hidden="1" customWidth="1"/>
    <col min="7177" max="7177" width="15.42578125" style="1145" customWidth="1"/>
    <col min="7178" max="7178" width="1.5703125" style="1145" customWidth="1"/>
    <col min="7179" max="7179" width="22.5703125" style="1145" customWidth="1"/>
    <col min="7180" max="7180" width="1.5703125" style="1145" customWidth="1"/>
    <col min="7181" max="7181" width="17.42578125" style="1145" customWidth="1"/>
    <col min="7182" max="7182" width="1.5703125" style="1145" customWidth="1"/>
    <col min="7183" max="7183" width="14.42578125" style="1145" customWidth="1"/>
    <col min="7184" max="7184" width="1.5703125" style="1145" customWidth="1"/>
    <col min="7185" max="7185" width="28.5703125" style="1145" customWidth="1"/>
    <col min="7186" max="7186" width="4.5703125" style="1145" customWidth="1"/>
    <col min="7187" max="7193" width="0" style="1145" hidden="1" customWidth="1"/>
    <col min="7194" max="7431" width="9.42578125" style="1145"/>
    <col min="7432" max="7432" width="0" style="1145" hidden="1" customWidth="1"/>
    <col min="7433" max="7433" width="15.42578125" style="1145" customWidth="1"/>
    <col min="7434" max="7434" width="1.5703125" style="1145" customWidth="1"/>
    <col min="7435" max="7435" width="22.5703125" style="1145" customWidth="1"/>
    <col min="7436" max="7436" width="1.5703125" style="1145" customWidth="1"/>
    <col min="7437" max="7437" width="17.42578125" style="1145" customWidth="1"/>
    <col min="7438" max="7438" width="1.5703125" style="1145" customWidth="1"/>
    <col min="7439" max="7439" width="14.42578125" style="1145" customWidth="1"/>
    <col min="7440" max="7440" width="1.5703125" style="1145" customWidth="1"/>
    <col min="7441" max="7441" width="28.5703125" style="1145" customWidth="1"/>
    <col min="7442" max="7442" width="4.5703125" style="1145" customWidth="1"/>
    <col min="7443" max="7449" width="0" style="1145" hidden="1" customWidth="1"/>
    <col min="7450" max="7687" width="9.42578125" style="1145"/>
    <col min="7688" max="7688" width="0" style="1145" hidden="1" customWidth="1"/>
    <col min="7689" max="7689" width="15.42578125" style="1145" customWidth="1"/>
    <col min="7690" max="7690" width="1.5703125" style="1145" customWidth="1"/>
    <col min="7691" max="7691" width="22.5703125" style="1145" customWidth="1"/>
    <col min="7692" max="7692" width="1.5703125" style="1145" customWidth="1"/>
    <col min="7693" max="7693" width="17.42578125" style="1145" customWidth="1"/>
    <col min="7694" max="7694" width="1.5703125" style="1145" customWidth="1"/>
    <col min="7695" max="7695" width="14.42578125" style="1145" customWidth="1"/>
    <col min="7696" max="7696" width="1.5703125" style="1145" customWidth="1"/>
    <col min="7697" max="7697" width="28.5703125" style="1145" customWidth="1"/>
    <col min="7698" max="7698" width="4.5703125" style="1145" customWidth="1"/>
    <col min="7699" max="7705" width="0" style="1145" hidden="1" customWidth="1"/>
    <col min="7706" max="7943" width="9.42578125" style="1145"/>
    <col min="7944" max="7944" width="0" style="1145" hidden="1" customWidth="1"/>
    <col min="7945" max="7945" width="15.42578125" style="1145" customWidth="1"/>
    <col min="7946" max="7946" width="1.5703125" style="1145" customWidth="1"/>
    <col min="7947" max="7947" width="22.5703125" style="1145" customWidth="1"/>
    <col min="7948" max="7948" width="1.5703125" style="1145" customWidth="1"/>
    <col min="7949" max="7949" width="17.42578125" style="1145" customWidth="1"/>
    <col min="7950" max="7950" width="1.5703125" style="1145" customWidth="1"/>
    <col min="7951" max="7951" width="14.42578125" style="1145" customWidth="1"/>
    <col min="7952" max="7952" width="1.5703125" style="1145" customWidth="1"/>
    <col min="7953" max="7953" width="28.5703125" style="1145" customWidth="1"/>
    <col min="7954" max="7954" width="4.5703125" style="1145" customWidth="1"/>
    <col min="7955" max="7961" width="0" style="1145" hidden="1" customWidth="1"/>
    <col min="7962" max="8199" width="9.42578125" style="1145"/>
    <col min="8200" max="8200" width="0" style="1145" hidden="1" customWidth="1"/>
    <col min="8201" max="8201" width="15.42578125" style="1145" customWidth="1"/>
    <col min="8202" max="8202" width="1.5703125" style="1145" customWidth="1"/>
    <col min="8203" max="8203" width="22.5703125" style="1145" customWidth="1"/>
    <col min="8204" max="8204" width="1.5703125" style="1145" customWidth="1"/>
    <col min="8205" max="8205" width="17.42578125" style="1145" customWidth="1"/>
    <col min="8206" max="8206" width="1.5703125" style="1145" customWidth="1"/>
    <col min="8207" max="8207" width="14.42578125" style="1145" customWidth="1"/>
    <col min="8208" max="8208" width="1.5703125" style="1145" customWidth="1"/>
    <col min="8209" max="8209" width="28.5703125" style="1145" customWidth="1"/>
    <col min="8210" max="8210" width="4.5703125" style="1145" customWidth="1"/>
    <col min="8211" max="8217" width="0" style="1145" hidden="1" customWidth="1"/>
    <col min="8218" max="8455" width="9.42578125" style="1145"/>
    <col min="8456" max="8456" width="0" style="1145" hidden="1" customWidth="1"/>
    <col min="8457" max="8457" width="15.42578125" style="1145" customWidth="1"/>
    <col min="8458" max="8458" width="1.5703125" style="1145" customWidth="1"/>
    <col min="8459" max="8459" width="22.5703125" style="1145" customWidth="1"/>
    <col min="8460" max="8460" width="1.5703125" style="1145" customWidth="1"/>
    <col min="8461" max="8461" width="17.42578125" style="1145" customWidth="1"/>
    <col min="8462" max="8462" width="1.5703125" style="1145" customWidth="1"/>
    <col min="8463" max="8463" width="14.42578125" style="1145" customWidth="1"/>
    <col min="8464" max="8464" width="1.5703125" style="1145" customWidth="1"/>
    <col min="8465" max="8465" width="28.5703125" style="1145" customWidth="1"/>
    <col min="8466" max="8466" width="4.5703125" style="1145" customWidth="1"/>
    <col min="8467" max="8473" width="0" style="1145" hidden="1" customWidth="1"/>
    <col min="8474" max="8711" width="9.42578125" style="1145"/>
    <col min="8712" max="8712" width="0" style="1145" hidden="1" customWidth="1"/>
    <col min="8713" max="8713" width="15.42578125" style="1145" customWidth="1"/>
    <col min="8714" max="8714" width="1.5703125" style="1145" customWidth="1"/>
    <col min="8715" max="8715" width="22.5703125" style="1145" customWidth="1"/>
    <col min="8716" max="8716" width="1.5703125" style="1145" customWidth="1"/>
    <col min="8717" max="8717" width="17.42578125" style="1145" customWidth="1"/>
    <col min="8718" max="8718" width="1.5703125" style="1145" customWidth="1"/>
    <col min="8719" max="8719" width="14.42578125" style="1145" customWidth="1"/>
    <col min="8720" max="8720" width="1.5703125" style="1145" customWidth="1"/>
    <col min="8721" max="8721" width="28.5703125" style="1145" customWidth="1"/>
    <col min="8722" max="8722" width="4.5703125" style="1145" customWidth="1"/>
    <col min="8723" max="8729" width="0" style="1145" hidden="1" customWidth="1"/>
    <col min="8730" max="8967" width="9.42578125" style="1145"/>
    <col min="8968" max="8968" width="0" style="1145" hidden="1" customWidth="1"/>
    <col min="8969" max="8969" width="15.42578125" style="1145" customWidth="1"/>
    <col min="8970" max="8970" width="1.5703125" style="1145" customWidth="1"/>
    <col min="8971" max="8971" width="22.5703125" style="1145" customWidth="1"/>
    <col min="8972" max="8972" width="1.5703125" style="1145" customWidth="1"/>
    <col min="8973" max="8973" width="17.42578125" style="1145" customWidth="1"/>
    <col min="8974" max="8974" width="1.5703125" style="1145" customWidth="1"/>
    <col min="8975" max="8975" width="14.42578125" style="1145" customWidth="1"/>
    <col min="8976" max="8976" width="1.5703125" style="1145" customWidth="1"/>
    <col min="8977" max="8977" width="28.5703125" style="1145" customWidth="1"/>
    <col min="8978" max="8978" width="4.5703125" style="1145" customWidth="1"/>
    <col min="8979" max="8985" width="0" style="1145" hidden="1" customWidth="1"/>
    <col min="8986" max="9223" width="9.42578125" style="1145"/>
    <col min="9224" max="9224" width="0" style="1145" hidden="1" customWidth="1"/>
    <col min="9225" max="9225" width="15.42578125" style="1145" customWidth="1"/>
    <col min="9226" max="9226" width="1.5703125" style="1145" customWidth="1"/>
    <col min="9227" max="9227" width="22.5703125" style="1145" customWidth="1"/>
    <col min="9228" max="9228" width="1.5703125" style="1145" customWidth="1"/>
    <col min="9229" max="9229" width="17.42578125" style="1145" customWidth="1"/>
    <col min="9230" max="9230" width="1.5703125" style="1145" customWidth="1"/>
    <col min="9231" max="9231" width="14.42578125" style="1145" customWidth="1"/>
    <col min="9232" max="9232" width="1.5703125" style="1145" customWidth="1"/>
    <col min="9233" max="9233" width="28.5703125" style="1145" customWidth="1"/>
    <col min="9234" max="9234" width="4.5703125" style="1145" customWidth="1"/>
    <col min="9235" max="9241" width="0" style="1145" hidden="1" customWidth="1"/>
    <col min="9242" max="9479" width="9.42578125" style="1145"/>
    <col min="9480" max="9480" width="0" style="1145" hidden="1" customWidth="1"/>
    <col min="9481" max="9481" width="15.42578125" style="1145" customWidth="1"/>
    <col min="9482" max="9482" width="1.5703125" style="1145" customWidth="1"/>
    <col min="9483" max="9483" width="22.5703125" style="1145" customWidth="1"/>
    <col min="9484" max="9484" width="1.5703125" style="1145" customWidth="1"/>
    <col min="9485" max="9485" width="17.42578125" style="1145" customWidth="1"/>
    <col min="9486" max="9486" width="1.5703125" style="1145" customWidth="1"/>
    <col min="9487" max="9487" width="14.42578125" style="1145" customWidth="1"/>
    <col min="9488" max="9488" width="1.5703125" style="1145" customWidth="1"/>
    <col min="9489" max="9489" width="28.5703125" style="1145" customWidth="1"/>
    <col min="9490" max="9490" width="4.5703125" style="1145" customWidth="1"/>
    <col min="9491" max="9497" width="0" style="1145" hidden="1" customWidth="1"/>
    <col min="9498" max="9735" width="9.42578125" style="1145"/>
    <col min="9736" max="9736" width="0" style="1145" hidden="1" customWidth="1"/>
    <col min="9737" max="9737" width="15.42578125" style="1145" customWidth="1"/>
    <col min="9738" max="9738" width="1.5703125" style="1145" customWidth="1"/>
    <col min="9739" max="9739" width="22.5703125" style="1145" customWidth="1"/>
    <col min="9740" max="9740" width="1.5703125" style="1145" customWidth="1"/>
    <col min="9741" max="9741" width="17.42578125" style="1145" customWidth="1"/>
    <col min="9742" max="9742" width="1.5703125" style="1145" customWidth="1"/>
    <col min="9743" max="9743" width="14.42578125" style="1145" customWidth="1"/>
    <col min="9744" max="9744" width="1.5703125" style="1145" customWidth="1"/>
    <col min="9745" max="9745" width="28.5703125" style="1145" customWidth="1"/>
    <col min="9746" max="9746" width="4.5703125" style="1145" customWidth="1"/>
    <col min="9747" max="9753" width="0" style="1145" hidden="1" customWidth="1"/>
    <col min="9754" max="9991" width="9.42578125" style="1145"/>
    <col min="9992" max="9992" width="0" style="1145" hidden="1" customWidth="1"/>
    <col min="9993" max="9993" width="15.42578125" style="1145" customWidth="1"/>
    <col min="9994" max="9994" width="1.5703125" style="1145" customWidth="1"/>
    <col min="9995" max="9995" width="22.5703125" style="1145" customWidth="1"/>
    <col min="9996" max="9996" width="1.5703125" style="1145" customWidth="1"/>
    <col min="9997" max="9997" width="17.42578125" style="1145" customWidth="1"/>
    <col min="9998" max="9998" width="1.5703125" style="1145" customWidth="1"/>
    <col min="9999" max="9999" width="14.42578125" style="1145" customWidth="1"/>
    <col min="10000" max="10000" width="1.5703125" style="1145" customWidth="1"/>
    <col min="10001" max="10001" width="28.5703125" style="1145" customWidth="1"/>
    <col min="10002" max="10002" width="4.5703125" style="1145" customWidth="1"/>
    <col min="10003" max="10009" width="0" style="1145" hidden="1" customWidth="1"/>
    <col min="10010" max="10247" width="9.42578125" style="1145"/>
    <col min="10248" max="10248" width="0" style="1145" hidden="1" customWidth="1"/>
    <col min="10249" max="10249" width="15.42578125" style="1145" customWidth="1"/>
    <col min="10250" max="10250" width="1.5703125" style="1145" customWidth="1"/>
    <col min="10251" max="10251" width="22.5703125" style="1145" customWidth="1"/>
    <col min="10252" max="10252" width="1.5703125" style="1145" customWidth="1"/>
    <col min="10253" max="10253" width="17.42578125" style="1145" customWidth="1"/>
    <col min="10254" max="10254" width="1.5703125" style="1145" customWidth="1"/>
    <col min="10255" max="10255" width="14.42578125" style="1145" customWidth="1"/>
    <col min="10256" max="10256" width="1.5703125" style="1145" customWidth="1"/>
    <col min="10257" max="10257" width="28.5703125" style="1145" customWidth="1"/>
    <col min="10258" max="10258" width="4.5703125" style="1145" customWidth="1"/>
    <col min="10259" max="10265" width="0" style="1145" hidden="1" customWidth="1"/>
    <col min="10266" max="10503" width="9.42578125" style="1145"/>
    <col min="10504" max="10504" width="0" style="1145" hidden="1" customWidth="1"/>
    <col min="10505" max="10505" width="15.42578125" style="1145" customWidth="1"/>
    <col min="10506" max="10506" width="1.5703125" style="1145" customWidth="1"/>
    <col min="10507" max="10507" width="22.5703125" style="1145" customWidth="1"/>
    <col min="10508" max="10508" width="1.5703125" style="1145" customWidth="1"/>
    <col min="10509" max="10509" width="17.42578125" style="1145" customWidth="1"/>
    <col min="10510" max="10510" width="1.5703125" style="1145" customWidth="1"/>
    <col min="10511" max="10511" width="14.42578125" style="1145" customWidth="1"/>
    <col min="10512" max="10512" width="1.5703125" style="1145" customWidth="1"/>
    <col min="10513" max="10513" width="28.5703125" style="1145" customWidth="1"/>
    <col min="10514" max="10514" width="4.5703125" style="1145" customWidth="1"/>
    <col min="10515" max="10521" width="0" style="1145" hidden="1" customWidth="1"/>
    <col min="10522" max="10759" width="9.42578125" style="1145"/>
    <col min="10760" max="10760" width="0" style="1145" hidden="1" customWidth="1"/>
    <col min="10761" max="10761" width="15.42578125" style="1145" customWidth="1"/>
    <col min="10762" max="10762" width="1.5703125" style="1145" customWidth="1"/>
    <col min="10763" max="10763" width="22.5703125" style="1145" customWidth="1"/>
    <col min="10764" max="10764" width="1.5703125" style="1145" customWidth="1"/>
    <col min="10765" max="10765" width="17.42578125" style="1145" customWidth="1"/>
    <col min="10766" max="10766" width="1.5703125" style="1145" customWidth="1"/>
    <col min="10767" max="10767" width="14.42578125" style="1145" customWidth="1"/>
    <col min="10768" max="10768" width="1.5703125" style="1145" customWidth="1"/>
    <col min="10769" max="10769" width="28.5703125" style="1145" customWidth="1"/>
    <col min="10770" max="10770" width="4.5703125" style="1145" customWidth="1"/>
    <col min="10771" max="10777" width="0" style="1145" hidden="1" customWidth="1"/>
    <col min="10778" max="11015" width="9.42578125" style="1145"/>
    <col min="11016" max="11016" width="0" style="1145" hidden="1" customWidth="1"/>
    <col min="11017" max="11017" width="15.42578125" style="1145" customWidth="1"/>
    <col min="11018" max="11018" width="1.5703125" style="1145" customWidth="1"/>
    <col min="11019" max="11019" width="22.5703125" style="1145" customWidth="1"/>
    <col min="11020" max="11020" width="1.5703125" style="1145" customWidth="1"/>
    <col min="11021" max="11021" width="17.42578125" style="1145" customWidth="1"/>
    <col min="11022" max="11022" width="1.5703125" style="1145" customWidth="1"/>
    <col min="11023" max="11023" width="14.42578125" style="1145" customWidth="1"/>
    <col min="11024" max="11024" width="1.5703125" style="1145" customWidth="1"/>
    <col min="11025" max="11025" width="28.5703125" style="1145" customWidth="1"/>
    <col min="11026" max="11026" width="4.5703125" style="1145" customWidth="1"/>
    <col min="11027" max="11033" width="0" style="1145" hidden="1" customWidth="1"/>
    <col min="11034" max="11271" width="9.42578125" style="1145"/>
    <col min="11272" max="11272" width="0" style="1145" hidden="1" customWidth="1"/>
    <col min="11273" max="11273" width="15.42578125" style="1145" customWidth="1"/>
    <col min="11274" max="11274" width="1.5703125" style="1145" customWidth="1"/>
    <col min="11275" max="11275" width="22.5703125" style="1145" customWidth="1"/>
    <col min="11276" max="11276" width="1.5703125" style="1145" customWidth="1"/>
    <col min="11277" max="11277" width="17.42578125" style="1145" customWidth="1"/>
    <col min="11278" max="11278" width="1.5703125" style="1145" customWidth="1"/>
    <col min="11279" max="11279" width="14.42578125" style="1145" customWidth="1"/>
    <col min="11280" max="11280" width="1.5703125" style="1145" customWidth="1"/>
    <col min="11281" max="11281" width="28.5703125" style="1145" customWidth="1"/>
    <col min="11282" max="11282" width="4.5703125" style="1145" customWidth="1"/>
    <col min="11283" max="11289" width="0" style="1145" hidden="1" customWidth="1"/>
    <col min="11290" max="11527" width="9.42578125" style="1145"/>
    <col min="11528" max="11528" width="0" style="1145" hidden="1" customWidth="1"/>
    <col min="11529" max="11529" width="15.42578125" style="1145" customWidth="1"/>
    <col min="11530" max="11530" width="1.5703125" style="1145" customWidth="1"/>
    <col min="11531" max="11531" width="22.5703125" style="1145" customWidth="1"/>
    <col min="11532" max="11532" width="1.5703125" style="1145" customWidth="1"/>
    <col min="11533" max="11533" width="17.42578125" style="1145" customWidth="1"/>
    <col min="11534" max="11534" width="1.5703125" style="1145" customWidth="1"/>
    <col min="11535" max="11535" width="14.42578125" style="1145" customWidth="1"/>
    <col min="11536" max="11536" width="1.5703125" style="1145" customWidth="1"/>
    <col min="11537" max="11537" width="28.5703125" style="1145" customWidth="1"/>
    <col min="11538" max="11538" width="4.5703125" style="1145" customWidth="1"/>
    <col min="11539" max="11545" width="0" style="1145" hidden="1" customWidth="1"/>
    <col min="11546" max="11783" width="9.42578125" style="1145"/>
    <col min="11784" max="11784" width="0" style="1145" hidden="1" customWidth="1"/>
    <col min="11785" max="11785" width="15.42578125" style="1145" customWidth="1"/>
    <col min="11786" max="11786" width="1.5703125" style="1145" customWidth="1"/>
    <col min="11787" max="11787" width="22.5703125" style="1145" customWidth="1"/>
    <col min="11788" max="11788" width="1.5703125" style="1145" customWidth="1"/>
    <col min="11789" max="11789" width="17.42578125" style="1145" customWidth="1"/>
    <col min="11790" max="11790" width="1.5703125" style="1145" customWidth="1"/>
    <col min="11791" max="11791" width="14.42578125" style="1145" customWidth="1"/>
    <col min="11792" max="11792" width="1.5703125" style="1145" customWidth="1"/>
    <col min="11793" max="11793" width="28.5703125" style="1145" customWidth="1"/>
    <col min="11794" max="11794" width="4.5703125" style="1145" customWidth="1"/>
    <col min="11795" max="11801" width="0" style="1145" hidden="1" customWidth="1"/>
    <col min="11802" max="12039" width="9.42578125" style="1145"/>
    <col min="12040" max="12040" width="0" style="1145" hidden="1" customWidth="1"/>
    <col min="12041" max="12041" width="15.42578125" style="1145" customWidth="1"/>
    <col min="12042" max="12042" width="1.5703125" style="1145" customWidth="1"/>
    <col min="12043" max="12043" width="22.5703125" style="1145" customWidth="1"/>
    <col min="12044" max="12044" width="1.5703125" style="1145" customWidth="1"/>
    <col min="12045" max="12045" width="17.42578125" style="1145" customWidth="1"/>
    <col min="12046" max="12046" width="1.5703125" style="1145" customWidth="1"/>
    <col min="12047" max="12047" width="14.42578125" style="1145" customWidth="1"/>
    <col min="12048" max="12048" width="1.5703125" style="1145" customWidth="1"/>
    <col min="12049" max="12049" width="28.5703125" style="1145" customWidth="1"/>
    <col min="12050" max="12050" width="4.5703125" style="1145" customWidth="1"/>
    <col min="12051" max="12057" width="0" style="1145" hidden="1" customWidth="1"/>
    <col min="12058" max="12295" width="9.42578125" style="1145"/>
    <col min="12296" max="12296" width="0" style="1145" hidden="1" customWidth="1"/>
    <col min="12297" max="12297" width="15.42578125" style="1145" customWidth="1"/>
    <col min="12298" max="12298" width="1.5703125" style="1145" customWidth="1"/>
    <col min="12299" max="12299" width="22.5703125" style="1145" customWidth="1"/>
    <col min="12300" max="12300" width="1.5703125" style="1145" customWidth="1"/>
    <col min="12301" max="12301" width="17.42578125" style="1145" customWidth="1"/>
    <col min="12302" max="12302" width="1.5703125" style="1145" customWidth="1"/>
    <col min="12303" max="12303" width="14.42578125" style="1145" customWidth="1"/>
    <col min="12304" max="12304" width="1.5703125" style="1145" customWidth="1"/>
    <col min="12305" max="12305" width="28.5703125" style="1145" customWidth="1"/>
    <col min="12306" max="12306" width="4.5703125" style="1145" customWidth="1"/>
    <col min="12307" max="12313" width="0" style="1145" hidden="1" customWidth="1"/>
    <col min="12314" max="12551" width="9.42578125" style="1145"/>
    <col min="12552" max="12552" width="0" style="1145" hidden="1" customWidth="1"/>
    <col min="12553" max="12553" width="15.42578125" style="1145" customWidth="1"/>
    <col min="12554" max="12554" width="1.5703125" style="1145" customWidth="1"/>
    <col min="12555" max="12555" width="22.5703125" style="1145" customWidth="1"/>
    <col min="12556" max="12556" width="1.5703125" style="1145" customWidth="1"/>
    <col min="12557" max="12557" width="17.42578125" style="1145" customWidth="1"/>
    <col min="12558" max="12558" width="1.5703125" style="1145" customWidth="1"/>
    <col min="12559" max="12559" width="14.42578125" style="1145" customWidth="1"/>
    <col min="12560" max="12560" width="1.5703125" style="1145" customWidth="1"/>
    <col min="12561" max="12561" width="28.5703125" style="1145" customWidth="1"/>
    <col min="12562" max="12562" width="4.5703125" style="1145" customWidth="1"/>
    <col min="12563" max="12569" width="0" style="1145" hidden="1" customWidth="1"/>
    <col min="12570" max="12807" width="9.42578125" style="1145"/>
    <col min="12808" max="12808" width="0" style="1145" hidden="1" customWidth="1"/>
    <col min="12809" max="12809" width="15.42578125" style="1145" customWidth="1"/>
    <col min="12810" max="12810" width="1.5703125" style="1145" customWidth="1"/>
    <col min="12811" max="12811" width="22.5703125" style="1145" customWidth="1"/>
    <col min="12812" max="12812" width="1.5703125" style="1145" customWidth="1"/>
    <col min="12813" max="12813" width="17.42578125" style="1145" customWidth="1"/>
    <col min="12814" max="12814" width="1.5703125" style="1145" customWidth="1"/>
    <col min="12815" max="12815" width="14.42578125" style="1145" customWidth="1"/>
    <col min="12816" max="12816" width="1.5703125" style="1145" customWidth="1"/>
    <col min="12817" max="12817" width="28.5703125" style="1145" customWidth="1"/>
    <col min="12818" max="12818" width="4.5703125" style="1145" customWidth="1"/>
    <col min="12819" max="12825" width="0" style="1145" hidden="1" customWidth="1"/>
    <col min="12826" max="13063" width="9.42578125" style="1145"/>
    <col min="13064" max="13064" width="0" style="1145" hidden="1" customWidth="1"/>
    <col min="13065" max="13065" width="15.42578125" style="1145" customWidth="1"/>
    <col min="13066" max="13066" width="1.5703125" style="1145" customWidth="1"/>
    <col min="13067" max="13067" width="22.5703125" style="1145" customWidth="1"/>
    <col min="13068" max="13068" width="1.5703125" style="1145" customWidth="1"/>
    <col min="13069" max="13069" width="17.42578125" style="1145" customWidth="1"/>
    <col min="13070" max="13070" width="1.5703125" style="1145" customWidth="1"/>
    <col min="13071" max="13071" width="14.42578125" style="1145" customWidth="1"/>
    <col min="13072" max="13072" width="1.5703125" style="1145" customWidth="1"/>
    <col min="13073" max="13073" width="28.5703125" style="1145" customWidth="1"/>
    <col min="13074" max="13074" width="4.5703125" style="1145" customWidth="1"/>
    <col min="13075" max="13081" width="0" style="1145" hidden="1" customWidth="1"/>
    <col min="13082" max="13319" width="9.42578125" style="1145"/>
    <col min="13320" max="13320" width="0" style="1145" hidden="1" customWidth="1"/>
    <col min="13321" max="13321" width="15.42578125" style="1145" customWidth="1"/>
    <col min="13322" max="13322" width="1.5703125" style="1145" customWidth="1"/>
    <col min="13323" max="13323" width="22.5703125" style="1145" customWidth="1"/>
    <col min="13324" max="13324" width="1.5703125" style="1145" customWidth="1"/>
    <col min="13325" max="13325" width="17.42578125" style="1145" customWidth="1"/>
    <col min="13326" max="13326" width="1.5703125" style="1145" customWidth="1"/>
    <col min="13327" max="13327" width="14.42578125" style="1145" customWidth="1"/>
    <col min="13328" max="13328" width="1.5703125" style="1145" customWidth="1"/>
    <col min="13329" max="13329" width="28.5703125" style="1145" customWidth="1"/>
    <col min="13330" max="13330" width="4.5703125" style="1145" customWidth="1"/>
    <col min="13331" max="13337" width="0" style="1145" hidden="1" customWidth="1"/>
    <col min="13338" max="13575" width="9.42578125" style="1145"/>
    <col min="13576" max="13576" width="0" style="1145" hidden="1" customWidth="1"/>
    <col min="13577" max="13577" width="15.42578125" style="1145" customWidth="1"/>
    <col min="13578" max="13578" width="1.5703125" style="1145" customWidth="1"/>
    <col min="13579" max="13579" width="22.5703125" style="1145" customWidth="1"/>
    <col min="13580" max="13580" width="1.5703125" style="1145" customWidth="1"/>
    <col min="13581" max="13581" width="17.42578125" style="1145" customWidth="1"/>
    <col min="13582" max="13582" width="1.5703125" style="1145" customWidth="1"/>
    <col min="13583" max="13583" width="14.42578125" style="1145" customWidth="1"/>
    <col min="13584" max="13584" width="1.5703125" style="1145" customWidth="1"/>
    <col min="13585" max="13585" width="28.5703125" style="1145" customWidth="1"/>
    <col min="13586" max="13586" width="4.5703125" style="1145" customWidth="1"/>
    <col min="13587" max="13593" width="0" style="1145" hidden="1" customWidth="1"/>
    <col min="13594" max="13831" width="9.42578125" style="1145"/>
    <col min="13832" max="13832" width="0" style="1145" hidden="1" customWidth="1"/>
    <col min="13833" max="13833" width="15.42578125" style="1145" customWidth="1"/>
    <col min="13834" max="13834" width="1.5703125" style="1145" customWidth="1"/>
    <col min="13835" max="13835" width="22.5703125" style="1145" customWidth="1"/>
    <col min="13836" max="13836" width="1.5703125" style="1145" customWidth="1"/>
    <col min="13837" max="13837" width="17.42578125" style="1145" customWidth="1"/>
    <col min="13838" max="13838" width="1.5703125" style="1145" customWidth="1"/>
    <col min="13839" max="13839" width="14.42578125" style="1145" customWidth="1"/>
    <col min="13840" max="13840" width="1.5703125" style="1145" customWidth="1"/>
    <col min="13841" max="13841" width="28.5703125" style="1145" customWidth="1"/>
    <col min="13842" max="13842" width="4.5703125" style="1145" customWidth="1"/>
    <col min="13843" max="13849" width="0" style="1145" hidden="1" customWidth="1"/>
    <col min="13850" max="14087" width="9.42578125" style="1145"/>
    <col min="14088" max="14088" width="0" style="1145" hidden="1" customWidth="1"/>
    <col min="14089" max="14089" width="15.42578125" style="1145" customWidth="1"/>
    <col min="14090" max="14090" width="1.5703125" style="1145" customWidth="1"/>
    <col min="14091" max="14091" width="22.5703125" style="1145" customWidth="1"/>
    <col min="14092" max="14092" width="1.5703125" style="1145" customWidth="1"/>
    <col min="14093" max="14093" width="17.42578125" style="1145" customWidth="1"/>
    <col min="14094" max="14094" width="1.5703125" style="1145" customWidth="1"/>
    <col min="14095" max="14095" width="14.42578125" style="1145" customWidth="1"/>
    <col min="14096" max="14096" width="1.5703125" style="1145" customWidth="1"/>
    <col min="14097" max="14097" width="28.5703125" style="1145" customWidth="1"/>
    <col min="14098" max="14098" width="4.5703125" style="1145" customWidth="1"/>
    <col min="14099" max="14105" width="0" style="1145" hidden="1" customWidth="1"/>
    <col min="14106" max="14343" width="9.42578125" style="1145"/>
    <col min="14344" max="14344" width="0" style="1145" hidden="1" customWidth="1"/>
    <col min="14345" max="14345" width="15.42578125" style="1145" customWidth="1"/>
    <col min="14346" max="14346" width="1.5703125" style="1145" customWidth="1"/>
    <col min="14347" max="14347" width="22.5703125" style="1145" customWidth="1"/>
    <col min="14348" max="14348" width="1.5703125" style="1145" customWidth="1"/>
    <col min="14349" max="14349" width="17.42578125" style="1145" customWidth="1"/>
    <col min="14350" max="14350" width="1.5703125" style="1145" customWidth="1"/>
    <col min="14351" max="14351" width="14.42578125" style="1145" customWidth="1"/>
    <col min="14352" max="14352" width="1.5703125" style="1145" customWidth="1"/>
    <col min="14353" max="14353" width="28.5703125" style="1145" customWidth="1"/>
    <col min="14354" max="14354" width="4.5703125" style="1145" customWidth="1"/>
    <col min="14355" max="14361" width="0" style="1145" hidden="1" customWidth="1"/>
    <col min="14362" max="14599" width="9.42578125" style="1145"/>
    <col min="14600" max="14600" width="0" style="1145" hidden="1" customWidth="1"/>
    <col min="14601" max="14601" width="15.42578125" style="1145" customWidth="1"/>
    <col min="14602" max="14602" width="1.5703125" style="1145" customWidth="1"/>
    <col min="14603" max="14603" width="22.5703125" style="1145" customWidth="1"/>
    <col min="14604" max="14604" width="1.5703125" style="1145" customWidth="1"/>
    <col min="14605" max="14605" width="17.42578125" style="1145" customWidth="1"/>
    <col min="14606" max="14606" width="1.5703125" style="1145" customWidth="1"/>
    <col min="14607" max="14607" width="14.42578125" style="1145" customWidth="1"/>
    <col min="14608" max="14608" width="1.5703125" style="1145" customWidth="1"/>
    <col min="14609" max="14609" width="28.5703125" style="1145" customWidth="1"/>
    <col min="14610" max="14610" width="4.5703125" style="1145" customWidth="1"/>
    <col min="14611" max="14617" width="0" style="1145" hidden="1" customWidth="1"/>
    <col min="14618" max="14855" width="9.42578125" style="1145"/>
    <col min="14856" max="14856" width="0" style="1145" hidden="1" customWidth="1"/>
    <col min="14857" max="14857" width="15.42578125" style="1145" customWidth="1"/>
    <col min="14858" max="14858" width="1.5703125" style="1145" customWidth="1"/>
    <col min="14859" max="14859" width="22.5703125" style="1145" customWidth="1"/>
    <col min="14860" max="14860" width="1.5703125" style="1145" customWidth="1"/>
    <col min="14861" max="14861" width="17.42578125" style="1145" customWidth="1"/>
    <col min="14862" max="14862" width="1.5703125" style="1145" customWidth="1"/>
    <col min="14863" max="14863" width="14.42578125" style="1145" customWidth="1"/>
    <col min="14864" max="14864" width="1.5703125" style="1145" customWidth="1"/>
    <col min="14865" max="14865" width="28.5703125" style="1145" customWidth="1"/>
    <col min="14866" max="14866" width="4.5703125" style="1145" customWidth="1"/>
    <col min="14867" max="14873" width="0" style="1145" hidden="1" customWidth="1"/>
    <col min="14874" max="15111" width="9.42578125" style="1145"/>
    <col min="15112" max="15112" width="0" style="1145" hidden="1" customWidth="1"/>
    <col min="15113" max="15113" width="15.42578125" style="1145" customWidth="1"/>
    <col min="15114" max="15114" width="1.5703125" style="1145" customWidth="1"/>
    <col min="15115" max="15115" width="22.5703125" style="1145" customWidth="1"/>
    <col min="15116" max="15116" width="1.5703125" style="1145" customWidth="1"/>
    <col min="15117" max="15117" width="17.42578125" style="1145" customWidth="1"/>
    <col min="15118" max="15118" width="1.5703125" style="1145" customWidth="1"/>
    <col min="15119" max="15119" width="14.42578125" style="1145" customWidth="1"/>
    <col min="15120" max="15120" width="1.5703125" style="1145" customWidth="1"/>
    <col min="15121" max="15121" width="28.5703125" style="1145" customWidth="1"/>
    <col min="15122" max="15122" width="4.5703125" style="1145" customWidth="1"/>
    <col min="15123" max="15129" width="0" style="1145" hidden="1" customWidth="1"/>
    <col min="15130" max="15367" width="9.42578125" style="1145"/>
    <col min="15368" max="15368" width="0" style="1145" hidden="1" customWidth="1"/>
    <col min="15369" max="15369" width="15.42578125" style="1145" customWidth="1"/>
    <col min="15370" max="15370" width="1.5703125" style="1145" customWidth="1"/>
    <col min="15371" max="15371" width="22.5703125" style="1145" customWidth="1"/>
    <col min="15372" max="15372" width="1.5703125" style="1145" customWidth="1"/>
    <col min="15373" max="15373" width="17.42578125" style="1145" customWidth="1"/>
    <col min="15374" max="15374" width="1.5703125" style="1145" customWidth="1"/>
    <col min="15375" max="15375" width="14.42578125" style="1145" customWidth="1"/>
    <col min="15376" max="15376" width="1.5703125" style="1145" customWidth="1"/>
    <col min="15377" max="15377" width="28.5703125" style="1145" customWidth="1"/>
    <col min="15378" max="15378" width="4.5703125" style="1145" customWidth="1"/>
    <col min="15379" max="15385" width="0" style="1145" hidden="1" customWidth="1"/>
    <col min="15386" max="15623" width="9.42578125" style="1145"/>
    <col min="15624" max="15624" width="0" style="1145" hidden="1" customWidth="1"/>
    <col min="15625" max="15625" width="15.42578125" style="1145" customWidth="1"/>
    <col min="15626" max="15626" width="1.5703125" style="1145" customWidth="1"/>
    <col min="15627" max="15627" width="22.5703125" style="1145" customWidth="1"/>
    <col min="15628" max="15628" width="1.5703125" style="1145" customWidth="1"/>
    <col min="15629" max="15629" width="17.42578125" style="1145" customWidth="1"/>
    <col min="15630" max="15630" width="1.5703125" style="1145" customWidth="1"/>
    <col min="15631" max="15631" width="14.42578125" style="1145" customWidth="1"/>
    <col min="15632" max="15632" width="1.5703125" style="1145" customWidth="1"/>
    <col min="15633" max="15633" width="28.5703125" style="1145" customWidth="1"/>
    <col min="15634" max="15634" width="4.5703125" style="1145" customWidth="1"/>
    <col min="15635" max="15641" width="0" style="1145" hidden="1" customWidth="1"/>
    <col min="15642" max="15879" width="9.42578125" style="1145"/>
    <col min="15880" max="15880" width="0" style="1145" hidden="1" customWidth="1"/>
    <col min="15881" max="15881" width="15.42578125" style="1145" customWidth="1"/>
    <col min="15882" max="15882" width="1.5703125" style="1145" customWidth="1"/>
    <col min="15883" max="15883" width="22.5703125" style="1145" customWidth="1"/>
    <col min="15884" max="15884" width="1.5703125" style="1145" customWidth="1"/>
    <col min="15885" max="15885" width="17.42578125" style="1145" customWidth="1"/>
    <col min="15886" max="15886" width="1.5703125" style="1145" customWidth="1"/>
    <col min="15887" max="15887" width="14.42578125" style="1145" customWidth="1"/>
    <col min="15888" max="15888" width="1.5703125" style="1145" customWidth="1"/>
    <col min="15889" max="15889" width="28.5703125" style="1145" customWidth="1"/>
    <col min="15890" max="15890" width="4.5703125" style="1145" customWidth="1"/>
    <col min="15891" max="15897" width="0" style="1145" hidden="1" customWidth="1"/>
    <col min="15898" max="16135" width="9.42578125" style="1145"/>
    <col min="16136" max="16136" width="0" style="1145" hidden="1" customWidth="1"/>
    <col min="16137" max="16137" width="15.42578125" style="1145" customWidth="1"/>
    <col min="16138" max="16138" width="1.5703125" style="1145" customWidth="1"/>
    <col min="16139" max="16139" width="22.5703125" style="1145" customWidth="1"/>
    <col min="16140" max="16140" width="1.5703125" style="1145" customWidth="1"/>
    <col min="16141" max="16141" width="17.42578125" style="1145" customWidth="1"/>
    <col min="16142" max="16142" width="1.5703125" style="1145" customWidth="1"/>
    <col min="16143" max="16143" width="14.42578125" style="1145" customWidth="1"/>
    <col min="16144" max="16144" width="1.5703125" style="1145" customWidth="1"/>
    <col min="16145" max="16145" width="28.5703125" style="1145" customWidth="1"/>
    <col min="16146" max="16146" width="4.5703125" style="1145" customWidth="1"/>
    <col min="16147" max="16153" width="0" style="1145" hidden="1" customWidth="1"/>
    <col min="16154" max="16384" width="9.42578125" style="1145"/>
  </cols>
  <sheetData>
    <row r="1" spans="1:24" s="1128" customFormat="1" ht="15" customHeight="1" x14ac:dyDescent="0.25">
      <c r="A1" s="2455" t="str">
        <f>Index!A1</f>
        <v xml:space="preserve">                                                               Office of the State Controller                                                                </v>
      </c>
      <c r="B1" s="2455"/>
      <c r="C1" s="2455"/>
      <c r="D1" s="2455"/>
      <c r="E1" s="2455"/>
      <c r="F1" s="2455"/>
      <c r="G1" s="2455"/>
      <c r="H1" s="2455"/>
      <c r="I1" s="2455"/>
      <c r="J1" s="2455"/>
      <c r="K1" s="2455"/>
      <c r="L1" s="2455"/>
      <c r="M1" s="2455"/>
      <c r="N1" s="2455"/>
      <c r="O1" s="2455"/>
      <c r="P1" s="2455"/>
      <c r="Q1" s="2455"/>
      <c r="R1" s="2520" t="str">
        <f>IF(Index!$B$77="na","NA","")</f>
        <v/>
      </c>
      <c r="S1" s="2241"/>
      <c r="T1" s="2241"/>
      <c r="U1" s="2241"/>
      <c r="V1" s="2241"/>
      <c r="W1" s="2241"/>
      <c r="X1" s="2241"/>
    </row>
    <row r="2" spans="1:24" s="1128" customFormat="1" ht="15" customHeight="1" x14ac:dyDescent="0.25">
      <c r="A2" s="2778" t="str">
        <f>Index!A2</f>
        <v>2023 ACFR Worksheets</v>
      </c>
      <c r="B2" s="2778"/>
      <c r="C2" s="2778"/>
      <c r="D2" s="2778"/>
      <c r="E2" s="2778"/>
      <c r="F2" s="2778"/>
      <c r="G2" s="2778"/>
      <c r="H2" s="2778"/>
      <c r="I2" s="2778"/>
      <c r="J2" s="2778"/>
      <c r="K2" s="2778"/>
      <c r="L2" s="2778"/>
      <c r="M2" s="2778"/>
      <c r="N2" s="2778"/>
      <c r="O2" s="2778"/>
      <c r="P2" s="2778"/>
      <c r="Q2" s="2778"/>
      <c r="R2" s="2520"/>
      <c r="S2" s="2241"/>
      <c r="T2" s="2241"/>
      <c r="U2" s="2241"/>
      <c r="V2" s="2241"/>
      <c r="W2" s="2241"/>
      <c r="X2" s="2241"/>
    </row>
    <row r="3" spans="1:24" s="1128" customFormat="1" ht="15" customHeight="1" x14ac:dyDescent="0.25">
      <c r="A3" s="2778" t="s">
        <v>1895</v>
      </c>
      <c r="B3" s="2778"/>
      <c r="C3" s="2778"/>
      <c r="D3" s="2778"/>
      <c r="E3" s="2778"/>
      <c r="F3" s="2778"/>
      <c r="G3" s="2778"/>
      <c r="H3" s="2778"/>
      <c r="I3" s="2778"/>
      <c r="J3" s="2778"/>
      <c r="K3" s="2778"/>
      <c r="L3" s="2778"/>
      <c r="M3" s="2778"/>
      <c r="N3" s="2778"/>
      <c r="O3" s="2778"/>
      <c r="P3" s="2778"/>
      <c r="Q3" s="2778"/>
      <c r="R3" s="2520"/>
      <c r="S3" s="2241"/>
      <c r="T3" s="2241"/>
      <c r="U3" s="2241"/>
      <c r="V3" s="2241"/>
      <c r="W3" s="2241"/>
      <c r="X3" s="2241"/>
    </row>
    <row r="4" spans="1:24" s="1128" customFormat="1" ht="15" customHeight="1" x14ac:dyDescent="0.25">
      <c r="A4" s="2778" t="s">
        <v>1919</v>
      </c>
      <c r="B4" s="2778"/>
      <c r="C4" s="2778"/>
      <c r="D4" s="2778"/>
      <c r="E4" s="2778"/>
      <c r="F4" s="2778"/>
      <c r="G4" s="2778"/>
      <c r="H4" s="2778"/>
      <c r="I4" s="2778"/>
      <c r="J4" s="2778"/>
      <c r="K4" s="2778"/>
      <c r="L4" s="2778"/>
      <c r="M4" s="2778"/>
      <c r="N4" s="2778"/>
      <c r="O4" s="2778"/>
      <c r="P4" s="2778"/>
      <c r="Q4" s="2778"/>
    </row>
    <row r="5" spans="1:24" s="1129" customFormat="1" ht="15" customHeight="1" x14ac:dyDescent="0.25">
      <c r="C5" s="1130"/>
      <c r="D5" s="1131"/>
      <c r="E5" s="1131"/>
      <c r="F5" s="1131"/>
      <c r="G5" s="1131"/>
      <c r="H5" s="1131"/>
      <c r="I5" s="1131"/>
      <c r="J5" s="1131"/>
      <c r="K5" s="1132"/>
      <c r="L5" s="1132"/>
      <c r="M5" s="1132"/>
      <c r="N5" s="1132"/>
      <c r="O5" s="1132" t="s">
        <v>1897</v>
      </c>
      <c r="P5" s="1132"/>
      <c r="Q5" s="1132"/>
    </row>
    <row r="6" spans="1:24" s="1129" customFormat="1" ht="15" customHeight="1" x14ac:dyDescent="0.2">
      <c r="A6" s="1133" t="s">
        <v>317</v>
      </c>
      <c r="C6" s="1134" t="str">
        <f>Index!E10</f>
        <v>01</v>
      </c>
      <c r="D6" s="1134"/>
      <c r="E6" s="1134"/>
      <c r="H6" s="1135"/>
      <c r="I6" s="1164"/>
      <c r="J6" s="1164"/>
      <c r="K6" s="1164"/>
      <c r="L6" s="1135" t="s">
        <v>319</v>
      </c>
      <c r="M6" s="2779" t="str">
        <f>CONCATENATE(Index!$E$12," ",Index!$E$14)</f>
        <v xml:space="preserve"> </v>
      </c>
      <c r="N6" s="2779"/>
      <c r="O6" s="2779"/>
      <c r="P6" s="2779"/>
      <c r="Q6" s="2779"/>
    </row>
    <row r="7" spans="1:24" s="1129" customFormat="1" ht="15" customHeight="1" x14ac:dyDescent="0.2">
      <c r="A7" s="1133" t="s">
        <v>318</v>
      </c>
      <c r="C7" s="2775" t="str">
        <f>Index!E11</f>
        <v>North Carolina General Assembly</v>
      </c>
      <c r="D7" s="2775"/>
      <c r="E7" s="2775"/>
      <c r="G7" s="1135"/>
      <c r="I7" s="1157"/>
      <c r="J7" s="1157"/>
      <c r="K7" s="1157"/>
      <c r="L7" s="1135" t="s">
        <v>71</v>
      </c>
      <c r="M7" s="2777">
        <f>Index!E13</f>
        <v>0</v>
      </c>
      <c r="N7" s="2777"/>
      <c r="O7" s="2777"/>
      <c r="P7" s="2777"/>
      <c r="Q7" s="2777"/>
    </row>
    <row r="8" spans="1:24" s="1129" customFormat="1" ht="15" customHeight="1" x14ac:dyDescent="0.2">
      <c r="A8" s="1133" t="s">
        <v>1838</v>
      </c>
      <c r="C8" s="2776"/>
      <c r="D8" s="2776"/>
      <c r="E8" s="2776"/>
    </row>
    <row r="9" spans="1:24" s="1129" customFormat="1" ht="15" customHeight="1" thickBot="1" x14ac:dyDescent="0.25">
      <c r="A9" s="1136"/>
      <c r="B9" s="1136"/>
      <c r="C9" s="1136"/>
      <c r="D9" s="1136"/>
      <c r="E9" s="1136"/>
      <c r="F9" s="1136"/>
      <c r="G9" s="1136"/>
      <c r="H9" s="1136"/>
      <c r="I9" s="1136"/>
      <c r="J9" s="1136"/>
      <c r="K9" s="1136"/>
      <c r="L9" s="1136"/>
      <c r="M9" s="1136"/>
      <c r="N9" s="1136"/>
      <c r="O9" s="1136"/>
      <c r="P9" s="1136"/>
      <c r="Q9" s="1136"/>
    </row>
    <row r="10" spans="1:24" s="1129" customFormat="1" ht="15" customHeight="1" x14ac:dyDescent="0.2">
      <c r="A10" s="2772" t="s">
        <v>1899</v>
      </c>
      <c r="B10" s="2773"/>
      <c r="C10" s="2774"/>
      <c r="E10" s="2772" t="s">
        <v>1898</v>
      </c>
      <c r="F10" s="2773"/>
      <c r="G10" s="2774"/>
    </row>
    <row r="11" spans="1:24" s="1129" customFormat="1" ht="15" customHeight="1" x14ac:dyDescent="0.2">
      <c r="A11" s="1227"/>
      <c r="C11" s="1228" t="s">
        <v>1825</v>
      </c>
      <c r="E11" s="1227" t="s">
        <v>50</v>
      </c>
      <c r="G11" s="1232"/>
      <c r="H11" s="1137" t="s">
        <v>50</v>
      </c>
      <c r="J11" s="1130"/>
    </row>
    <row r="12" spans="1:24" s="1129" customFormat="1" ht="15" customHeight="1" x14ac:dyDescent="0.2">
      <c r="A12" s="1227"/>
      <c r="C12" s="1228" t="s">
        <v>1900</v>
      </c>
      <c r="E12" s="1227"/>
      <c r="G12" s="1228"/>
      <c r="J12" s="1130"/>
    </row>
    <row r="13" spans="1:24" s="1129" customFormat="1" ht="15" customHeight="1" x14ac:dyDescent="0.2">
      <c r="A13" s="1227"/>
      <c r="C13" s="1228" t="s">
        <v>1920</v>
      </c>
      <c r="E13" s="1227"/>
      <c r="G13" s="1228"/>
      <c r="J13" s="1130"/>
    </row>
    <row r="14" spans="1:24" s="1129" customFormat="1" ht="15" customHeight="1" x14ac:dyDescent="0.2">
      <c r="A14" s="1227"/>
      <c r="C14" s="1228" t="s">
        <v>1921</v>
      </c>
      <c r="E14" s="1227"/>
      <c r="G14" s="1228"/>
      <c r="J14" s="1130"/>
    </row>
    <row r="15" spans="1:24" s="1129" customFormat="1" ht="15" customHeight="1" x14ac:dyDescent="0.2">
      <c r="A15" s="1227"/>
      <c r="C15" s="1228" t="s">
        <v>1922</v>
      </c>
      <c r="E15" s="1227"/>
      <c r="G15" s="1228"/>
      <c r="J15" s="1130"/>
      <c r="M15" s="131"/>
      <c r="N15" s="1332"/>
      <c r="O15" s="1332"/>
      <c r="P15" s="1332"/>
      <c r="Q15" s="1332"/>
    </row>
    <row r="16" spans="1:24" s="1129" customFormat="1" ht="15" customHeight="1" thickBot="1" x14ac:dyDescent="0.25">
      <c r="A16" s="1227"/>
      <c r="C16" s="1228" t="s">
        <v>1923</v>
      </c>
      <c r="E16" s="1227"/>
      <c r="G16" s="1228"/>
      <c r="J16" s="1130"/>
    </row>
    <row r="17" spans="1:26" s="1129" customFormat="1" ht="15" customHeight="1" thickBot="1" x14ac:dyDescent="0.25">
      <c r="A17" s="1227"/>
      <c r="C17" s="1228" t="s">
        <v>1924</v>
      </c>
      <c r="E17" s="1227"/>
      <c r="G17" s="1228"/>
      <c r="J17" s="1130"/>
      <c r="M17" s="132" t="s">
        <v>1907</v>
      </c>
      <c r="N17" s="1331"/>
      <c r="O17" s="1331"/>
      <c r="P17" s="1331"/>
      <c r="Q17" s="1331"/>
    </row>
    <row r="18" spans="1:26" s="1129" customFormat="1" ht="15" customHeight="1" x14ac:dyDescent="0.2">
      <c r="A18" s="1227" t="s">
        <v>1879</v>
      </c>
      <c r="C18" s="1228" t="s">
        <v>1925</v>
      </c>
      <c r="E18" s="1227" t="s">
        <v>1909</v>
      </c>
      <c r="G18" s="1228" t="s">
        <v>1910</v>
      </c>
      <c r="J18" s="1130"/>
      <c r="M18" s="1332"/>
      <c r="N18" s="1332"/>
      <c r="O18" s="1332"/>
      <c r="P18" s="1332"/>
      <c r="Q18" s="131" t="s">
        <v>498</v>
      </c>
    </row>
    <row r="19" spans="1:26" s="1129" customFormat="1" ht="15" customHeight="1" thickBot="1" x14ac:dyDescent="0.25">
      <c r="A19" s="1229" t="s">
        <v>1700</v>
      </c>
      <c r="C19" s="1230" t="s">
        <v>1882</v>
      </c>
      <c r="E19" s="1229" t="s">
        <v>1926</v>
      </c>
      <c r="G19" s="1230" t="s">
        <v>1926</v>
      </c>
      <c r="I19" s="1138" t="s">
        <v>1347</v>
      </c>
      <c r="K19" s="1138" t="s">
        <v>1912</v>
      </c>
      <c r="L19" s="1137"/>
      <c r="M19" s="133" t="s">
        <v>1913</v>
      </c>
      <c r="N19" s="130"/>
      <c r="O19" s="133" t="s">
        <v>1914</v>
      </c>
      <c r="P19" s="1333"/>
      <c r="Q19" s="133" t="s">
        <v>1915</v>
      </c>
      <c r="R19" s="1137" t="s">
        <v>50</v>
      </c>
      <c r="S19" s="1137"/>
      <c r="T19" s="1137"/>
      <c r="U19" s="1137"/>
      <c r="V19" s="1137"/>
      <c r="W19" s="1137"/>
      <c r="X19" s="1137"/>
    </row>
    <row r="20" spans="1:26" s="1129" customFormat="1" ht="15" customHeight="1" x14ac:dyDescent="0.2">
      <c r="A20" s="1334" t="s">
        <v>1884</v>
      </c>
      <c r="C20" s="1335">
        <v>538101</v>
      </c>
      <c r="E20" s="1336" t="s">
        <v>1927</v>
      </c>
      <c r="G20" s="1335">
        <v>1100</v>
      </c>
      <c r="H20" s="1140"/>
      <c r="I20" s="1337">
        <v>3000000</v>
      </c>
      <c r="K20" s="1338" t="s">
        <v>1885</v>
      </c>
      <c r="L20" s="1339"/>
      <c r="M20" s="1340" t="s">
        <v>1917</v>
      </c>
      <c r="N20" s="1341"/>
      <c r="O20" s="1340"/>
      <c r="P20" s="1341"/>
      <c r="Q20" s="1340"/>
      <c r="R20" s="313" t="str">
        <f t="shared" ref="R20:R34" si="0">IF(AND(S20,Y20),"","*")</f>
        <v/>
      </c>
      <c r="S20" s="1142" t="b">
        <f>IF(OR(T20=0,T20=5),TRUE, FALSE)</f>
        <v>1</v>
      </c>
      <c r="T20" s="1142">
        <f>COUNTIF(U20:Z20,FALSE)</f>
        <v>5</v>
      </c>
      <c r="U20" s="1143" t="b">
        <f>ISBLANK(C20)</f>
        <v>0</v>
      </c>
      <c r="V20" s="1143" t="b">
        <f>ISBLANK(E20)</f>
        <v>0</v>
      </c>
      <c r="W20" s="1143" t="b">
        <f>ISBLANK(G20)</f>
        <v>0</v>
      </c>
      <c r="X20" s="1143" t="b">
        <f>ISBLANK(I20)</f>
        <v>0</v>
      </c>
      <c r="Y20" s="1144" t="b">
        <f>IF(ISBLANK(C20),TRUE,OR(TEXT(LEFT(C20,4),"0000")="5381",TEXT(LEFT(C20,4),"0000")="5380",TEXT(LEFT(C20,4),"0000")="538F"))</f>
        <v>1</v>
      </c>
      <c r="Z20" s="1129" t="b">
        <f t="shared" ref="Z20:Z34" si="1">AND(ISBLANK(M20),ISBLANK(O20),ISBLANK(Q20))</f>
        <v>0</v>
      </c>
    </row>
    <row r="21" spans="1:26" s="1129" customFormat="1" ht="15" customHeight="1" x14ac:dyDescent="0.2">
      <c r="A21" s="1234"/>
      <c r="C21" s="1231"/>
      <c r="E21" s="1233"/>
      <c r="G21" s="1231"/>
      <c r="H21" s="1140"/>
      <c r="I21" s="1141"/>
      <c r="K21" s="1139"/>
      <c r="L21" s="1226"/>
      <c r="M21" s="1355"/>
      <c r="N21" s="1356"/>
      <c r="O21" s="1357"/>
      <c r="P21" s="1356"/>
      <c r="Q21" s="1357"/>
      <c r="R21" s="313" t="str">
        <f t="shared" si="0"/>
        <v/>
      </c>
      <c r="S21" s="1142" t="b">
        <f t="shared" ref="S21:S34" si="2">IF(OR(T21=0,T21=5),TRUE, FALSE)</f>
        <v>1</v>
      </c>
      <c r="T21" s="1142">
        <f t="shared" ref="T21:T34" si="3">COUNTIF(U21:Z21,FALSE)</f>
        <v>0</v>
      </c>
      <c r="U21" s="1143" t="b">
        <f t="shared" ref="U21:U34" si="4">ISBLANK(C21)</f>
        <v>1</v>
      </c>
      <c r="V21" s="1143" t="b">
        <f t="shared" ref="V21:V34" si="5">ISBLANK(E21)</f>
        <v>1</v>
      </c>
      <c r="W21" s="1143" t="b">
        <f t="shared" ref="W21:W34" si="6">ISBLANK(G21)</f>
        <v>1</v>
      </c>
      <c r="X21" s="1143" t="b">
        <f t="shared" ref="X21:X34" si="7">ISBLANK(I21)</f>
        <v>1</v>
      </c>
      <c r="Y21" s="1144" t="b">
        <f t="shared" ref="Y21:Y34" si="8">IF(ISBLANK(C21),TRUE,OR(TEXT(LEFT(C21,4),"0000")="5381",TEXT(LEFT(C21,4),"0000")="5380",TEXT(LEFT(C21,4),"0000")="538F"))</f>
        <v>1</v>
      </c>
      <c r="Z21" s="1129" t="b">
        <f t="shared" si="1"/>
        <v>1</v>
      </c>
    </row>
    <row r="22" spans="1:26" s="1129" customFormat="1" ht="15" customHeight="1" x14ac:dyDescent="0.2">
      <c r="A22" s="1234"/>
      <c r="C22" s="1231"/>
      <c r="E22" s="1233"/>
      <c r="G22" s="1231"/>
      <c r="H22" s="1140"/>
      <c r="I22" s="1141"/>
      <c r="K22" s="1139"/>
      <c r="L22" s="1226"/>
      <c r="M22" s="1357"/>
      <c r="N22" s="1356"/>
      <c r="O22" s="1357"/>
      <c r="P22" s="1356"/>
      <c r="Q22" s="1357"/>
      <c r="R22" s="313" t="str">
        <f t="shared" si="0"/>
        <v/>
      </c>
      <c r="S22" s="1142" t="b">
        <f t="shared" si="2"/>
        <v>1</v>
      </c>
      <c r="T22" s="1142">
        <f t="shared" si="3"/>
        <v>0</v>
      </c>
      <c r="U22" s="1143" t="b">
        <f t="shared" si="4"/>
        <v>1</v>
      </c>
      <c r="V22" s="1143" t="b">
        <f t="shared" si="5"/>
        <v>1</v>
      </c>
      <c r="W22" s="1143" t="b">
        <f t="shared" si="6"/>
        <v>1</v>
      </c>
      <c r="X22" s="1143" t="b">
        <f t="shared" si="7"/>
        <v>1</v>
      </c>
      <c r="Y22" s="1144" t="b">
        <f t="shared" si="8"/>
        <v>1</v>
      </c>
      <c r="Z22" s="1129" t="b">
        <f t="shared" si="1"/>
        <v>1</v>
      </c>
    </row>
    <row r="23" spans="1:26" s="1129" customFormat="1" ht="15" customHeight="1" x14ac:dyDescent="0.2">
      <c r="A23" s="1234"/>
      <c r="C23" s="1231"/>
      <c r="E23" s="1233"/>
      <c r="G23" s="1231"/>
      <c r="H23" s="1140"/>
      <c r="I23" s="1141"/>
      <c r="K23" s="1139"/>
      <c r="L23" s="1226"/>
      <c r="M23" s="1357"/>
      <c r="N23" s="1356"/>
      <c r="O23" s="1357"/>
      <c r="P23" s="1356"/>
      <c r="Q23" s="1357"/>
      <c r="R23" s="313" t="str">
        <f t="shared" si="0"/>
        <v/>
      </c>
      <c r="S23" s="1142" t="b">
        <f t="shared" si="2"/>
        <v>1</v>
      </c>
      <c r="T23" s="1142">
        <f t="shared" si="3"/>
        <v>0</v>
      </c>
      <c r="U23" s="1143" t="b">
        <f t="shared" si="4"/>
        <v>1</v>
      </c>
      <c r="V23" s="1143" t="b">
        <f t="shared" si="5"/>
        <v>1</v>
      </c>
      <c r="W23" s="1143" t="b">
        <f t="shared" si="6"/>
        <v>1</v>
      </c>
      <c r="X23" s="1143" t="b">
        <f t="shared" si="7"/>
        <v>1</v>
      </c>
      <c r="Y23" s="1144" t="b">
        <f t="shared" si="8"/>
        <v>1</v>
      </c>
      <c r="Z23" s="1129" t="b">
        <f t="shared" si="1"/>
        <v>1</v>
      </c>
    </row>
    <row r="24" spans="1:26" s="1129" customFormat="1" ht="15" customHeight="1" x14ac:dyDescent="0.2">
      <c r="A24" s="1234"/>
      <c r="C24" s="1231"/>
      <c r="E24" s="1233"/>
      <c r="G24" s="1231"/>
      <c r="H24" s="1140"/>
      <c r="I24" s="1141"/>
      <c r="K24" s="1139"/>
      <c r="L24" s="1226"/>
      <c r="M24" s="1357"/>
      <c r="N24" s="1356"/>
      <c r="O24" s="1357"/>
      <c r="P24" s="1356"/>
      <c r="Q24" s="1357"/>
      <c r="R24" s="313" t="str">
        <f t="shared" si="0"/>
        <v/>
      </c>
      <c r="S24" s="1142" t="b">
        <f t="shared" si="2"/>
        <v>1</v>
      </c>
      <c r="T24" s="1142">
        <f t="shared" si="3"/>
        <v>0</v>
      </c>
      <c r="U24" s="1143" t="b">
        <f t="shared" si="4"/>
        <v>1</v>
      </c>
      <c r="V24" s="1143" t="b">
        <f t="shared" si="5"/>
        <v>1</v>
      </c>
      <c r="W24" s="1143" t="b">
        <f t="shared" si="6"/>
        <v>1</v>
      </c>
      <c r="X24" s="1143" t="b">
        <f t="shared" si="7"/>
        <v>1</v>
      </c>
      <c r="Y24" s="1144" t="b">
        <f t="shared" si="8"/>
        <v>1</v>
      </c>
      <c r="Z24" s="1129" t="b">
        <f t="shared" si="1"/>
        <v>1</v>
      </c>
    </row>
    <row r="25" spans="1:26" s="1129" customFormat="1" ht="15" customHeight="1" x14ac:dyDescent="0.2">
      <c r="A25" s="1234"/>
      <c r="C25" s="1231"/>
      <c r="E25" s="1233"/>
      <c r="G25" s="1231"/>
      <c r="H25" s="1140"/>
      <c r="I25" s="1141"/>
      <c r="K25" s="1139"/>
      <c r="L25" s="1226"/>
      <c r="M25" s="1357"/>
      <c r="N25" s="1356"/>
      <c r="O25" s="1357"/>
      <c r="P25" s="1356"/>
      <c r="Q25" s="1357"/>
      <c r="R25" s="313" t="str">
        <f t="shared" si="0"/>
        <v/>
      </c>
      <c r="S25" s="1142" t="b">
        <f t="shared" si="2"/>
        <v>1</v>
      </c>
      <c r="T25" s="1142">
        <f t="shared" si="3"/>
        <v>0</v>
      </c>
      <c r="U25" s="1143" t="b">
        <f t="shared" si="4"/>
        <v>1</v>
      </c>
      <c r="V25" s="1143" t="b">
        <f t="shared" si="5"/>
        <v>1</v>
      </c>
      <c r="W25" s="1143" t="b">
        <f t="shared" si="6"/>
        <v>1</v>
      </c>
      <c r="X25" s="1143" t="b">
        <f t="shared" si="7"/>
        <v>1</v>
      </c>
      <c r="Y25" s="1144" t="b">
        <f t="shared" si="8"/>
        <v>1</v>
      </c>
      <c r="Z25" s="1129" t="b">
        <f t="shared" si="1"/>
        <v>1</v>
      </c>
    </row>
    <row r="26" spans="1:26" s="1129" customFormat="1" ht="15" customHeight="1" x14ac:dyDescent="0.2">
      <c r="A26" s="1234"/>
      <c r="C26" s="1231"/>
      <c r="E26" s="1233"/>
      <c r="G26" s="1231"/>
      <c r="H26" s="1140"/>
      <c r="I26" s="1141"/>
      <c r="K26" s="1139"/>
      <c r="L26" s="1226"/>
      <c r="M26" s="1357"/>
      <c r="N26" s="1356"/>
      <c r="O26" s="1357"/>
      <c r="P26" s="1356"/>
      <c r="Q26" s="1357"/>
      <c r="R26" s="313" t="str">
        <f t="shared" si="0"/>
        <v/>
      </c>
      <c r="S26" s="1142" t="b">
        <f t="shared" si="2"/>
        <v>1</v>
      </c>
      <c r="T26" s="1142">
        <f t="shared" si="3"/>
        <v>0</v>
      </c>
      <c r="U26" s="1143" t="b">
        <f t="shared" si="4"/>
        <v>1</v>
      </c>
      <c r="V26" s="1143" t="b">
        <f t="shared" si="5"/>
        <v>1</v>
      </c>
      <c r="W26" s="1143" t="b">
        <f t="shared" si="6"/>
        <v>1</v>
      </c>
      <c r="X26" s="1143" t="b">
        <f t="shared" si="7"/>
        <v>1</v>
      </c>
      <c r="Y26" s="1144" t="b">
        <f t="shared" si="8"/>
        <v>1</v>
      </c>
      <c r="Z26" s="1129" t="b">
        <f t="shared" si="1"/>
        <v>1</v>
      </c>
    </row>
    <row r="27" spans="1:26" s="1129" customFormat="1" ht="15" customHeight="1" x14ac:dyDescent="0.2">
      <c r="A27" s="1234"/>
      <c r="C27" s="1231"/>
      <c r="E27" s="1233"/>
      <c r="G27" s="1231"/>
      <c r="H27" s="1140"/>
      <c r="I27" s="1141"/>
      <c r="K27" s="1139"/>
      <c r="L27" s="1226"/>
      <c r="M27" s="1357"/>
      <c r="N27" s="1356"/>
      <c r="O27" s="1357"/>
      <c r="P27" s="1356"/>
      <c r="Q27" s="1357"/>
      <c r="R27" s="313" t="str">
        <f t="shared" si="0"/>
        <v/>
      </c>
      <c r="S27" s="1142" t="b">
        <f t="shared" si="2"/>
        <v>1</v>
      </c>
      <c r="T27" s="1142">
        <f t="shared" si="3"/>
        <v>0</v>
      </c>
      <c r="U27" s="1143" t="b">
        <f t="shared" si="4"/>
        <v>1</v>
      </c>
      <c r="V27" s="1143" t="b">
        <f t="shared" si="5"/>
        <v>1</v>
      </c>
      <c r="W27" s="1143" t="b">
        <f t="shared" si="6"/>
        <v>1</v>
      </c>
      <c r="X27" s="1143" t="b">
        <f t="shared" si="7"/>
        <v>1</v>
      </c>
      <c r="Y27" s="1144" t="b">
        <f t="shared" si="8"/>
        <v>1</v>
      </c>
      <c r="Z27" s="1129" t="b">
        <f t="shared" si="1"/>
        <v>1</v>
      </c>
    </row>
    <row r="28" spans="1:26" s="1129" customFormat="1" ht="15" customHeight="1" x14ac:dyDescent="0.2">
      <c r="A28" s="1234"/>
      <c r="C28" s="1231"/>
      <c r="E28" s="1233"/>
      <c r="G28" s="1231"/>
      <c r="H28" s="1140"/>
      <c r="I28" s="1141"/>
      <c r="K28" s="1139"/>
      <c r="L28" s="1226"/>
      <c r="M28" s="1357"/>
      <c r="N28" s="1356"/>
      <c r="O28" s="1357"/>
      <c r="P28" s="1356"/>
      <c r="Q28" s="1357"/>
      <c r="R28" s="313" t="str">
        <f t="shared" si="0"/>
        <v/>
      </c>
      <c r="S28" s="1142" t="b">
        <f t="shared" si="2"/>
        <v>1</v>
      </c>
      <c r="T28" s="1142">
        <f t="shared" si="3"/>
        <v>0</v>
      </c>
      <c r="U28" s="1143" t="b">
        <f t="shared" si="4"/>
        <v>1</v>
      </c>
      <c r="V28" s="1143" t="b">
        <f t="shared" si="5"/>
        <v>1</v>
      </c>
      <c r="W28" s="1143" t="b">
        <f t="shared" si="6"/>
        <v>1</v>
      </c>
      <c r="X28" s="1143" t="b">
        <f t="shared" si="7"/>
        <v>1</v>
      </c>
      <c r="Y28" s="1144" t="b">
        <f t="shared" si="8"/>
        <v>1</v>
      </c>
      <c r="Z28" s="1129" t="b">
        <f t="shared" si="1"/>
        <v>1</v>
      </c>
    </row>
    <row r="29" spans="1:26" s="1129" customFormat="1" ht="15" customHeight="1" x14ac:dyDescent="0.2">
      <c r="A29" s="1234"/>
      <c r="C29" s="1231"/>
      <c r="E29" s="1233"/>
      <c r="G29" s="1231"/>
      <c r="H29" s="1140"/>
      <c r="I29" s="1141"/>
      <c r="K29" s="1139"/>
      <c r="L29" s="1226"/>
      <c r="M29" s="1357"/>
      <c r="N29" s="1356"/>
      <c r="O29" s="1357"/>
      <c r="P29" s="1356"/>
      <c r="Q29" s="1357"/>
      <c r="R29" s="313" t="str">
        <f t="shared" si="0"/>
        <v/>
      </c>
      <c r="S29" s="1142" t="b">
        <f t="shared" si="2"/>
        <v>1</v>
      </c>
      <c r="T29" s="1142">
        <f t="shared" si="3"/>
        <v>0</v>
      </c>
      <c r="U29" s="1143" t="b">
        <f t="shared" si="4"/>
        <v>1</v>
      </c>
      <c r="V29" s="1143" t="b">
        <f t="shared" si="5"/>
        <v>1</v>
      </c>
      <c r="W29" s="1143" t="b">
        <f t="shared" si="6"/>
        <v>1</v>
      </c>
      <c r="X29" s="1143" t="b">
        <f t="shared" si="7"/>
        <v>1</v>
      </c>
      <c r="Y29" s="1144" t="b">
        <f t="shared" si="8"/>
        <v>1</v>
      </c>
      <c r="Z29" s="1129" t="b">
        <f t="shared" si="1"/>
        <v>1</v>
      </c>
    </row>
    <row r="30" spans="1:26" s="1129" customFormat="1" ht="15" customHeight="1" x14ac:dyDescent="0.2">
      <c r="A30" s="1234"/>
      <c r="C30" s="1231"/>
      <c r="E30" s="1233"/>
      <c r="G30" s="1231"/>
      <c r="H30" s="1140"/>
      <c r="I30" s="1141"/>
      <c r="K30" s="1139"/>
      <c r="L30" s="1226"/>
      <c r="M30" s="1357"/>
      <c r="N30" s="1356"/>
      <c r="O30" s="1357"/>
      <c r="P30" s="1356"/>
      <c r="Q30" s="1357"/>
      <c r="R30" s="313" t="str">
        <f t="shared" si="0"/>
        <v/>
      </c>
      <c r="S30" s="1142" t="b">
        <f t="shared" si="2"/>
        <v>1</v>
      </c>
      <c r="T30" s="1142">
        <f t="shared" si="3"/>
        <v>0</v>
      </c>
      <c r="U30" s="1143" t="b">
        <f t="shared" si="4"/>
        <v>1</v>
      </c>
      <c r="V30" s="1143" t="b">
        <f t="shared" si="5"/>
        <v>1</v>
      </c>
      <c r="W30" s="1143" t="b">
        <f t="shared" si="6"/>
        <v>1</v>
      </c>
      <c r="X30" s="1143" t="b">
        <f t="shared" si="7"/>
        <v>1</v>
      </c>
      <c r="Y30" s="1144" t="b">
        <f t="shared" si="8"/>
        <v>1</v>
      </c>
      <c r="Z30" s="1129" t="b">
        <f t="shared" si="1"/>
        <v>1</v>
      </c>
    </row>
    <row r="31" spans="1:26" s="1129" customFormat="1" ht="15" customHeight="1" x14ac:dyDescent="0.2">
      <c r="A31" s="1234"/>
      <c r="C31" s="1231"/>
      <c r="E31" s="1233"/>
      <c r="G31" s="1231"/>
      <c r="H31" s="1140"/>
      <c r="I31" s="1141"/>
      <c r="K31" s="1139"/>
      <c r="L31" s="1226"/>
      <c r="M31" s="1357"/>
      <c r="N31" s="1356"/>
      <c r="O31" s="1357"/>
      <c r="P31" s="1356"/>
      <c r="Q31" s="1357"/>
      <c r="R31" s="313" t="str">
        <f t="shared" si="0"/>
        <v/>
      </c>
      <c r="S31" s="1142" t="b">
        <f t="shared" si="2"/>
        <v>1</v>
      </c>
      <c r="T31" s="1142">
        <f t="shared" si="3"/>
        <v>0</v>
      </c>
      <c r="U31" s="1143" t="b">
        <f t="shared" si="4"/>
        <v>1</v>
      </c>
      <c r="V31" s="1143" t="b">
        <f t="shared" si="5"/>
        <v>1</v>
      </c>
      <c r="W31" s="1143" t="b">
        <f t="shared" si="6"/>
        <v>1</v>
      </c>
      <c r="X31" s="1143" t="b">
        <f t="shared" si="7"/>
        <v>1</v>
      </c>
      <c r="Y31" s="1144" t="b">
        <f t="shared" si="8"/>
        <v>1</v>
      </c>
      <c r="Z31" s="1129" t="b">
        <f t="shared" si="1"/>
        <v>1</v>
      </c>
    </row>
    <row r="32" spans="1:26" s="1129" customFormat="1" ht="15" customHeight="1" x14ac:dyDescent="0.2">
      <c r="A32" s="1234"/>
      <c r="C32" s="1231"/>
      <c r="E32" s="1233"/>
      <c r="G32" s="1231"/>
      <c r="H32" s="1140"/>
      <c r="I32" s="1141"/>
      <c r="K32" s="1139"/>
      <c r="L32" s="1226"/>
      <c r="M32" s="1357"/>
      <c r="N32" s="1356"/>
      <c r="O32" s="1357"/>
      <c r="P32" s="1356"/>
      <c r="Q32" s="1357"/>
      <c r="R32" s="313" t="str">
        <f t="shared" si="0"/>
        <v/>
      </c>
      <c r="S32" s="1142" t="b">
        <f t="shared" si="2"/>
        <v>1</v>
      </c>
      <c r="T32" s="1142">
        <f t="shared" si="3"/>
        <v>0</v>
      </c>
      <c r="U32" s="1143" t="b">
        <f t="shared" si="4"/>
        <v>1</v>
      </c>
      <c r="V32" s="1143" t="b">
        <f t="shared" si="5"/>
        <v>1</v>
      </c>
      <c r="W32" s="1143" t="b">
        <f t="shared" si="6"/>
        <v>1</v>
      </c>
      <c r="X32" s="1143" t="b">
        <f t="shared" si="7"/>
        <v>1</v>
      </c>
      <c r="Y32" s="1144" t="b">
        <f t="shared" si="8"/>
        <v>1</v>
      </c>
      <c r="Z32" s="1129" t="b">
        <f t="shared" si="1"/>
        <v>1</v>
      </c>
    </row>
    <row r="33" spans="1:26" s="1129" customFormat="1" ht="15" customHeight="1" x14ac:dyDescent="0.2">
      <c r="A33" s="1234"/>
      <c r="C33" s="1231"/>
      <c r="E33" s="1233"/>
      <c r="G33" s="1231"/>
      <c r="H33" s="1140"/>
      <c r="I33" s="1141"/>
      <c r="K33" s="1139"/>
      <c r="L33" s="1226"/>
      <c r="M33" s="1357"/>
      <c r="N33" s="1356"/>
      <c r="O33" s="1357"/>
      <c r="P33" s="1356"/>
      <c r="Q33" s="1357"/>
      <c r="R33" s="313" t="str">
        <f t="shared" si="0"/>
        <v/>
      </c>
      <c r="S33" s="1142" t="b">
        <f t="shared" si="2"/>
        <v>1</v>
      </c>
      <c r="T33" s="1142">
        <f t="shared" si="3"/>
        <v>0</v>
      </c>
      <c r="U33" s="1143" t="b">
        <f t="shared" si="4"/>
        <v>1</v>
      </c>
      <c r="V33" s="1143" t="b">
        <f t="shared" si="5"/>
        <v>1</v>
      </c>
      <c r="W33" s="1143" t="b">
        <f t="shared" si="6"/>
        <v>1</v>
      </c>
      <c r="X33" s="1143" t="b">
        <f t="shared" si="7"/>
        <v>1</v>
      </c>
      <c r="Y33" s="1144" t="b">
        <f t="shared" si="8"/>
        <v>1</v>
      </c>
      <c r="Z33" s="1129" t="b">
        <f t="shared" si="1"/>
        <v>1</v>
      </c>
    </row>
    <row r="34" spans="1:26" s="1129" customFormat="1" ht="15" customHeight="1" x14ac:dyDescent="0.2">
      <c r="A34" s="1234"/>
      <c r="C34" s="1231"/>
      <c r="E34" s="1233"/>
      <c r="G34" s="1231"/>
      <c r="H34" s="1140"/>
      <c r="I34" s="1141"/>
      <c r="K34" s="1139"/>
      <c r="L34" s="1226"/>
      <c r="M34" s="1357"/>
      <c r="N34" s="1356"/>
      <c r="O34" s="1357"/>
      <c r="P34" s="1356"/>
      <c r="Q34" s="1357"/>
      <c r="R34" s="313" t="str">
        <f t="shared" si="0"/>
        <v/>
      </c>
      <c r="S34" s="1142" t="b">
        <f t="shared" si="2"/>
        <v>1</v>
      </c>
      <c r="T34" s="1142">
        <f t="shared" si="3"/>
        <v>0</v>
      </c>
      <c r="U34" s="1143" t="b">
        <f t="shared" si="4"/>
        <v>1</v>
      </c>
      <c r="V34" s="1143" t="b">
        <f t="shared" si="5"/>
        <v>1</v>
      </c>
      <c r="W34" s="1143" t="b">
        <f t="shared" si="6"/>
        <v>1</v>
      </c>
      <c r="X34" s="1143" t="b">
        <f t="shared" si="7"/>
        <v>1</v>
      </c>
      <c r="Y34" s="1144" t="b">
        <f t="shared" si="8"/>
        <v>1</v>
      </c>
      <c r="Z34" s="1129" t="b">
        <f t="shared" si="1"/>
        <v>1</v>
      </c>
    </row>
    <row r="35" spans="1:26" ht="20.100000000000001" customHeight="1" thickBot="1" x14ac:dyDescent="0.3">
      <c r="A35" s="1342"/>
      <c r="B35" s="1343"/>
      <c r="C35" s="1344"/>
      <c r="D35" s="1146"/>
      <c r="E35" s="1345"/>
      <c r="F35" s="1346"/>
      <c r="G35" s="1344"/>
      <c r="H35" s="1147"/>
      <c r="I35" s="1146"/>
      <c r="J35" s="1146"/>
      <c r="K35" s="1146"/>
      <c r="L35" s="1146"/>
      <c r="M35" s="1146"/>
      <c r="N35" s="1146"/>
      <c r="O35" s="1146"/>
      <c r="P35" s="1146"/>
      <c r="Q35" s="1146"/>
      <c r="R35" s="1148"/>
      <c r="S35" s="1142">
        <f>COUNTIF(S20:S34,FALSE)</f>
        <v>0</v>
      </c>
      <c r="T35" s="1148"/>
      <c r="U35" s="1148"/>
      <c r="V35" s="1148"/>
      <c r="W35" s="1148"/>
      <c r="X35" s="1148"/>
      <c r="Y35" s="1149">
        <f>COUNTIF(Y20:Y34,FALSE)</f>
        <v>0</v>
      </c>
    </row>
    <row r="36" spans="1:26" ht="6" customHeight="1" x14ac:dyDescent="0.25">
      <c r="C36" s="1146"/>
      <c r="D36" s="1146"/>
      <c r="E36" s="1146"/>
      <c r="F36" s="1146"/>
      <c r="G36" s="1146"/>
      <c r="H36" s="1147"/>
      <c r="I36" s="1146"/>
      <c r="J36" s="1146"/>
      <c r="K36" s="1146"/>
      <c r="L36" s="1146"/>
      <c r="M36" s="1146"/>
      <c r="N36" s="1146"/>
      <c r="O36" s="1146"/>
      <c r="P36" s="1146"/>
      <c r="Q36" s="1146"/>
      <c r="R36" s="1148"/>
      <c r="S36" s="1142"/>
      <c r="T36" s="1148"/>
      <c r="U36" s="1148"/>
      <c r="V36" s="1148"/>
      <c r="W36" s="1148"/>
      <c r="X36" s="1148"/>
      <c r="Y36" s="1149"/>
    </row>
    <row r="37" spans="1:26" s="1150" customFormat="1" ht="11.25" customHeight="1" x14ac:dyDescent="0.2">
      <c r="A37" s="1172" t="s">
        <v>1886</v>
      </c>
    </row>
    <row r="38" spans="1:26" s="1153" customFormat="1" ht="14.25" customHeight="1" x14ac:dyDescent="0.2">
      <c r="A38" s="1151"/>
      <c r="B38" s="1152"/>
      <c r="C38" s="1152"/>
      <c r="D38" s="1151"/>
      <c r="E38" s="1151"/>
      <c r="F38" s="1151"/>
      <c r="G38" s="1151"/>
      <c r="H38" s="1151"/>
      <c r="I38" s="1151"/>
      <c r="J38" s="1151"/>
      <c r="K38" s="1151"/>
      <c r="L38" s="1151"/>
      <c r="M38" s="1151"/>
      <c r="N38" s="1151"/>
      <c r="O38" s="1151"/>
      <c r="P38" s="1151"/>
      <c r="Q38" s="1151"/>
    </row>
    <row r="39" spans="1:26" s="1153" customFormat="1" ht="15" customHeight="1" x14ac:dyDescent="0.2">
      <c r="A39" s="1151"/>
      <c r="B39" s="1154"/>
      <c r="C39" s="1154"/>
      <c r="D39" s="1151"/>
      <c r="E39" s="1151"/>
      <c r="F39" s="1151"/>
      <c r="G39" s="1151"/>
      <c r="H39" s="1151"/>
      <c r="I39" s="1151"/>
      <c r="J39" s="1151"/>
      <c r="K39" s="1155"/>
      <c r="L39" s="1155"/>
      <c r="M39" s="1155"/>
      <c r="N39" s="1155"/>
      <c r="O39" s="1155"/>
      <c r="P39" s="1155"/>
      <c r="Q39" s="1155"/>
    </row>
    <row r="40" spans="1:26" s="1153" customFormat="1" ht="15" customHeight="1" x14ac:dyDescent="0.2">
      <c r="A40" s="1155"/>
      <c r="B40" s="1152"/>
      <c r="C40" s="1152"/>
      <c r="D40" s="1155"/>
      <c r="E40" s="1155"/>
      <c r="F40" s="1155"/>
      <c r="G40" s="1155"/>
      <c r="H40" s="1155"/>
      <c r="I40" s="1155"/>
      <c r="J40" s="1155"/>
      <c r="K40" s="1155"/>
      <c r="L40" s="1155"/>
      <c r="M40" s="1155"/>
      <c r="N40" s="1155"/>
      <c r="O40" s="1155"/>
      <c r="P40" s="1155"/>
      <c r="Q40" s="1155"/>
    </row>
    <row r="41" spans="1:26" ht="26.1" customHeight="1" x14ac:dyDescent="0.25">
      <c r="A41" s="1347" t="s">
        <v>1928</v>
      </c>
      <c r="F41" s="1146"/>
    </row>
    <row r="42" spans="1:26" ht="20.85" customHeight="1" x14ac:dyDescent="0.25">
      <c r="A42" s="692" t="s">
        <v>1918</v>
      </c>
      <c r="F42" s="1146"/>
    </row>
    <row r="43" spans="1:26" ht="20.85" customHeight="1" x14ac:dyDescent="0.25">
      <c r="B43" s="445"/>
      <c r="C43" s="445"/>
      <c r="F43" s="1146"/>
    </row>
    <row r="44" spans="1:26" ht="20.85" customHeight="1" x14ac:dyDescent="0.25">
      <c r="F44" s="1146"/>
      <c r="G44" s="1145" t="s">
        <v>50</v>
      </c>
    </row>
    <row r="45" spans="1:26" ht="20.85" customHeight="1" x14ac:dyDescent="0.25">
      <c r="F45" s="1146"/>
    </row>
    <row r="46" spans="1:26" ht="20.85" customHeight="1" x14ac:dyDescent="0.25">
      <c r="F46" s="1146"/>
    </row>
    <row r="47" spans="1:26" ht="20.85" customHeight="1" x14ac:dyDescent="0.25">
      <c r="F47" s="1146"/>
      <c r="G47" s="1156" t="s">
        <v>50</v>
      </c>
      <c r="H47" s="1156"/>
      <c r="R47" s="1156" t="s">
        <v>50</v>
      </c>
      <c r="S47" s="1156"/>
      <c r="T47" s="1156"/>
      <c r="U47" s="1156"/>
      <c r="V47" s="1156"/>
      <c r="W47" s="1156"/>
      <c r="X47" s="1156"/>
    </row>
    <row r="48" spans="1:26" x14ac:dyDescent="0.25">
      <c r="F48" s="1146"/>
    </row>
    <row r="49" spans="6:6" x14ac:dyDescent="0.25">
      <c r="F49" s="1146"/>
    </row>
    <row r="50" spans="6:6" x14ac:dyDescent="0.25">
      <c r="F50" s="1146"/>
    </row>
    <row r="51" spans="6:6" x14ac:dyDescent="0.25">
      <c r="F51" s="1146"/>
    </row>
    <row r="52" spans="6:6" x14ac:dyDescent="0.25">
      <c r="F52" s="1146"/>
    </row>
    <row r="53" spans="6:6" x14ac:dyDescent="0.25">
      <c r="F53" s="1146"/>
    </row>
    <row r="54" spans="6:6" x14ac:dyDescent="0.25">
      <c r="F54" s="1146"/>
    </row>
    <row r="55" spans="6:6" x14ac:dyDescent="0.25">
      <c r="F55" s="1146"/>
    </row>
    <row r="56" spans="6:6" x14ac:dyDescent="0.25">
      <c r="F56" s="1146"/>
    </row>
    <row r="57" spans="6:6" x14ac:dyDescent="0.25">
      <c r="F57" s="1146"/>
    </row>
    <row r="58" spans="6:6" x14ac:dyDescent="0.25">
      <c r="F58" s="1146"/>
    </row>
    <row r="59" spans="6:6" x14ac:dyDescent="0.25">
      <c r="F59" s="1146"/>
    </row>
    <row r="60" spans="6:6" x14ac:dyDescent="0.25">
      <c r="F60" s="1146"/>
    </row>
    <row r="61" spans="6:6" x14ac:dyDescent="0.25">
      <c r="F61" s="1146"/>
    </row>
    <row r="62" spans="6:6" x14ac:dyDescent="0.25">
      <c r="F62" s="1146"/>
    </row>
    <row r="63" spans="6:6" x14ac:dyDescent="0.25">
      <c r="F63" s="1146"/>
    </row>
    <row r="64" spans="6:6" x14ac:dyDescent="0.25">
      <c r="F64" s="1146"/>
    </row>
    <row r="65" spans="6:6" x14ac:dyDescent="0.25">
      <c r="F65" s="1146"/>
    </row>
    <row r="66" spans="6:6" x14ac:dyDescent="0.25">
      <c r="F66" s="1146"/>
    </row>
    <row r="67" spans="6:6" x14ac:dyDescent="0.25">
      <c r="F67" s="1146"/>
    </row>
    <row r="68" spans="6:6" x14ac:dyDescent="0.25">
      <c r="F68" s="1146"/>
    </row>
    <row r="69" spans="6:6" x14ac:dyDescent="0.25">
      <c r="F69" s="1146"/>
    </row>
    <row r="70" spans="6:6" x14ac:dyDescent="0.25">
      <c r="F70" s="1146"/>
    </row>
    <row r="71" spans="6:6" x14ac:dyDescent="0.25">
      <c r="F71" s="1146"/>
    </row>
    <row r="72" spans="6:6" x14ac:dyDescent="0.25">
      <c r="F72" s="1146"/>
    </row>
    <row r="73" spans="6:6" x14ac:dyDescent="0.25">
      <c r="F73" s="1146"/>
    </row>
    <row r="74" spans="6:6" x14ac:dyDescent="0.25">
      <c r="F74" s="1146"/>
    </row>
    <row r="75" spans="6:6" x14ac:dyDescent="0.25">
      <c r="F75" s="1146"/>
    </row>
    <row r="76" spans="6:6" x14ac:dyDescent="0.25">
      <c r="F76" s="1146"/>
    </row>
    <row r="77" spans="6:6" x14ac:dyDescent="0.25">
      <c r="F77" s="1146"/>
    </row>
    <row r="78" spans="6:6" x14ac:dyDescent="0.25">
      <c r="F78" s="1146"/>
    </row>
    <row r="79" spans="6:6" x14ac:dyDescent="0.25">
      <c r="F79" s="1146"/>
    </row>
    <row r="80" spans="6:6" x14ac:dyDescent="0.25">
      <c r="F80" s="1146"/>
    </row>
    <row r="81" spans="6:6" x14ac:dyDescent="0.25">
      <c r="F81" s="1146"/>
    </row>
    <row r="82" spans="6:6" x14ac:dyDescent="0.25">
      <c r="F82" s="1146"/>
    </row>
    <row r="83" spans="6:6" x14ac:dyDescent="0.25">
      <c r="F83" s="1146"/>
    </row>
    <row r="84" spans="6:6" x14ac:dyDescent="0.25">
      <c r="F84" s="1146"/>
    </row>
    <row r="85" spans="6:6" x14ac:dyDescent="0.25">
      <c r="F85" s="1146"/>
    </row>
    <row r="86" spans="6:6" x14ac:dyDescent="0.25">
      <c r="F86" s="1146"/>
    </row>
    <row r="87" spans="6:6" x14ac:dyDescent="0.25">
      <c r="F87" s="1146"/>
    </row>
    <row r="88" spans="6:6" x14ac:dyDescent="0.25">
      <c r="F88" s="1146"/>
    </row>
    <row r="89" spans="6:6" x14ac:dyDescent="0.25">
      <c r="F89" s="1146"/>
    </row>
    <row r="90" spans="6:6" x14ac:dyDescent="0.25">
      <c r="F90" s="1146"/>
    </row>
    <row r="91" spans="6:6" x14ac:dyDescent="0.25">
      <c r="F91" s="1146"/>
    </row>
    <row r="92" spans="6:6" x14ac:dyDescent="0.25">
      <c r="F92" s="1146"/>
    </row>
    <row r="93" spans="6:6" x14ac:dyDescent="0.25">
      <c r="F93" s="1146"/>
    </row>
    <row r="94" spans="6:6" x14ac:dyDescent="0.25">
      <c r="F94" s="1146"/>
    </row>
    <row r="95" spans="6:6" x14ac:dyDescent="0.25">
      <c r="F95" s="1146"/>
    </row>
    <row r="96" spans="6:6" x14ac:dyDescent="0.25">
      <c r="F96" s="1146"/>
    </row>
    <row r="97" spans="6:6" x14ac:dyDescent="0.25">
      <c r="F97" s="1146"/>
    </row>
    <row r="98" spans="6:6" x14ac:dyDescent="0.25">
      <c r="F98" s="1146"/>
    </row>
    <row r="99" spans="6:6" x14ac:dyDescent="0.25">
      <c r="F99" s="1146"/>
    </row>
    <row r="100" spans="6:6" x14ac:dyDescent="0.25">
      <c r="F100" s="1146"/>
    </row>
    <row r="101" spans="6:6" x14ac:dyDescent="0.25">
      <c r="F101" s="1146"/>
    </row>
    <row r="102" spans="6:6" x14ac:dyDescent="0.25">
      <c r="F102" s="1146"/>
    </row>
    <row r="103" spans="6:6" x14ac:dyDescent="0.25">
      <c r="F103" s="1146"/>
    </row>
    <row r="104" spans="6:6" x14ac:dyDescent="0.25">
      <c r="F104" s="1146"/>
    </row>
    <row r="105" spans="6:6" x14ac:dyDescent="0.25">
      <c r="F105" s="1146"/>
    </row>
    <row r="106" spans="6:6" x14ac:dyDescent="0.25">
      <c r="F106" s="1146"/>
    </row>
    <row r="107" spans="6:6" x14ac:dyDescent="0.25">
      <c r="F107" s="1146"/>
    </row>
    <row r="108" spans="6:6" x14ac:dyDescent="0.25">
      <c r="F108" s="1146"/>
    </row>
    <row r="109" spans="6:6" x14ac:dyDescent="0.25">
      <c r="F109" s="1146"/>
    </row>
    <row r="110" spans="6:6" x14ac:dyDescent="0.25">
      <c r="F110" s="1146"/>
    </row>
    <row r="111" spans="6:6" x14ac:dyDescent="0.25">
      <c r="F111" s="1146"/>
    </row>
    <row r="112" spans="6:6" x14ac:dyDescent="0.25">
      <c r="F112" s="1146"/>
    </row>
    <row r="113" spans="6:6" x14ac:dyDescent="0.25">
      <c r="F113" s="1146"/>
    </row>
    <row r="114" spans="6:6" x14ac:dyDescent="0.25">
      <c r="F114" s="1146"/>
    </row>
    <row r="115" spans="6:6" x14ac:dyDescent="0.25">
      <c r="F115" s="1146"/>
    </row>
    <row r="116" spans="6:6" x14ac:dyDescent="0.25">
      <c r="F116" s="1146"/>
    </row>
    <row r="117" spans="6:6" x14ac:dyDescent="0.25">
      <c r="F117" s="1146"/>
    </row>
    <row r="118" spans="6:6" x14ac:dyDescent="0.25">
      <c r="F118" s="1146"/>
    </row>
    <row r="119" spans="6:6" x14ac:dyDescent="0.25">
      <c r="F119" s="1146"/>
    </row>
    <row r="120" spans="6:6" x14ac:dyDescent="0.25">
      <c r="F120" s="1146"/>
    </row>
    <row r="121" spans="6:6" x14ac:dyDescent="0.25">
      <c r="F121" s="1146"/>
    </row>
    <row r="122" spans="6:6" x14ac:dyDescent="0.25">
      <c r="F122" s="1146"/>
    </row>
    <row r="123" spans="6:6" x14ac:dyDescent="0.25">
      <c r="F123" s="1146"/>
    </row>
    <row r="124" spans="6:6" x14ac:dyDescent="0.25">
      <c r="F124" s="1146"/>
    </row>
    <row r="125" spans="6:6" x14ac:dyDescent="0.25">
      <c r="F125" s="1146"/>
    </row>
    <row r="126" spans="6:6" x14ac:dyDescent="0.25">
      <c r="F126" s="1146"/>
    </row>
    <row r="127" spans="6:6" x14ac:dyDescent="0.25">
      <c r="F127" s="1146"/>
    </row>
    <row r="128" spans="6:6" x14ac:dyDescent="0.25">
      <c r="F128" s="1146"/>
    </row>
    <row r="129" spans="6:6" x14ac:dyDescent="0.25">
      <c r="F129" s="1146"/>
    </row>
    <row r="130" spans="6:6" x14ac:dyDescent="0.25">
      <c r="F130" s="1146"/>
    </row>
    <row r="131" spans="6:6" x14ac:dyDescent="0.25">
      <c r="F131" s="1146"/>
    </row>
    <row r="132" spans="6:6" x14ac:dyDescent="0.25">
      <c r="F132" s="1146"/>
    </row>
    <row r="133" spans="6:6" x14ac:dyDescent="0.25">
      <c r="F133" s="1146"/>
    </row>
    <row r="134" spans="6:6" x14ac:dyDescent="0.25">
      <c r="F134" s="1146"/>
    </row>
    <row r="135" spans="6:6" x14ac:dyDescent="0.25">
      <c r="F135" s="1146"/>
    </row>
    <row r="136" spans="6:6" x14ac:dyDescent="0.25">
      <c r="F136" s="1146"/>
    </row>
    <row r="137" spans="6:6" x14ac:dyDescent="0.25">
      <c r="F137" s="1146"/>
    </row>
    <row r="138" spans="6:6" x14ac:dyDescent="0.25">
      <c r="F138" s="1146"/>
    </row>
    <row r="139" spans="6:6" x14ac:dyDescent="0.25">
      <c r="F139" s="1146"/>
    </row>
    <row r="140" spans="6:6" x14ac:dyDescent="0.25">
      <c r="F140" s="1146"/>
    </row>
    <row r="141" spans="6:6" x14ac:dyDescent="0.25">
      <c r="F141" s="1146"/>
    </row>
    <row r="142" spans="6:6" x14ac:dyDescent="0.25">
      <c r="F142" s="1146"/>
    </row>
    <row r="143" spans="6:6" x14ac:dyDescent="0.25">
      <c r="F143" s="1146"/>
    </row>
    <row r="144" spans="6:6" x14ac:dyDescent="0.25">
      <c r="F144" s="1146"/>
    </row>
    <row r="145" spans="6:6" x14ac:dyDescent="0.25">
      <c r="F145" s="1146"/>
    </row>
    <row r="146" spans="6:6" x14ac:dyDescent="0.25">
      <c r="F146" s="1146"/>
    </row>
    <row r="147" spans="6:6" x14ac:dyDescent="0.25">
      <c r="F147" s="1146"/>
    </row>
    <row r="148" spans="6:6" x14ac:dyDescent="0.25">
      <c r="F148" s="1146"/>
    </row>
    <row r="149" spans="6:6" x14ac:dyDescent="0.25">
      <c r="F149" s="1146"/>
    </row>
    <row r="150" spans="6:6" x14ac:dyDescent="0.25">
      <c r="F150" s="1146"/>
    </row>
    <row r="151" spans="6:6" x14ac:dyDescent="0.25">
      <c r="F151" s="1146"/>
    </row>
    <row r="152" spans="6:6" x14ac:dyDescent="0.25">
      <c r="F152" s="1146"/>
    </row>
    <row r="153" spans="6:6" x14ac:dyDescent="0.25">
      <c r="F153" s="1146"/>
    </row>
    <row r="154" spans="6:6" x14ac:dyDescent="0.25">
      <c r="F154" s="1146"/>
    </row>
    <row r="155" spans="6:6" x14ac:dyDescent="0.25">
      <c r="F155" s="1146"/>
    </row>
    <row r="156" spans="6:6" x14ac:dyDescent="0.25">
      <c r="F156" s="1146"/>
    </row>
    <row r="157" spans="6:6" x14ac:dyDescent="0.25">
      <c r="F157" s="1146"/>
    </row>
    <row r="158" spans="6:6" x14ac:dyDescent="0.25">
      <c r="F158" s="1146"/>
    </row>
    <row r="159" spans="6:6" x14ac:dyDescent="0.25">
      <c r="F159" s="1146"/>
    </row>
    <row r="160" spans="6:6" x14ac:dyDescent="0.25">
      <c r="F160" s="1146"/>
    </row>
    <row r="161" spans="6:6" x14ac:dyDescent="0.25">
      <c r="F161" s="1146"/>
    </row>
    <row r="162" spans="6:6" x14ac:dyDescent="0.25">
      <c r="F162" s="1146"/>
    </row>
    <row r="163" spans="6:6" x14ac:dyDescent="0.25">
      <c r="F163" s="1146"/>
    </row>
    <row r="164" spans="6:6" x14ac:dyDescent="0.25">
      <c r="F164" s="1146"/>
    </row>
    <row r="165" spans="6:6" x14ac:dyDescent="0.25">
      <c r="F165" s="1146"/>
    </row>
    <row r="166" spans="6:6" x14ac:dyDescent="0.25">
      <c r="F166" s="1146"/>
    </row>
    <row r="167" spans="6:6" x14ac:dyDescent="0.25">
      <c r="F167" s="1146"/>
    </row>
    <row r="168" spans="6:6" x14ac:dyDescent="0.25">
      <c r="F168" s="1146"/>
    </row>
    <row r="169" spans="6:6" x14ac:dyDescent="0.25">
      <c r="F169" s="1146"/>
    </row>
    <row r="170" spans="6:6" x14ac:dyDescent="0.25">
      <c r="F170" s="1146"/>
    </row>
    <row r="171" spans="6:6" x14ac:dyDescent="0.25">
      <c r="F171" s="1146"/>
    </row>
    <row r="172" spans="6:6" x14ac:dyDescent="0.25">
      <c r="F172" s="1146"/>
    </row>
  </sheetData>
  <sheetProtection algorithmName="SHA-512" hashValue="aFmysvddo3GFWru7XasYidVFyhBnbHJbQWT+NJmNUVQ9tKEUU21Qa19ZHmqhn8GgnxXQH8T9WfHfUr1PQ19sBA==" saltValue="egjUNKkZGCH9dlLBCR0RXA==" spinCount="100000" sheet="1" objects="1" scenarios="1" autoFilter="0"/>
  <dataConsolidate link="1"/>
  <mergeCells count="11">
    <mergeCell ref="R1:R3"/>
    <mergeCell ref="A2:Q2"/>
    <mergeCell ref="A3:Q3"/>
    <mergeCell ref="A4:Q4"/>
    <mergeCell ref="M6:Q6"/>
    <mergeCell ref="A1:Q1"/>
    <mergeCell ref="A10:C10"/>
    <mergeCell ref="E10:G10"/>
    <mergeCell ref="C7:E7"/>
    <mergeCell ref="M7:Q7"/>
    <mergeCell ref="C8:E8"/>
  </mergeCells>
  <conditionalFormatting sqref="R1:X3">
    <cfRule type="cellIs" dxfId="57" priority="1" stopIfTrue="1" operator="equal">
      <formula>"na"</formula>
    </cfRule>
  </conditionalFormatting>
  <dataValidations count="4">
    <dataValidation type="textLength" operator="equal" allowBlank="1" showInputMessage="1" showErrorMessage="1" errorTitle="Invalid data!" error="GASB number must be 4 digits." sqref="WVU983049:WVV983063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39:E65539 JF65539:JG65539 TB65539:TC65539 ACX65539:ACY65539 AMT65539:AMU65539 AWP65539:AWQ65539 BGL65539:BGM65539 BQH65539:BQI65539 CAD65539:CAE65539 CJZ65539:CKA65539 CTV65539:CTW65539 DDR65539:DDS65539 DNN65539:DNO65539 DXJ65539:DXK65539 EHF65539:EHG65539 ERB65539:ERC65539 FAX65539:FAY65539 FKT65539:FKU65539 FUP65539:FUQ65539 GEL65539:GEM65539 GOH65539:GOI65539 GYD65539:GYE65539 HHZ65539:HIA65539 HRV65539:HRW65539 IBR65539:IBS65539 ILN65539:ILO65539 IVJ65539:IVK65539 JFF65539:JFG65539 JPB65539:JPC65539 JYX65539:JYY65539 KIT65539:KIU65539 KSP65539:KSQ65539 LCL65539:LCM65539 LMH65539:LMI65539 LWD65539:LWE65539 MFZ65539:MGA65539 MPV65539:MPW65539 MZR65539:MZS65539 NJN65539:NJO65539 NTJ65539:NTK65539 ODF65539:ODG65539 ONB65539:ONC65539 OWX65539:OWY65539 PGT65539:PGU65539 PQP65539:PQQ65539 QAL65539:QAM65539 QKH65539:QKI65539 QUD65539:QUE65539 RDZ65539:REA65539 RNV65539:RNW65539 RXR65539:RXS65539 SHN65539:SHO65539 SRJ65539:SRK65539 TBF65539:TBG65539 TLB65539:TLC65539 TUX65539:TUY65539 UET65539:UEU65539 UOP65539:UOQ65539 UYL65539:UYM65539 VIH65539:VII65539 VSD65539:VSE65539 WBZ65539:WCA65539 WLV65539:WLW65539 WVR65539:WVS65539 D131075:E131075 JF131075:JG131075 TB131075:TC131075 ACX131075:ACY131075 AMT131075:AMU131075 AWP131075:AWQ131075 BGL131075:BGM131075 BQH131075:BQI131075 CAD131075:CAE131075 CJZ131075:CKA131075 CTV131075:CTW131075 DDR131075:DDS131075 DNN131075:DNO131075 DXJ131075:DXK131075 EHF131075:EHG131075 ERB131075:ERC131075 FAX131075:FAY131075 FKT131075:FKU131075 FUP131075:FUQ131075 GEL131075:GEM131075 GOH131075:GOI131075 GYD131075:GYE131075 HHZ131075:HIA131075 HRV131075:HRW131075 IBR131075:IBS131075 ILN131075:ILO131075 IVJ131075:IVK131075 JFF131075:JFG131075 JPB131075:JPC131075 JYX131075:JYY131075 KIT131075:KIU131075 KSP131075:KSQ131075 LCL131075:LCM131075 LMH131075:LMI131075 LWD131075:LWE131075 MFZ131075:MGA131075 MPV131075:MPW131075 MZR131075:MZS131075 NJN131075:NJO131075 NTJ131075:NTK131075 ODF131075:ODG131075 ONB131075:ONC131075 OWX131075:OWY131075 PGT131075:PGU131075 PQP131075:PQQ131075 QAL131075:QAM131075 QKH131075:QKI131075 QUD131075:QUE131075 RDZ131075:REA131075 RNV131075:RNW131075 RXR131075:RXS131075 SHN131075:SHO131075 SRJ131075:SRK131075 TBF131075:TBG131075 TLB131075:TLC131075 TUX131075:TUY131075 UET131075:UEU131075 UOP131075:UOQ131075 UYL131075:UYM131075 VIH131075:VII131075 VSD131075:VSE131075 WBZ131075:WCA131075 WLV131075:WLW131075 WVR131075:WVS131075 D196611:E196611 JF196611:JG196611 TB196611:TC196611 ACX196611:ACY196611 AMT196611:AMU196611 AWP196611:AWQ196611 BGL196611:BGM196611 BQH196611:BQI196611 CAD196611:CAE196611 CJZ196611:CKA196611 CTV196611:CTW196611 DDR196611:DDS196611 DNN196611:DNO196611 DXJ196611:DXK196611 EHF196611:EHG196611 ERB196611:ERC196611 FAX196611:FAY196611 FKT196611:FKU196611 FUP196611:FUQ196611 GEL196611:GEM196611 GOH196611:GOI196611 GYD196611:GYE196611 HHZ196611:HIA196611 HRV196611:HRW196611 IBR196611:IBS196611 ILN196611:ILO196611 IVJ196611:IVK196611 JFF196611:JFG196611 JPB196611:JPC196611 JYX196611:JYY196611 KIT196611:KIU196611 KSP196611:KSQ196611 LCL196611:LCM196611 LMH196611:LMI196611 LWD196611:LWE196611 MFZ196611:MGA196611 MPV196611:MPW196611 MZR196611:MZS196611 NJN196611:NJO196611 NTJ196611:NTK196611 ODF196611:ODG196611 ONB196611:ONC196611 OWX196611:OWY196611 PGT196611:PGU196611 PQP196611:PQQ196611 QAL196611:QAM196611 QKH196611:QKI196611 QUD196611:QUE196611 RDZ196611:REA196611 RNV196611:RNW196611 RXR196611:RXS196611 SHN196611:SHO196611 SRJ196611:SRK196611 TBF196611:TBG196611 TLB196611:TLC196611 TUX196611:TUY196611 UET196611:UEU196611 UOP196611:UOQ196611 UYL196611:UYM196611 VIH196611:VII196611 VSD196611:VSE196611 WBZ196611:WCA196611 WLV196611:WLW196611 WVR196611:WVS196611 D262147:E262147 JF262147:JG262147 TB262147:TC262147 ACX262147:ACY262147 AMT262147:AMU262147 AWP262147:AWQ262147 BGL262147:BGM262147 BQH262147:BQI262147 CAD262147:CAE262147 CJZ262147:CKA262147 CTV262147:CTW262147 DDR262147:DDS262147 DNN262147:DNO262147 DXJ262147:DXK262147 EHF262147:EHG262147 ERB262147:ERC262147 FAX262147:FAY262147 FKT262147:FKU262147 FUP262147:FUQ262147 GEL262147:GEM262147 GOH262147:GOI262147 GYD262147:GYE262147 HHZ262147:HIA262147 HRV262147:HRW262147 IBR262147:IBS262147 ILN262147:ILO262147 IVJ262147:IVK262147 JFF262147:JFG262147 JPB262147:JPC262147 JYX262147:JYY262147 KIT262147:KIU262147 KSP262147:KSQ262147 LCL262147:LCM262147 LMH262147:LMI262147 LWD262147:LWE262147 MFZ262147:MGA262147 MPV262147:MPW262147 MZR262147:MZS262147 NJN262147:NJO262147 NTJ262147:NTK262147 ODF262147:ODG262147 ONB262147:ONC262147 OWX262147:OWY262147 PGT262147:PGU262147 PQP262147:PQQ262147 QAL262147:QAM262147 QKH262147:QKI262147 QUD262147:QUE262147 RDZ262147:REA262147 RNV262147:RNW262147 RXR262147:RXS262147 SHN262147:SHO262147 SRJ262147:SRK262147 TBF262147:TBG262147 TLB262147:TLC262147 TUX262147:TUY262147 UET262147:UEU262147 UOP262147:UOQ262147 UYL262147:UYM262147 VIH262147:VII262147 VSD262147:VSE262147 WBZ262147:WCA262147 WLV262147:WLW262147 WVR262147:WVS262147 D327683:E327683 JF327683:JG327683 TB327683:TC327683 ACX327683:ACY327683 AMT327683:AMU327683 AWP327683:AWQ327683 BGL327683:BGM327683 BQH327683:BQI327683 CAD327683:CAE327683 CJZ327683:CKA327683 CTV327683:CTW327683 DDR327683:DDS327683 DNN327683:DNO327683 DXJ327683:DXK327683 EHF327683:EHG327683 ERB327683:ERC327683 FAX327683:FAY327683 FKT327683:FKU327683 FUP327683:FUQ327683 GEL327683:GEM327683 GOH327683:GOI327683 GYD327683:GYE327683 HHZ327683:HIA327683 HRV327683:HRW327683 IBR327683:IBS327683 ILN327683:ILO327683 IVJ327683:IVK327683 JFF327683:JFG327683 JPB327683:JPC327683 JYX327683:JYY327683 KIT327683:KIU327683 KSP327683:KSQ327683 LCL327683:LCM327683 LMH327683:LMI327683 LWD327683:LWE327683 MFZ327683:MGA327683 MPV327683:MPW327683 MZR327683:MZS327683 NJN327683:NJO327683 NTJ327683:NTK327683 ODF327683:ODG327683 ONB327683:ONC327683 OWX327683:OWY327683 PGT327683:PGU327683 PQP327683:PQQ327683 QAL327683:QAM327683 QKH327683:QKI327683 QUD327683:QUE327683 RDZ327683:REA327683 RNV327683:RNW327683 RXR327683:RXS327683 SHN327683:SHO327683 SRJ327683:SRK327683 TBF327683:TBG327683 TLB327683:TLC327683 TUX327683:TUY327683 UET327683:UEU327683 UOP327683:UOQ327683 UYL327683:UYM327683 VIH327683:VII327683 VSD327683:VSE327683 WBZ327683:WCA327683 WLV327683:WLW327683 WVR327683:WVS327683 D393219:E393219 JF393219:JG393219 TB393219:TC393219 ACX393219:ACY393219 AMT393219:AMU393219 AWP393219:AWQ393219 BGL393219:BGM393219 BQH393219:BQI393219 CAD393219:CAE393219 CJZ393219:CKA393219 CTV393219:CTW393219 DDR393219:DDS393219 DNN393219:DNO393219 DXJ393219:DXK393219 EHF393219:EHG393219 ERB393219:ERC393219 FAX393219:FAY393219 FKT393219:FKU393219 FUP393219:FUQ393219 GEL393219:GEM393219 GOH393219:GOI393219 GYD393219:GYE393219 HHZ393219:HIA393219 HRV393219:HRW393219 IBR393219:IBS393219 ILN393219:ILO393219 IVJ393219:IVK393219 JFF393219:JFG393219 JPB393219:JPC393219 JYX393219:JYY393219 KIT393219:KIU393219 KSP393219:KSQ393219 LCL393219:LCM393219 LMH393219:LMI393219 LWD393219:LWE393219 MFZ393219:MGA393219 MPV393219:MPW393219 MZR393219:MZS393219 NJN393219:NJO393219 NTJ393219:NTK393219 ODF393219:ODG393219 ONB393219:ONC393219 OWX393219:OWY393219 PGT393219:PGU393219 PQP393219:PQQ393219 QAL393219:QAM393219 QKH393219:QKI393219 QUD393219:QUE393219 RDZ393219:REA393219 RNV393219:RNW393219 RXR393219:RXS393219 SHN393219:SHO393219 SRJ393219:SRK393219 TBF393219:TBG393219 TLB393219:TLC393219 TUX393219:TUY393219 UET393219:UEU393219 UOP393219:UOQ393219 UYL393219:UYM393219 VIH393219:VII393219 VSD393219:VSE393219 WBZ393219:WCA393219 WLV393219:WLW393219 WVR393219:WVS393219 D458755:E458755 JF458755:JG458755 TB458755:TC458755 ACX458755:ACY458755 AMT458755:AMU458755 AWP458755:AWQ458755 BGL458755:BGM458755 BQH458755:BQI458755 CAD458755:CAE458755 CJZ458755:CKA458755 CTV458755:CTW458755 DDR458755:DDS458755 DNN458755:DNO458755 DXJ458755:DXK458755 EHF458755:EHG458755 ERB458755:ERC458755 FAX458755:FAY458755 FKT458755:FKU458755 FUP458755:FUQ458755 GEL458755:GEM458755 GOH458755:GOI458755 GYD458755:GYE458755 HHZ458755:HIA458755 HRV458755:HRW458755 IBR458755:IBS458755 ILN458755:ILO458755 IVJ458755:IVK458755 JFF458755:JFG458755 JPB458755:JPC458755 JYX458755:JYY458755 KIT458755:KIU458755 KSP458755:KSQ458755 LCL458755:LCM458755 LMH458755:LMI458755 LWD458755:LWE458755 MFZ458755:MGA458755 MPV458755:MPW458755 MZR458755:MZS458755 NJN458755:NJO458755 NTJ458755:NTK458755 ODF458755:ODG458755 ONB458755:ONC458755 OWX458755:OWY458755 PGT458755:PGU458755 PQP458755:PQQ458755 QAL458755:QAM458755 QKH458755:QKI458755 QUD458755:QUE458755 RDZ458755:REA458755 RNV458755:RNW458755 RXR458755:RXS458755 SHN458755:SHO458755 SRJ458755:SRK458755 TBF458755:TBG458755 TLB458755:TLC458755 TUX458755:TUY458755 UET458755:UEU458755 UOP458755:UOQ458755 UYL458755:UYM458755 VIH458755:VII458755 VSD458755:VSE458755 WBZ458755:WCA458755 WLV458755:WLW458755 WVR458755:WVS458755 D524291:E524291 JF524291:JG524291 TB524291:TC524291 ACX524291:ACY524291 AMT524291:AMU524291 AWP524291:AWQ524291 BGL524291:BGM524291 BQH524291:BQI524291 CAD524291:CAE524291 CJZ524291:CKA524291 CTV524291:CTW524291 DDR524291:DDS524291 DNN524291:DNO524291 DXJ524291:DXK524291 EHF524291:EHG524291 ERB524291:ERC524291 FAX524291:FAY524291 FKT524291:FKU524291 FUP524291:FUQ524291 GEL524291:GEM524291 GOH524291:GOI524291 GYD524291:GYE524291 HHZ524291:HIA524291 HRV524291:HRW524291 IBR524291:IBS524291 ILN524291:ILO524291 IVJ524291:IVK524291 JFF524291:JFG524291 JPB524291:JPC524291 JYX524291:JYY524291 KIT524291:KIU524291 KSP524291:KSQ524291 LCL524291:LCM524291 LMH524291:LMI524291 LWD524291:LWE524291 MFZ524291:MGA524291 MPV524291:MPW524291 MZR524291:MZS524291 NJN524291:NJO524291 NTJ524291:NTK524291 ODF524291:ODG524291 ONB524291:ONC524291 OWX524291:OWY524291 PGT524291:PGU524291 PQP524291:PQQ524291 QAL524291:QAM524291 QKH524291:QKI524291 QUD524291:QUE524291 RDZ524291:REA524291 RNV524291:RNW524291 RXR524291:RXS524291 SHN524291:SHO524291 SRJ524291:SRK524291 TBF524291:TBG524291 TLB524291:TLC524291 TUX524291:TUY524291 UET524291:UEU524291 UOP524291:UOQ524291 UYL524291:UYM524291 VIH524291:VII524291 VSD524291:VSE524291 WBZ524291:WCA524291 WLV524291:WLW524291 WVR524291:WVS524291 D589827:E589827 JF589827:JG589827 TB589827:TC589827 ACX589827:ACY589827 AMT589827:AMU589827 AWP589827:AWQ589827 BGL589827:BGM589827 BQH589827:BQI589827 CAD589827:CAE589827 CJZ589827:CKA589827 CTV589827:CTW589827 DDR589827:DDS589827 DNN589827:DNO589827 DXJ589827:DXK589827 EHF589827:EHG589827 ERB589827:ERC589827 FAX589827:FAY589827 FKT589827:FKU589827 FUP589827:FUQ589827 GEL589827:GEM589827 GOH589827:GOI589827 GYD589827:GYE589827 HHZ589827:HIA589827 HRV589827:HRW589827 IBR589827:IBS589827 ILN589827:ILO589827 IVJ589827:IVK589827 JFF589827:JFG589827 JPB589827:JPC589827 JYX589827:JYY589827 KIT589827:KIU589827 KSP589827:KSQ589827 LCL589827:LCM589827 LMH589827:LMI589827 LWD589827:LWE589827 MFZ589827:MGA589827 MPV589827:MPW589827 MZR589827:MZS589827 NJN589827:NJO589827 NTJ589827:NTK589827 ODF589827:ODG589827 ONB589827:ONC589827 OWX589827:OWY589827 PGT589827:PGU589827 PQP589827:PQQ589827 QAL589827:QAM589827 QKH589827:QKI589827 QUD589827:QUE589827 RDZ589827:REA589827 RNV589827:RNW589827 RXR589827:RXS589827 SHN589827:SHO589827 SRJ589827:SRK589827 TBF589827:TBG589827 TLB589827:TLC589827 TUX589827:TUY589827 UET589827:UEU589827 UOP589827:UOQ589827 UYL589827:UYM589827 VIH589827:VII589827 VSD589827:VSE589827 WBZ589827:WCA589827 WLV589827:WLW589827 WVR589827:WVS589827 D655363:E655363 JF655363:JG655363 TB655363:TC655363 ACX655363:ACY655363 AMT655363:AMU655363 AWP655363:AWQ655363 BGL655363:BGM655363 BQH655363:BQI655363 CAD655363:CAE655363 CJZ655363:CKA655363 CTV655363:CTW655363 DDR655363:DDS655363 DNN655363:DNO655363 DXJ655363:DXK655363 EHF655363:EHG655363 ERB655363:ERC655363 FAX655363:FAY655363 FKT655363:FKU655363 FUP655363:FUQ655363 GEL655363:GEM655363 GOH655363:GOI655363 GYD655363:GYE655363 HHZ655363:HIA655363 HRV655363:HRW655363 IBR655363:IBS655363 ILN655363:ILO655363 IVJ655363:IVK655363 JFF655363:JFG655363 JPB655363:JPC655363 JYX655363:JYY655363 KIT655363:KIU655363 KSP655363:KSQ655363 LCL655363:LCM655363 LMH655363:LMI655363 LWD655363:LWE655363 MFZ655363:MGA655363 MPV655363:MPW655363 MZR655363:MZS655363 NJN655363:NJO655363 NTJ655363:NTK655363 ODF655363:ODG655363 ONB655363:ONC655363 OWX655363:OWY655363 PGT655363:PGU655363 PQP655363:PQQ655363 QAL655363:QAM655363 QKH655363:QKI655363 QUD655363:QUE655363 RDZ655363:REA655363 RNV655363:RNW655363 RXR655363:RXS655363 SHN655363:SHO655363 SRJ655363:SRK655363 TBF655363:TBG655363 TLB655363:TLC655363 TUX655363:TUY655363 UET655363:UEU655363 UOP655363:UOQ655363 UYL655363:UYM655363 VIH655363:VII655363 VSD655363:VSE655363 WBZ655363:WCA655363 WLV655363:WLW655363 WVR655363:WVS655363 D720899:E720899 JF720899:JG720899 TB720899:TC720899 ACX720899:ACY720899 AMT720899:AMU720899 AWP720899:AWQ720899 BGL720899:BGM720899 BQH720899:BQI720899 CAD720899:CAE720899 CJZ720899:CKA720899 CTV720899:CTW720899 DDR720899:DDS720899 DNN720899:DNO720899 DXJ720899:DXK720899 EHF720899:EHG720899 ERB720899:ERC720899 FAX720899:FAY720899 FKT720899:FKU720899 FUP720899:FUQ720899 GEL720899:GEM720899 GOH720899:GOI720899 GYD720899:GYE720899 HHZ720899:HIA720899 HRV720899:HRW720899 IBR720899:IBS720899 ILN720899:ILO720899 IVJ720899:IVK720899 JFF720899:JFG720899 JPB720899:JPC720899 JYX720899:JYY720899 KIT720899:KIU720899 KSP720899:KSQ720899 LCL720899:LCM720899 LMH720899:LMI720899 LWD720899:LWE720899 MFZ720899:MGA720899 MPV720899:MPW720899 MZR720899:MZS720899 NJN720899:NJO720899 NTJ720899:NTK720899 ODF720899:ODG720899 ONB720899:ONC720899 OWX720899:OWY720899 PGT720899:PGU720899 PQP720899:PQQ720899 QAL720899:QAM720899 QKH720899:QKI720899 QUD720899:QUE720899 RDZ720899:REA720899 RNV720899:RNW720899 RXR720899:RXS720899 SHN720899:SHO720899 SRJ720899:SRK720899 TBF720899:TBG720899 TLB720899:TLC720899 TUX720899:TUY720899 UET720899:UEU720899 UOP720899:UOQ720899 UYL720899:UYM720899 VIH720899:VII720899 VSD720899:VSE720899 WBZ720899:WCA720899 WLV720899:WLW720899 WVR720899:WVS720899 D786435:E786435 JF786435:JG786435 TB786435:TC786435 ACX786435:ACY786435 AMT786435:AMU786435 AWP786435:AWQ786435 BGL786435:BGM786435 BQH786435:BQI786435 CAD786435:CAE786435 CJZ786435:CKA786435 CTV786435:CTW786435 DDR786435:DDS786435 DNN786435:DNO786435 DXJ786435:DXK786435 EHF786435:EHG786435 ERB786435:ERC786435 FAX786435:FAY786435 FKT786435:FKU786435 FUP786435:FUQ786435 GEL786435:GEM786435 GOH786435:GOI786435 GYD786435:GYE786435 HHZ786435:HIA786435 HRV786435:HRW786435 IBR786435:IBS786435 ILN786435:ILO786435 IVJ786435:IVK786435 JFF786435:JFG786435 JPB786435:JPC786435 JYX786435:JYY786435 KIT786435:KIU786435 KSP786435:KSQ786435 LCL786435:LCM786435 LMH786435:LMI786435 LWD786435:LWE786435 MFZ786435:MGA786435 MPV786435:MPW786435 MZR786435:MZS786435 NJN786435:NJO786435 NTJ786435:NTK786435 ODF786435:ODG786435 ONB786435:ONC786435 OWX786435:OWY786435 PGT786435:PGU786435 PQP786435:PQQ786435 QAL786435:QAM786435 QKH786435:QKI786435 QUD786435:QUE786435 RDZ786435:REA786435 RNV786435:RNW786435 RXR786435:RXS786435 SHN786435:SHO786435 SRJ786435:SRK786435 TBF786435:TBG786435 TLB786435:TLC786435 TUX786435:TUY786435 UET786435:UEU786435 UOP786435:UOQ786435 UYL786435:UYM786435 VIH786435:VII786435 VSD786435:VSE786435 WBZ786435:WCA786435 WLV786435:WLW786435 WVR786435:WVS786435 D851971:E851971 JF851971:JG851971 TB851971:TC851971 ACX851971:ACY851971 AMT851971:AMU851971 AWP851971:AWQ851971 BGL851971:BGM851971 BQH851971:BQI851971 CAD851971:CAE851971 CJZ851971:CKA851971 CTV851971:CTW851971 DDR851971:DDS851971 DNN851971:DNO851971 DXJ851971:DXK851971 EHF851971:EHG851971 ERB851971:ERC851971 FAX851971:FAY851971 FKT851971:FKU851971 FUP851971:FUQ851971 GEL851971:GEM851971 GOH851971:GOI851971 GYD851971:GYE851971 HHZ851971:HIA851971 HRV851971:HRW851971 IBR851971:IBS851971 ILN851971:ILO851971 IVJ851971:IVK851971 JFF851971:JFG851971 JPB851971:JPC851971 JYX851971:JYY851971 KIT851971:KIU851971 KSP851971:KSQ851971 LCL851971:LCM851971 LMH851971:LMI851971 LWD851971:LWE851971 MFZ851971:MGA851971 MPV851971:MPW851971 MZR851971:MZS851971 NJN851971:NJO851971 NTJ851971:NTK851971 ODF851971:ODG851971 ONB851971:ONC851971 OWX851971:OWY851971 PGT851971:PGU851971 PQP851971:PQQ851971 QAL851971:QAM851971 QKH851971:QKI851971 QUD851971:QUE851971 RDZ851971:REA851971 RNV851971:RNW851971 RXR851971:RXS851971 SHN851971:SHO851971 SRJ851971:SRK851971 TBF851971:TBG851971 TLB851971:TLC851971 TUX851971:TUY851971 UET851971:UEU851971 UOP851971:UOQ851971 UYL851971:UYM851971 VIH851971:VII851971 VSD851971:VSE851971 WBZ851971:WCA851971 WLV851971:WLW851971 WVR851971:WVS851971 D917507:E917507 JF917507:JG917507 TB917507:TC917507 ACX917507:ACY917507 AMT917507:AMU917507 AWP917507:AWQ917507 BGL917507:BGM917507 BQH917507:BQI917507 CAD917507:CAE917507 CJZ917507:CKA917507 CTV917507:CTW917507 DDR917507:DDS917507 DNN917507:DNO917507 DXJ917507:DXK917507 EHF917507:EHG917507 ERB917507:ERC917507 FAX917507:FAY917507 FKT917507:FKU917507 FUP917507:FUQ917507 GEL917507:GEM917507 GOH917507:GOI917507 GYD917507:GYE917507 HHZ917507:HIA917507 HRV917507:HRW917507 IBR917507:IBS917507 ILN917507:ILO917507 IVJ917507:IVK917507 JFF917507:JFG917507 JPB917507:JPC917507 JYX917507:JYY917507 KIT917507:KIU917507 KSP917507:KSQ917507 LCL917507:LCM917507 LMH917507:LMI917507 LWD917507:LWE917507 MFZ917507:MGA917507 MPV917507:MPW917507 MZR917507:MZS917507 NJN917507:NJO917507 NTJ917507:NTK917507 ODF917507:ODG917507 ONB917507:ONC917507 OWX917507:OWY917507 PGT917507:PGU917507 PQP917507:PQQ917507 QAL917507:QAM917507 QKH917507:QKI917507 QUD917507:QUE917507 RDZ917507:REA917507 RNV917507:RNW917507 RXR917507:RXS917507 SHN917507:SHO917507 SRJ917507:SRK917507 TBF917507:TBG917507 TLB917507:TLC917507 TUX917507:TUY917507 UET917507:UEU917507 UOP917507:UOQ917507 UYL917507:UYM917507 VIH917507:VII917507 VSD917507:VSE917507 WBZ917507:WCA917507 WLV917507:WLW917507 WVR917507:WVS917507 D983043:E983043 JF983043:JG983043 TB983043:TC983043 ACX983043:ACY983043 AMT983043:AMU983043 AWP983043:AWQ983043 BGL983043:BGM983043 BQH983043:BQI983043 CAD983043:CAE983043 CJZ983043:CKA983043 CTV983043:CTW983043 DDR983043:DDS983043 DNN983043:DNO983043 DXJ983043:DXK983043 EHF983043:EHG983043 ERB983043:ERC983043 FAX983043:FAY983043 FKT983043:FKU983043 FUP983043:FUQ983043 GEL983043:GEM983043 GOH983043:GOI983043 GYD983043:GYE983043 HHZ983043:HIA983043 HRV983043:HRW983043 IBR983043:IBS983043 ILN983043:ILO983043 IVJ983043:IVK983043 JFF983043:JFG983043 JPB983043:JPC983043 JYX983043:JYY983043 KIT983043:KIU983043 KSP983043:KSQ983043 LCL983043:LCM983043 LMH983043:LMI983043 LWD983043:LWE983043 MFZ983043:MGA983043 MPV983043:MPW983043 MZR983043:MZS983043 NJN983043:NJO983043 NTJ983043:NTK983043 ODF983043:ODG983043 ONB983043:ONC983043 OWX983043:OWY983043 PGT983043:PGU983043 PQP983043:PQQ983043 QAL983043:QAM983043 QKH983043:QKI983043 QUD983043:QUE983043 RDZ983043:REA983043 RNV983043:RNW983043 RXR983043:RXS983043 SHN983043:SHO983043 SRJ983043:SRK983043 TBF983043:TBG983043 TLB983043:TLC983043 TUX983043:TUY983043 UET983043:UEU983043 UOP983043:UOQ983043 UYL983043:UYM983043 VIH983043:VII983043 VSD983043:VSE983043 WBZ983043:WCA983043 WLV983043:WLW983043 WVR983043:WVS983043 C8 JI20:JJ34 TE20:TF34 ADA20:ADB34 AMW20:AMX34 AWS20:AWT34 BGO20:BGP34 BQK20:BQL34 CAG20:CAH34 CKC20:CKD34 CTY20:CTZ34 DDU20:DDV34 DNQ20:DNR34 DXM20:DXN34 EHI20:EHJ34 ERE20:ERF34 FBA20:FBB34 FKW20:FKX34 FUS20:FUT34 GEO20:GEP34 GOK20:GOL34 GYG20:GYH34 HIC20:HID34 HRY20:HRZ34 IBU20:IBV34 ILQ20:ILR34 IVM20:IVN34 JFI20:JFJ34 JPE20:JPF34 JZA20:JZB34 KIW20:KIX34 KSS20:KST34 LCO20:LCP34 LMK20:LML34 LWG20:LWH34 MGC20:MGD34 MPY20:MPZ34 MZU20:MZV34 NJQ20:NJR34 NTM20:NTN34 ODI20:ODJ34 ONE20:ONF34 OXA20:OXB34 PGW20:PGX34 PQS20:PQT34 QAO20:QAP34 QKK20:QKL34 QUG20:QUH34 REC20:RED34 RNY20:RNZ34 RXU20:RXV34 SHQ20:SHR34 SRM20:SRN34 TBI20:TBJ34 TLE20:TLF34 TVA20:TVB34 UEW20:UEX34 UOS20:UOT34 UYO20:UYP34 VIK20:VIL34 VSG20:VSH34 WCC20:WCD34 WLY20:WLZ34 WVU20:WVV34 G65545:H65559 JI65545:JJ65559 TE65545:TF65559 ADA65545:ADB65559 AMW65545:AMX65559 AWS65545:AWT65559 BGO65545:BGP65559 BQK65545:BQL65559 CAG65545:CAH65559 CKC65545:CKD65559 CTY65545:CTZ65559 DDU65545:DDV65559 DNQ65545:DNR65559 DXM65545:DXN65559 EHI65545:EHJ65559 ERE65545:ERF65559 FBA65545:FBB65559 FKW65545:FKX65559 FUS65545:FUT65559 GEO65545:GEP65559 GOK65545:GOL65559 GYG65545:GYH65559 HIC65545:HID65559 HRY65545:HRZ65559 IBU65545:IBV65559 ILQ65545:ILR65559 IVM65545:IVN65559 JFI65545:JFJ65559 JPE65545:JPF65559 JZA65545:JZB65559 KIW65545:KIX65559 KSS65545:KST65559 LCO65545:LCP65559 LMK65545:LML65559 LWG65545:LWH65559 MGC65545:MGD65559 MPY65545:MPZ65559 MZU65545:MZV65559 NJQ65545:NJR65559 NTM65545:NTN65559 ODI65545:ODJ65559 ONE65545:ONF65559 OXA65545:OXB65559 PGW65545:PGX65559 PQS65545:PQT65559 QAO65545:QAP65559 QKK65545:QKL65559 QUG65545:QUH65559 REC65545:RED65559 RNY65545:RNZ65559 RXU65545:RXV65559 SHQ65545:SHR65559 SRM65545:SRN65559 TBI65545:TBJ65559 TLE65545:TLF65559 TVA65545:TVB65559 UEW65545:UEX65559 UOS65545:UOT65559 UYO65545:UYP65559 VIK65545:VIL65559 VSG65545:VSH65559 WCC65545:WCD65559 WLY65545:WLZ65559 WVU65545:WVV65559 G131081:H131095 JI131081:JJ131095 TE131081:TF131095 ADA131081:ADB131095 AMW131081:AMX131095 AWS131081:AWT131095 BGO131081:BGP131095 BQK131081:BQL131095 CAG131081:CAH131095 CKC131081:CKD131095 CTY131081:CTZ131095 DDU131081:DDV131095 DNQ131081:DNR131095 DXM131081:DXN131095 EHI131081:EHJ131095 ERE131081:ERF131095 FBA131081:FBB131095 FKW131081:FKX131095 FUS131081:FUT131095 GEO131081:GEP131095 GOK131081:GOL131095 GYG131081:GYH131095 HIC131081:HID131095 HRY131081:HRZ131095 IBU131081:IBV131095 ILQ131081:ILR131095 IVM131081:IVN131095 JFI131081:JFJ131095 JPE131081:JPF131095 JZA131081:JZB131095 KIW131081:KIX131095 KSS131081:KST131095 LCO131081:LCP131095 LMK131081:LML131095 LWG131081:LWH131095 MGC131081:MGD131095 MPY131081:MPZ131095 MZU131081:MZV131095 NJQ131081:NJR131095 NTM131081:NTN131095 ODI131081:ODJ131095 ONE131081:ONF131095 OXA131081:OXB131095 PGW131081:PGX131095 PQS131081:PQT131095 QAO131081:QAP131095 QKK131081:QKL131095 QUG131081:QUH131095 REC131081:RED131095 RNY131081:RNZ131095 RXU131081:RXV131095 SHQ131081:SHR131095 SRM131081:SRN131095 TBI131081:TBJ131095 TLE131081:TLF131095 TVA131081:TVB131095 UEW131081:UEX131095 UOS131081:UOT131095 UYO131081:UYP131095 VIK131081:VIL131095 VSG131081:VSH131095 WCC131081:WCD131095 WLY131081:WLZ131095 WVU131081:WVV131095 G196617:H196631 JI196617:JJ196631 TE196617:TF196631 ADA196617:ADB196631 AMW196617:AMX196631 AWS196617:AWT196631 BGO196617:BGP196631 BQK196617:BQL196631 CAG196617:CAH196631 CKC196617:CKD196631 CTY196617:CTZ196631 DDU196617:DDV196631 DNQ196617:DNR196631 DXM196617:DXN196631 EHI196617:EHJ196631 ERE196617:ERF196631 FBA196617:FBB196631 FKW196617:FKX196631 FUS196617:FUT196631 GEO196617:GEP196631 GOK196617:GOL196631 GYG196617:GYH196631 HIC196617:HID196631 HRY196617:HRZ196631 IBU196617:IBV196631 ILQ196617:ILR196631 IVM196617:IVN196631 JFI196617:JFJ196631 JPE196617:JPF196631 JZA196617:JZB196631 KIW196617:KIX196631 KSS196617:KST196631 LCO196617:LCP196631 LMK196617:LML196631 LWG196617:LWH196631 MGC196617:MGD196631 MPY196617:MPZ196631 MZU196617:MZV196631 NJQ196617:NJR196631 NTM196617:NTN196631 ODI196617:ODJ196631 ONE196617:ONF196631 OXA196617:OXB196631 PGW196617:PGX196631 PQS196617:PQT196631 QAO196617:QAP196631 QKK196617:QKL196631 QUG196617:QUH196631 REC196617:RED196631 RNY196617:RNZ196631 RXU196617:RXV196631 SHQ196617:SHR196631 SRM196617:SRN196631 TBI196617:TBJ196631 TLE196617:TLF196631 TVA196617:TVB196631 UEW196617:UEX196631 UOS196617:UOT196631 UYO196617:UYP196631 VIK196617:VIL196631 VSG196617:VSH196631 WCC196617:WCD196631 WLY196617:WLZ196631 WVU196617:WVV196631 G262153:H262167 JI262153:JJ262167 TE262153:TF262167 ADA262153:ADB262167 AMW262153:AMX262167 AWS262153:AWT262167 BGO262153:BGP262167 BQK262153:BQL262167 CAG262153:CAH262167 CKC262153:CKD262167 CTY262153:CTZ262167 DDU262153:DDV262167 DNQ262153:DNR262167 DXM262153:DXN262167 EHI262153:EHJ262167 ERE262153:ERF262167 FBA262153:FBB262167 FKW262153:FKX262167 FUS262153:FUT262167 GEO262153:GEP262167 GOK262153:GOL262167 GYG262153:GYH262167 HIC262153:HID262167 HRY262153:HRZ262167 IBU262153:IBV262167 ILQ262153:ILR262167 IVM262153:IVN262167 JFI262153:JFJ262167 JPE262153:JPF262167 JZA262153:JZB262167 KIW262153:KIX262167 KSS262153:KST262167 LCO262153:LCP262167 LMK262153:LML262167 LWG262153:LWH262167 MGC262153:MGD262167 MPY262153:MPZ262167 MZU262153:MZV262167 NJQ262153:NJR262167 NTM262153:NTN262167 ODI262153:ODJ262167 ONE262153:ONF262167 OXA262153:OXB262167 PGW262153:PGX262167 PQS262153:PQT262167 QAO262153:QAP262167 QKK262153:QKL262167 QUG262153:QUH262167 REC262153:RED262167 RNY262153:RNZ262167 RXU262153:RXV262167 SHQ262153:SHR262167 SRM262153:SRN262167 TBI262153:TBJ262167 TLE262153:TLF262167 TVA262153:TVB262167 UEW262153:UEX262167 UOS262153:UOT262167 UYO262153:UYP262167 VIK262153:VIL262167 VSG262153:VSH262167 WCC262153:WCD262167 WLY262153:WLZ262167 WVU262153:WVV262167 G327689:H327703 JI327689:JJ327703 TE327689:TF327703 ADA327689:ADB327703 AMW327689:AMX327703 AWS327689:AWT327703 BGO327689:BGP327703 BQK327689:BQL327703 CAG327689:CAH327703 CKC327689:CKD327703 CTY327689:CTZ327703 DDU327689:DDV327703 DNQ327689:DNR327703 DXM327689:DXN327703 EHI327689:EHJ327703 ERE327689:ERF327703 FBA327689:FBB327703 FKW327689:FKX327703 FUS327689:FUT327703 GEO327689:GEP327703 GOK327689:GOL327703 GYG327689:GYH327703 HIC327689:HID327703 HRY327689:HRZ327703 IBU327689:IBV327703 ILQ327689:ILR327703 IVM327689:IVN327703 JFI327689:JFJ327703 JPE327689:JPF327703 JZA327689:JZB327703 KIW327689:KIX327703 KSS327689:KST327703 LCO327689:LCP327703 LMK327689:LML327703 LWG327689:LWH327703 MGC327689:MGD327703 MPY327689:MPZ327703 MZU327689:MZV327703 NJQ327689:NJR327703 NTM327689:NTN327703 ODI327689:ODJ327703 ONE327689:ONF327703 OXA327689:OXB327703 PGW327689:PGX327703 PQS327689:PQT327703 QAO327689:QAP327703 QKK327689:QKL327703 QUG327689:QUH327703 REC327689:RED327703 RNY327689:RNZ327703 RXU327689:RXV327703 SHQ327689:SHR327703 SRM327689:SRN327703 TBI327689:TBJ327703 TLE327689:TLF327703 TVA327689:TVB327703 UEW327689:UEX327703 UOS327689:UOT327703 UYO327689:UYP327703 VIK327689:VIL327703 VSG327689:VSH327703 WCC327689:WCD327703 WLY327689:WLZ327703 WVU327689:WVV327703 G393225:H393239 JI393225:JJ393239 TE393225:TF393239 ADA393225:ADB393239 AMW393225:AMX393239 AWS393225:AWT393239 BGO393225:BGP393239 BQK393225:BQL393239 CAG393225:CAH393239 CKC393225:CKD393239 CTY393225:CTZ393239 DDU393225:DDV393239 DNQ393225:DNR393239 DXM393225:DXN393239 EHI393225:EHJ393239 ERE393225:ERF393239 FBA393225:FBB393239 FKW393225:FKX393239 FUS393225:FUT393239 GEO393225:GEP393239 GOK393225:GOL393239 GYG393225:GYH393239 HIC393225:HID393239 HRY393225:HRZ393239 IBU393225:IBV393239 ILQ393225:ILR393239 IVM393225:IVN393239 JFI393225:JFJ393239 JPE393225:JPF393239 JZA393225:JZB393239 KIW393225:KIX393239 KSS393225:KST393239 LCO393225:LCP393239 LMK393225:LML393239 LWG393225:LWH393239 MGC393225:MGD393239 MPY393225:MPZ393239 MZU393225:MZV393239 NJQ393225:NJR393239 NTM393225:NTN393239 ODI393225:ODJ393239 ONE393225:ONF393239 OXA393225:OXB393239 PGW393225:PGX393239 PQS393225:PQT393239 QAO393225:QAP393239 QKK393225:QKL393239 QUG393225:QUH393239 REC393225:RED393239 RNY393225:RNZ393239 RXU393225:RXV393239 SHQ393225:SHR393239 SRM393225:SRN393239 TBI393225:TBJ393239 TLE393225:TLF393239 TVA393225:TVB393239 UEW393225:UEX393239 UOS393225:UOT393239 UYO393225:UYP393239 VIK393225:VIL393239 VSG393225:VSH393239 WCC393225:WCD393239 WLY393225:WLZ393239 WVU393225:WVV393239 G458761:H458775 JI458761:JJ458775 TE458761:TF458775 ADA458761:ADB458775 AMW458761:AMX458775 AWS458761:AWT458775 BGO458761:BGP458775 BQK458761:BQL458775 CAG458761:CAH458775 CKC458761:CKD458775 CTY458761:CTZ458775 DDU458761:DDV458775 DNQ458761:DNR458775 DXM458761:DXN458775 EHI458761:EHJ458775 ERE458761:ERF458775 FBA458761:FBB458775 FKW458761:FKX458775 FUS458761:FUT458775 GEO458761:GEP458775 GOK458761:GOL458775 GYG458761:GYH458775 HIC458761:HID458775 HRY458761:HRZ458775 IBU458761:IBV458775 ILQ458761:ILR458775 IVM458761:IVN458775 JFI458761:JFJ458775 JPE458761:JPF458775 JZA458761:JZB458775 KIW458761:KIX458775 KSS458761:KST458775 LCO458761:LCP458775 LMK458761:LML458775 LWG458761:LWH458775 MGC458761:MGD458775 MPY458761:MPZ458775 MZU458761:MZV458775 NJQ458761:NJR458775 NTM458761:NTN458775 ODI458761:ODJ458775 ONE458761:ONF458775 OXA458761:OXB458775 PGW458761:PGX458775 PQS458761:PQT458775 QAO458761:QAP458775 QKK458761:QKL458775 QUG458761:QUH458775 REC458761:RED458775 RNY458761:RNZ458775 RXU458761:RXV458775 SHQ458761:SHR458775 SRM458761:SRN458775 TBI458761:TBJ458775 TLE458761:TLF458775 TVA458761:TVB458775 UEW458761:UEX458775 UOS458761:UOT458775 UYO458761:UYP458775 VIK458761:VIL458775 VSG458761:VSH458775 WCC458761:WCD458775 WLY458761:WLZ458775 WVU458761:WVV458775 G524297:H524311 JI524297:JJ524311 TE524297:TF524311 ADA524297:ADB524311 AMW524297:AMX524311 AWS524297:AWT524311 BGO524297:BGP524311 BQK524297:BQL524311 CAG524297:CAH524311 CKC524297:CKD524311 CTY524297:CTZ524311 DDU524297:DDV524311 DNQ524297:DNR524311 DXM524297:DXN524311 EHI524297:EHJ524311 ERE524297:ERF524311 FBA524297:FBB524311 FKW524297:FKX524311 FUS524297:FUT524311 GEO524297:GEP524311 GOK524297:GOL524311 GYG524297:GYH524311 HIC524297:HID524311 HRY524297:HRZ524311 IBU524297:IBV524311 ILQ524297:ILR524311 IVM524297:IVN524311 JFI524297:JFJ524311 JPE524297:JPF524311 JZA524297:JZB524311 KIW524297:KIX524311 KSS524297:KST524311 LCO524297:LCP524311 LMK524297:LML524311 LWG524297:LWH524311 MGC524297:MGD524311 MPY524297:MPZ524311 MZU524297:MZV524311 NJQ524297:NJR524311 NTM524297:NTN524311 ODI524297:ODJ524311 ONE524297:ONF524311 OXA524297:OXB524311 PGW524297:PGX524311 PQS524297:PQT524311 QAO524297:QAP524311 QKK524297:QKL524311 QUG524297:QUH524311 REC524297:RED524311 RNY524297:RNZ524311 RXU524297:RXV524311 SHQ524297:SHR524311 SRM524297:SRN524311 TBI524297:TBJ524311 TLE524297:TLF524311 TVA524297:TVB524311 UEW524297:UEX524311 UOS524297:UOT524311 UYO524297:UYP524311 VIK524297:VIL524311 VSG524297:VSH524311 WCC524297:WCD524311 WLY524297:WLZ524311 WVU524297:WVV524311 G589833:H589847 JI589833:JJ589847 TE589833:TF589847 ADA589833:ADB589847 AMW589833:AMX589847 AWS589833:AWT589847 BGO589833:BGP589847 BQK589833:BQL589847 CAG589833:CAH589847 CKC589833:CKD589847 CTY589833:CTZ589847 DDU589833:DDV589847 DNQ589833:DNR589847 DXM589833:DXN589847 EHI589833:EHJ589847 ERE589833:ERF589847 FBA589833:FBB589847 FKW589833:FKX589847 FUS589833:FUT589847 GEO589833:GEP589847 GOK589833:GOL589847 GYG589833:GYH589847 HIC589833:HID589847 HRY589833:HRZ589847 IBU589833:IBV589847 ILQ589833:ILR589847 IVM589833:IVN589847 JFI589833:JFJ589847 JPE589833:JPF589847 JZA589833:JZB589847 KIW589833:KIX589847 KSS589833:KST589847 LCO589833:LCP589847 LMK589833:LML589847 LWG589833:LWH589847 MGC589833:MGD589847 MPY589833:MPZ589847 MZU589833:MZV589847 NJQ589833:NJR589847 NTM589833:NTN589847 ODI589833:ODJ589847 ONE589833:ONF589847 OXA589833:OXB589847 PGW589833:PGX589847 PQS589833:PQT589847 QAO589833:QAP589847 QKK589833:QKL589847 QUG589833:QUH589847 REC589833:RED589847 RNY589833:RNZ589847 RXU589833:RXV589847 SHQ589833:SHR589847 SRM589833:SRN589847 TBI589833:TBJ589847 TLE589833:TLF589847 TVA589833:TVB589847 UEW589833:UEX589847 UOS589833:UOT589847 UYO589833:UYP589847 VIK589833:VIL589847 VSG589833:VSH589847 WCC589833:WCD589847 WLY589833:WLZ589847 WVU589833:WVV589847 G655369:H655383 JI655369:JJ655383 TE655369:TF655383 ADA655369:ADB655383 AMW655369:AMX655383 AWS655369:AWT655383 BGO655369:BGP655383 BQK655369:BQL655383 CAG655369:CAH655383 CKC655369:CKD655383 CTY655369:CTZ655383 DDU655369:DDV655383 DNQ655369:DNR655383 DXM655369:DXN655383 EHI655369:EHJ655383 ERE655369:ERF655383 FBA655369:FBB655383 FKW655369:FKX655383 FUS655369:FUT655383 GEO655369:GEP655383 GOK655369:GOL655383 GYG655369:GYH655383 HIC655369:HID655383 HRY655369:HRZ655383 IBU655369:IBV655383 ILQ655369:ILR655383 IVM655369:IVN655383 JFI655369:JFJ655383 JPE655369:JPF655383 JZA655369:JZB655383 KIW655369:KIX655383 KSS655369:KST655383 LCO655369:LCP655383 LMK655369:LML655383 LWG655369:LWH655383 MGC655369:MGD655383 MPY655369:MPZ655383 MZU655369:MZV655383 NJQ655369:NJR655383 NTM655369:NTN655383 ODI655369:ODJ655383 ONE655369:ONF655383 OXA655369:OXB655383 PGW655369:PGX655383 PQS655369:PQT655383 QAO655369:QAP655383 QKK655369:QKL655383 QUG655369:QUH655383 REC655369:RED655383 RNY655369:RNZ655383 RXU655369:RXV655383 SHQ655369:SHR655383 SRM655369:SRN655383 TBI655369:TBJ655383 TLE655369:TLF655383 TVA655369:TVB655383 UEW655369:UEX655383 UOS655369:UOT655383 UYO655369:UYP655383 VIK655369:VIL655383 VSG655369:VSH655383 WCC655369:WCD655383 WLY655369:WLZ655383 WVU655369:WVV655383 G720905:H720919 JI720905:JJ720919 TE720905:TF720919 ADA720905:ADB720919 AMW720905:AMX720919 AWS720905:AWT720919 BGO720905:BGP720919 BQK720905:BQL720919 CAG720905:CAH720919 CKC720905:CKD720919 CTY720905:CTZ720919 DDU720905:DDV720919 DNQ720905:DNR720919 DXM720905:DXN720919 EHI720905:EHJ720919 ERE720905:ERF720919 FBA720905:FBB720919 FKW720905:FKX720919 FUS720905:FUT720919 GEO720905:GEP720919 GOK720905:GOL720919 GYG720905:GYH720919 HIC720905:HID720919 HRY720905:HRZ720919 IBU720905:IBV720919 ILQ720905:ILR720919 IVM720905:IVN720919 JFI720905:JFJ720919 JPE720905:JPF720919 JZA720905:JZB720919 KIW720905:KIX720919 KSS720905:KST720919 LCO720905:LCP720919 LMK720905:LML720919 LWG720905:LWH720919 MGC720905:MGD720919 MPY720905:MPZ720919 MZU720905:MZV720919 NJQ720905:NJR720919 NTM720905:NTN720919 ODI720905:ODJ720919 ONE720905:ONF720919 OXA720905:OXB720919 PGW720905:PGX720919 PQS720905:PQT720919 QAO720905:QAP720919 QKK720905:QKL720919 QUG720905:QUH720919 REC720905:RED720919 RNY720905:RNZ720919 RXU720905:RXV720919 SHQ720905:SHR720919 SRM720905:SRN720919 TBI720905:TBJ720919 TLE720905:TLF720919 TVA720905:TVB720919 UEW720905:UEX720919 UOS720905:UOT720919 UYO720905:UYP720919 VIK720905:VIL720919 VSG720905:VSH720919 WCC720905:WCD720919 WLY720905:WLZ720919 WVU720905:WVV720919 G786441:H786455 JI786441:JJ786455 TE786441:TF786455 ADA786441:ADB786455 AMW786441:AMX786455 AWS786441:AWT786455 BGO786441:BGP786455 BQK786441:BQL786455 CAG786441:CAH786455 CKC786441:CKD786455 CTY786441:CTZ786455 DDU786441:DDV786455 DNQ786441:DNR786455 DXM786441:DXN786455 EHI786441:EHJ786455 ERE786441:ERF786455 FBA786441:FBB786455 FKW786441:FKX786455 FUS786441:FUT786455 GEO786441:GEP786455 GOK786441:GOL786455 GYG786441:GYH786455 HIC786441:HID786455 HRY786441:HRZ786455 IBU786441:IBV786455 ILQ786441:ILR786455 IVM786441:IVN786455 JFI786441:JFJ786455 JPE786441:JPF786455 JZA786441:JZB786455 KIW786441:KIX786455 KSS786441:KST786455 LCO786441:LCP786455 LMK786441:LML786455 LWG786441:LWH786455 MGC786441:MGD786455 MPY786441:MPZ786455 MZU786441:MZV786455 NJQ786441:NJR786455 NTM786441:NTN786455 ODI786441:ODJ786455 ONE786441:ONF786455 OXA786441:OXB786455 PGW786441:PGX786455 PQS786441:PQT786455 QAO786441:QAP786455 QKK786441:QKL786455 QUG786441:QUH786455 REC786441:RED786455 RNY786441:RNZ786455 RXU786441:RXV786455 SHQ786441:SHR786455 SRM786441:SRN786455 TBI786441:TBJ786455 TLE786441:TLF786455 TVA786441:TVB786455 UEW786441:UEX786455 UOS786441:UOT786455 UYO786441:UYP786455 VIK786441:VIL786455 VSG786441:VSH786455 WCC786441:WCD786455 WLY786441:WLZ786455 WVU786441:WVV786455 G851977:H851991 JI851977:JJ851991 TE851977:TF851991 ADA851977:ADB851991 AMW851977:AMX851991 AWS851977:AWT851991 BGO851977:BGP851991 BQK851977:BQL851991 CAG851977:CAH851991 CKC851977:CKD851991 CTY851977:CTZ851991 DDU851977:DDV851991 DNQ851977:DNR851991 DXM851977:DXN851991 EHI851977:EHJ851991 ERE851977:ERF851991 FBA851977:FBB851991 FKW851977:FKX851991 FUS851977:FUT851991 GEO851977:GEP851991 GOK851977:GOL851991 GYG851977:GYH851991 HIC851977:HID851991 HRY851977:HRZ851991 IBU851977:IBV851991 ILQ851977:ILR851991 IVM851977:IVN851991 JFI851977:JFJ851991 JPE851977:JPF851991 JZA851977:JZB851991 KIW851977:KIX851991 KSS851977:KST851991 LCO851977:LCP851991 LMK851977:LML851991 LWG851977:LWH851991 MGC851977:MGD851991 MPY851977:MPZ851991 MZU851977:MZV851991 NJQ851977:NJR851991 NTM851977:NTN851991 ODI851977:ODJ851991 ONE851977:ONF851991 OXA851977:OXB851991 PGW851977:PGX851991 PQS851977:PQT851991 QAO851977:QAP851991 QKK851977:QKL851991 QUG851977:QUH851991 REC851977:RED851991 RNY851977:RNZ851991 RXU851977:RXV851991 SHQ851977:SHR851991 SRM851977:SRN851991 TBI851977:TBJ851991 TLE851977:TLF851991 TVA851977:TVB851991 UEW851977:UEX851991 UOS851977:UOT851991 UYO851977:UYP851991 VIK851977:VIL851991 VSG851977:VSH851991 WCC851977:WCD851991 WLY851977:WLZ851991 WVU851977:WVV851991 G917513:H917527 JI917513:JJ917527 TE917513:TF917527 ADA917513:ADB917527 AMW917513:AMX917527 AWS917513:AWT917527 BGO917513:BGP917527 BQK917513:BQL917527 CAG917513:CAH917527 CKC917513:CKD917527 CTY917513:CTZ917527 DDU917513:DDV917527 DNQ917513:DNR917527 DXM917513:DXN917527 EHI917513:EHJ917527 ERE917513:ERF917527 FBA917513:FBB917527 FKW917513:FKX917527 FUS917513:FUT917527 GEO917513:GEP917527 GOK917513:GOL917527 GYG917513:GYH917527 HIC917513:HID917527 HRY917513:HRZ917527 IBU917513:IBV917527 ILQ917513:ILR917527 IVM917513:IVN917527 JFI917513:JFJ917527 JPE917513:JPF917527 JZA917513:JZB917527 KIW917513:KIX917527 KSS917513:KST917527 LCO917513:LCP917527 LMK917513:LML917527 LWG917513:LWH917527 MGC917513:MGD917527 MPY917513:MPZ917527 MZU917513:MZV917527 NJQ917513:NJR917527 NTM917513:NTN917527 ODI917513:ODJ917527 ONE917513:ONF917527 OXA917513:OXB917527 PGW917513:PGX917527 PQS917513:PQT917527 QAO917513:QAP917527 QKK917513:QKL917527 QUG917513:QUH917527 REC917513:RED917527 RNY917513:RNZ917527 RXU917513:RXV917527 SHQ917513:SHR917527 SRM917513:SRN917527 TBI917513:TBJ917527 TLE917513:TLF917527 TVA917513:TVB917527 UEW917513:UEX917527 UOS917513:UOT917527 UYO917513:UYP917527 VIK917513:VIL917527 VSG917513:VSH917527 WCC917513:WCD917527 WLY917513:WLZ917527 WVU917513:WVV917527 G983049:H983063 JI983049:JJ983063 TE983049:TF983063 ADA983049:ADB983063 AMW983049:AMX983063 AWS983049:AWT983063 BGO983049:BGP983063 BQK983049:BQL983063 CAG983049:CAH983063 CKC983049:CKD983063 CTY983049:CTZ983063 DDU983049:DDV983063 DNQ983049:DNR983063 DXM983049:DXN983063 EHI983049:EHJ983063 ERE983049:ERF983063 FBA983049:FBB983063 FKW983049:FKX983063 FUS983049:FUT983063 GEO983049:GEP983063 GOK983049:GOL983063 GYG983049:GYH983063 HIC983049:HID983063 HRY983049:HRZ983063 IBU983049:IBV983063 ILQ983049:ILR983063 IVM983049:IVN983063 JFI983049:JFJ983063 JPE983049:JPF983063 JZA983049:JZB983063 KIW983049:KIX983063 KSS983049:KST983063 LCO983049:LCP983063 LMK983049:LML983063 LWG983049:LWH983063 MGC983049:MGD983063 MPY983049:MPZ983063 MZU983049:MZV983063 NJQ983049:NJR983063 NTM983049:NTN983063 ODI983049:ODJ983063 ONE983049:ONF983063 OXA983049:OXB983063 PGW983049:PGX983063 PQS983049:PQT983063 QAO983049:QAP983063 QKK983049:QKL983063 QUG983049:QUH983063 REC983049:RED983063 RNY983049:RNZ983063 RXU983049:RXV983063 SHQ983049:SHR983063 SRM983049:SRN983063 TBI983049:TBJ983063 TLE983049:TLF983063 TVA983049:TVB983063 UEW983049:UEX983063 UOS983049:UOT983063 UYO983049:UYP983063 VIK983049:VIL983063 VSG983049:VSH983063 WCC983049:WCD983063 WLY983049:WLZ983063 G20:H34" xr:uid="{6C61E917-16F7-49FE-92F2-9D3862C549AB}">
      <formula1>4</formula1>
    </dataValidation>
    <dataValidation type="textLength" operator="equal" allowBlank="1" showInputMessage="1" showErrorMessage="1" error="Company number must be 4 digits." sqref="A21:A34" xr:uid="{ED4FCB08-4DB4-41E2-ACFB-78FD6AAB8709}">
      <formula1>4</formula1>
    </dataValidation>
    <dataValidation type="whole" operator="notEqual" allowBlank="1" showInputMessage="1" showErrorMessage="1" errorTitle="Wrong Account" error="NCAS Account 538030 is NOT a transfer account. Contact your OSC analyst before proceeding." sqref="C35" xr:uid="{A4605F10-D33C-4369-B602-EC503AB08741}">
      <formula1>538030</formula1>
    </dataValidation>
    <dataValidation operator="notEqual" allowBlank="1" showInputMessage="1" showErrorMessage="1" errorTitle="Wrong Account" error="Account 538030 should not be listed here.  it is not a transfer account.  Contact your OSC analyst before proceeding." promptTitle="Correct Transfer Accounts" prompt="Transfer accounts listed here must begin with 5380, 538C, 538F, 538P, 538S, 5381. Account 538030 should not be listed here. It is not a transfer account." sqref="C21:C34" xr:uid="{66A3FFEA-1228-4528-9038-808B08746C62}"/>
  </dataValidations>
  <hyperlinks>
    <hyperlink ref="A1:Q1" location="Index!A1" display="Index!A1" xr:uid="{DD910D0B-50A9-45FE-9999-488953590D23}"/>
    <hyperlink ref="A42" r:id="rId1" xr:uid="{10CA65DE-108A-4A82-85B1-4B4E0B34C298}"/>
  </hyperlinks>
  <pageMargins left="0.6" right="0.6" top="0.5" bottom="0.5" header="0.3" footer="0.3"/>
  <pageSetup scale="74" fitToHeight="0" orientation="landscape"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9">
    <pageSetUpPr fitToPage="1"/>
  </sheetPr>
  <dimension ref="A1:AK47"/>
  <sheetViews>
    <sheetView showGridLines="0" topLeftCell="B1" zoomScaleNormal="100" workbookViewId="0">
      <selection activeCell="A2" sqref="A2"/>
    </sheetView>
  </sheetViews>
  <sheetFormatPr defaultRowHeight="15.75" x14ac:dyDescent="0.25"/>
  <cols>
    <col min="1" max="1" width="0" style="1158" hidden="1" customWidth="1"/>
    <col min="2" max="2" width="9.5703125" style="1158" customWidth="1"/>
    <col min="3" max="3" width="1.5703125" style="1158" customWidth="1"/>
    <col min="4" max="4" width="6.5703125" style="1158" customWidth="1"/>
    <col min="5" max="5" width="1.5703125" style="1158" customWidth="1"/>
    <col min="6" max="6" width="10.5703125" style="1158" customWidth="1"/>
    <col min="7" max="7" width="1.5703125" style="1158" customWidth="1"/>
    <col min="8" max="8" width="20.5703125" style="1158" customWidth="1"/>
    <col min="9" max="9" width="2.5703125" style="1158" customWidth="1"/>
    <col min="10" max="10" width="12" style="1158" customWidth="1"/>
    <col min="11" max="11" width="1.5703125" style="1158" customWidth="1"/>
    <col min="12" max="12" width="7.42578125" style="1158" bestFit="1" customWidth="1"/>
    <col min="13" max="13" width="1.5703125" style="1158" customWidth="1"/>
    <col min="14" max="14" width="10.5703125" style="1158" customWidth="1"/>
    <col min="15" max="15" width="1.5703125" style="1158" customWidth="1"/>
    <col min="16" max="16" width="20.5703125" style="1158" customWidth="1"/>
    <col min="17" max="17" width="1.42578125" style="1158" customWidth="1"/>
    <col min="18" max="18" width="39.42578125" style="1158" customWidth="1"/>
    <col min="19" max="19" width="5.5703125" style="1158" hidden="1" customWidth="1"/>
    <col min="20" max="20" width="2" style="1158" hidden="1" customWidth="1"/>
    <col min="21" max="24" width="5.5703125" style="1158" hidden="1" customWidth="1"/>
    <col min="25" max="25" width="7" style="1158" hidden="1" customWidth="1"/>
    <col min="26" max="26" width="2" style="1158" hidden="1" customWidth="1"/>
    <col min="27" max="27" width="7" style="1158" hidden="1" customWidth="1"/>
    <col min="28" max="30" width="5.5703125" style="1158" hidden="1" customWidth="1"/>
    <col min="31" max="32" width="6.42578125" style="1158" hidden="1" customWidth="1"/>
    <col min="33" max="36" width="0" style="1158" hidden="1" customWidth="1"/>
    <col min="37" max="257" width="9.42578125" style="1158"/>
    <col min="258" max="258" width="0" style="1158" hidden="1" customWidth="1"/>
    <col min="259" max="259" width="11.42578125" style="1158" customWidth="1"/>
    <col min="260" max="260" width="1.5703125" style="1158" customWidth="1"/>
    <col min="261" max="261" width="7.42578125" style="1158" bestFit="1" customWidth="1"/>
    <col min="262" max="262" width="1.5703125" style="1158" customWidth="1"/>
    <col min="263" max="263" width="12.5703125" style="1158" customWidth="1"/>
    <col min="264" max="264" width="1.5703125" style="1158" customWidth="1"/>
    <col min="265" max="265" width="20.5703125" style="1158" customWidth="1"/>
    <col min="266" max="266" width="2.5703125" style="1158" customWidth="1"/>
    <col min="267" max="267" width="10.5703125" style="1158" customWidth="1"/>
    <col min="268" max="268" width="1.5703125" style="1158" customWidth="1"/>
    <col min="269" max="269" width="10.5703125" style="1158" customWidth="1"/>
    <col min="270" max="270" width="1.5703125" style="1158" customWidth="1"/>
    <col min="271" max="271" width="12.5703125" style="1158" customWidth="1"/>
    <col min="272" max="272" width="1.5703125" style="1158" customWidth="1"/>
    <col min="273" max="273" width="22.5703125" style="1158" customWidth="1"/>
    <col min="274" max="274" width="4.5703125" style="1158" customWidth="1"/>
    <col min="275" max="288" width="0" style="1158" hidden="1" customWidth="1"/>
    <col min="289" max="513" width="9.42578125" style="1158"/>
    <col min="514" max="514" width="0" style="1158" hidden="1" customWidth="1"/>
    <col min="515" max="515" width="11.42578125" style="1158" customWidth="1"/>
    <col min="516" max="516" width="1.5703125" style="1158" customWidth="1"/>
    <col min="517" max="517" width="7.42578125" style="1158" bestFit="1" customWidth="1"/>
    <col min="518" max="518" width="1.5703125" style="1158" customWidth="1"/>
    <col min="519" max="519" width="12.5703125" style="1158" customWidth="1"/>
    <col min="520" max="520" width="1.5703125" style="1158" customWidth="1"/>
    <col min="521" max="521" width="20.5703125" style="1158" customWidth="1"/>
    <col min="522" max="522" width="2.5703125" style="1158" customWidth="1"/>
    <col min="523" max="523" width="10.5703125" style="1158" customWidth="1"/>
    <col min="524" max="524" width="1.5703125" style="1158" customWidth="1"/>
    <col min="525" max="525" width="10.5703125" style="1158" customWidth="1"/>
    <col min="526" max="526" width="1.5703125" style="1158" customWidth="1"/>
    <col min="527" max="527" width="12.5703125" style="1158" customWidth="1"/>
    <col min="528" max="528" width="1.5703125" style="1158" customWidth="1"/>
    <col min="529" max="529" width="22.5703125" style="1158" customWidth="1"/>
    <col min="530" max="530" width="4.5703125" style="1158" customWidth="1"/>
    <col min="531" max="544" width="0" style="1158" hidden="1" customWidth="1"/>
    <col min="545" max="769" width="9.42578125" style="1158"/>
    <col min="770" max="770" width="0" style="1158" hidden="1" customWidth="1"/>
    <col min="771" max="771" width="11.42578125" style="1158" customWidth="1"/>
    <col min="772" max="772" width="1.5703125" style="1158" customWidth="1"/>
    <col min="773" max="773" width="7.42578125" style="1158" bestFit="1" customWidth="1"/>
    <col min="774" max="774" width="1.5703125" style="1158" customWidth="1"/>
    <col min="775" max="775" width="12.5703125" style="1158" customWidth="1"/>
    <col min="776" max="776" width="1.5703125" style="1158" customWidth="1"/>
    <col min="777" max="777" width="20.5703125" style="1158" customWidth="1"/>
    <col min="778" max="778" width="2.5703125" style="1158" customWidth="1"/>
    <col min="779" max="779" width="10.5703125" style="1158" customWidth="1"/>
    <col min="780" max="780" width="1.5703125" style="1158" customWidth="1"/>
    <col min="781" max="781" width="10.5703125" style="1158" customWidth="1"/>
    <col min="782" max="782" width="1.5703125" style="1158" customWidth="1"/>
    <col min="783" max="783" width="12.5703125" style="1158" customWidth="1"/>
    <col min="784" max="784" width="1.5703125" style="1158" customWidth="1"/>
    <col min="785" max="785" width="22.5703125" style="1158" customWidth="1"/>
    <col min="786" max="786" width="4.5703125" style="1158" customWidth="1"/>
    <col min="787" max="800" width="0" style="1158" hidden="1" customWidth="1"/>
    <col min="801" max="1025" width="9.42578125" style="1158"/>
    <col min="1026" max="1026" width="0" style="1158" hidden="1" customWidth="1"/>
    <col min="1027" max="1027" width="11.42578125" style="1158" customWidth="1"/>
    <col min="1028" max="1028" width="1.5703125" style="1158" customWidth="1"/>
    <col min="1029" max="1029" width="7.42578125" style="1158" bestFit="1" customWidth="1"/>
    <col min="1030" max="1030" width="1.5703125" style="1158" customWidth="1"/>
    <col min="1031" max="1031" width="12.5703125" style="1158" customWidth="1"/>
    <col min="1032" max="1032" width="1.5703125" style="1158" customWidth="1"/>
    <col min="1033" max="1033" width="20.5703125" style="1158" customWidth="1"/>
    <col min="1034" max="1034" width="2.5703125" style="1158" customWidth="1"/>
    <col min="1035" max="1035" width="10.5703125" style="1158" customWidth="1"/>
    <col min="1036" max="1036" width="1.5703125" style="1158" customWidth="1"/>
    <col min="1037" max="1037" width="10.5703125" style="1158" customWidth="1"/>
    <col min="1038" max="1038" width="1.5703125" style="1158" customWidth="1"/>
    <col min="1039" max="1039" width="12.5703125" style="1158" customWidth="1"/>
    <col min="1040" max="1040" width="1.5703125" style="1158" customWidth="1"/>
    <col min="1041" max="1041" width="22.5703125" style="1158" customWidth="1"/>
    <col min="1042" max="1042" width="4.5703125" style="1158" customWidth="1"/>
    <col min="1043" max="1056" width="0" style="1158" hidden="1" customWidth="1"/>
    <col min="1057" max="1281" width="9.42578125" style="1158"/>
    <col min="1282" max="1282" width="0" style="1158" hidden="1" customWidth="1"/>
    <col min="1283" max="1283" width="11.42578125" style="1158" customWidth="1"/>
    <col min="1284" max="1284" width="1.5703125" style="1158" customWidth="1"/>
    <col min="1285" max="1285" width="7.42578125" style="1158" bestFit="1" customWidth="1"/>
    <col min="1286" max="1286" width="1.5703125" style="1158" customWidth="1"/>
    <col min="1287" max="1287" width="12.5703125" style="1158" customWidth="1"/>
    <col min="1288" max="1288" width="1.5703125" style="1158" customWidth="1"/>
    <col min="1289" max="1289" width="20.5703125" style="1158" customWidth="1"/>
    <col min="1290" max="1290" width="2.5703125" style="1158" customWidth="1"/>
    <col min="1291" max="1291" width="10.5703125" style="1158" customWidth="1"/>
    <col min="1292" max="1292" width="1.5703125" style="1158" customWidth="1"/>
    <col min="1293" max="1293" width="10.5703125" style="1158" customWidth="1"/>
    <col min="1294" max="1294" width="1.5703125" style="1158" customWidth="1"/>
    <col min="1295" max="1295" width="12.5703125" style="1158" customWidth="1"/>
    <col min="1296" max="1296" width="1.5703125" style="1158" customWidth="1"/>
    <col min="1297" max="1297" width="22.5703125" style="1158" customWidth="1"/>
    <col min="1298" max="1298" width="4.5703125" style="1158" customWidth="1"/>
    <col min="1299" max="1312" width="0" style="1158" hidden="1" customWidth="1"/>
    <col min="1313" max="1537" width="9.42578125" style="1158"/>
    <col min="1538" max="1538" width="0" style="1158" hidden="1" customWidth="1"/>
    <col min="1539" max="1539" width="11.42578125" style="1158" customWidth="1"/>
    <col min="1540" max="1540" width="1.5703125" style="1158" customWidth="1"/>
    <col min="1541" max="1541" width="7.42578125" style="1158" bestFit="1" customWidth="1"/>
    <col min="1542" max="1542" width="1.5703125" style="1158" customWidth="1"/>
    <col min="1543" max="1543" width="12.5703125" style="1158" customWidth="1"/>
    <col min="1544" max="1544" width="1.5703125" style="1158" customWidth="1"/>
    <col min="1545" max="1545" width="20.5703125" style="1158" customWidth="1"/>
    <col min="1546" max="1546" width="2.5703125" style="1158" customWidth="1"/>
    <col min="1547" max="1547" width="10.5703125" style="1158" customWidth="1"/>
    <col min="1548" max="1548" width="1.5703125" style="1158" customWidth="1"/>
    <col min="1549" max="1549" width="10.5703125" style="1158" customWidth="1"/>
    <col min="1550" max="1550" width="1.5703125" style="1158" customWidth="1"/>
    <col min="1551" max="1551" width="12.5703125" style="1158" customWidth="1"/>
    <col min="1552" max="1552" width="1.5703125" style="1158" customWidth="1"/>
    <col min="1553" max="1553" width="22.5703125" style="1158" customWidth="1"/>
    <col min="1554" max="1554" width="4.5703125" style="1158" customWidth="1"/>
    <col min="1555" max="1568" width="0" style="1158" hidden="1" customWidth="1"/>
    <col min="1569" max="1793" width="9.42578125" style="1158"/>
    <col min="1794" max="1794" width="0" style="1158" hidden="1" customWidth="1"/>
    <col min="1795" max="1795" width="11.42578125" style="1158" customWidth="1"/>
    <col min="1796" max="1796" width="1.5703125" style="1158" customWidth="1"/>
    <col min="1797" max="1797" width="7.42578125" style="1158" bestFit="1" customWidth="1"/>
    <col min="1798" max="1798" width="1.5703125" style="1158" customWidth="1"/>
    <col min="1799" max="1799" width="12.5703125" style="1158" customWidth="1"/>
    <col min="1800" max="1800" width="1.5703125" style="1158" customWidth="1"/>
    <col min="1801" max="1801" width="20.5703125" style="1158" customWidth="1"/>
    <col min="1802" max="1802" width="2.5703125" style="1158" customWidth="1"/>
    <col min="1803" max="1803" width="10.5703125" style="1158" customWidth="1"/>
    <col min="1804" max="1804" width="1.5703125" style="1158" customWidth="1"/>
    <col min="1805" max="1805" width="10.5703125" style="1158" customWidth="1"/>
    <col min="1806" max="1806" width="1.5703125" style="1158" customWidth="1"/>
    <col min="1807" max="1807" width="12.5703125" style="1158" customWidth="1"/>
    <col min="1808" max="1808" width="1.5703125" style="1158" customWidth="1"/>
    <col min="1809" max="1809" width="22.5703125" style="1158" customWidth="1"/>
    <col min="1810" max="1810" width="4.5703125" style="1158" customWidth="1"/>
    <col min="1811" max="1824" width="0" style="1158" hidden="1" customWidth="1"/>
    <col min="1825" max="2049" width="9.42578125" style="1158"/>
    <col min="2050" max="2050" width="0" style="1158" hidden="1" customWidth="1"/>
    <col min="2051" max="2051" width="11.42578125" style="1158" customWidth="1"/>
    <col min="2052" max="2052" width="1.5703125" style="1158" customWidth="1"/>
    <col min="2053" max="2053" width="7.42578125" style="1158" bestFit="1" customWidth="1"/>
    <col min="2054" max="2054" width="1.5703125" style="1158" customWidth="1"/>
    <col min="2055" max="2055" width="12.5703125" style="1158" customWidth="1"/>
    <col min="2056" max="2056" width="1.5703125" style="1158" customWidth="1"/>
    <col min="2057" max="2057" width="20.5703125" style="1158" customWidth="1"/>
    <col min="2058" max="2058" width="2.5703125" style="1158" customWidth="1"/>
    <col min="2059" max="2059" width="10.5703125" style="1158" customWidth="1"/>
    <col min="2060" max="2060" width="1.5703125" style="1158" customWidth="1"/>
    <col min="2061" max="2061" width="10.5703125" style="1158" customWidth="1"/>
    <col min="2062" max="2062" width="1.5703125" style="1158" customWidth="1"/>
    <col min="2063" max="2063" width="12.5703125" style="1158" customWidth="1"/>
    <col min="2064" max="2064" width="1.5703125" style="1158" customWidth="1"/>
    <col min="2065" max="2065" width="22.5703125" style="1158" customWidth="1"/>
    <col min="2066" max="2066" width="4.5703125" style="1158" customWidth="1"/>
    <col min="2067" max="2080" width="0" style="1158" hidden="1" customWidth="1"/>
    <col min="2081" max="2305" width="9.42578125" style="1158"/>
    <col min="2306" max="2306" width="0" style="1158" hidden="1" customWidth="1"/>
    <col min="2307" max="2307" width="11.42578125" style="1158" customWidth="1"/>
    <col min="2308" max="2308" width="1.5703125" style="1158" customWidth="1"/>
    <col min="2309" max="2309" width="7.42578125" style="1158" bestFit="1" customWidth="1"/>
    <col min="2310" max="2310" width="1.5703125" style="1158" customWidth="1"/>
    <col min="2311" max="2311" width="12.5703125" style="1158" customWidth="1"/>
    <col min="2312" max="2312" width="1.5703125" style="1158" customWidth="1"/>
    <col min="2313" max="2313" width="20.5703125" style="1158" customWidth="1"/>
    <col min="2314" max="2314" width="2.5703125" style="1158" customWidth="1"/>
    <col min="2315" max="2315" width="10.5703125" style="1158" customWidth="1"/>
    <col min="2316" max="2316" width="1.5703125" style="1158" customWidth="1"/>
    <col min="2317" max="2317" width="10.5703125" style="1158" customWidth="1"/>
    <col min="2318" max="2318" width="1.5703125" style="1158" customWidth="1"/>
    <col min="2319" max="2319" width="12.5703125" style="1158" customWidth="1"/>
    <col min="2320" max="2320" width="1.5703125" style="1158" customWidth="1"/>
    <col min="2321" max="2321" width="22.5703125" style="1158" customWidth="1"/>
    <col min="2322" max="2322" width="4.5703125" style="1158" customWidth="1"/>
    <col min="2323" max="2336" width="0" style="1158" hidden="1" customWidth="1"/>
    <col min="2337" max="2561" width="9.42578125" style="1158"/>
    <col min="2562" max="2562" width="0" style="1158" hidden="1" customWidth="1"/>
    <col min="2563" max="2563" width="11.42578125" style="1158" customWidth="1"/>
    <col min="2564" max="2564" width="1.5703125" style="1158" customWidth="1"/>
    <col min="2565" max="2565" width="7.42578125" style="1158" bestFit="1" customWidth="1"/>
    <col min="2566" max="2566" width="1.5703125" style="1158" customWidth="1"/>
    <col min="2567" max="2567" width="12.5703125" style="1158" customWidth="1"/>
    <col min="2568" max="2568" width="1.5703125" style="1158" customWidth="1"/>
    <col min="2569" max="2569" width="20.5703125" style="1158" customWidth="1"/>
    <col min="2570" max="2570" width="2.5703125" style="1158" customWidth="1"/>
    <col min="2571" max="2571" width="10.5703125" style="1158" customWidth="1"/>
    <col min="2572" max="2572" width="1.5703125" style="1158" customWidth="1"/>
    <col min="2573" max="2573" width="10.5703125" style="1158" customWidth="1"/>
    <col min="2574" max="2574" width="1.5703125" style="1158" customWidth="1"/>
    <col min="2575" max="2575" width="12.5703125" style="1158" customWidth="1"/>
    <col min="2576" max="2576" width="1.5703125" style="1158" customWidth="1"/>
    <col min="2577" max="2577" width="22.5703125" style="1158" customWidth="1"/>
    <col min="2578" max="2578" width="4.5703125" style="1158" customWidth="1"/>
    <col min="2579" max="2592" width="0" style="1158" hidden="1" customWidth="1"/>
    <col min="2593" max="2817" width="9.42578125" style="1158"/>
    <col min="2818" max="2818" width="0" style="1158" hidden="1" customWidth="1"/>
    <col min="2819" max="2819" width="11.42578125" style="1158" customWidth="1"/>
    <col min="2820" max="2820" width="1.5703125" style="1158" customWidth="1"/>
    <col min="2821" max="2821" width="7.42578125" style="1158" bestFit="1" customWidth="1"/>
    <col min="2822" max="2822" width="1.5703125" style="1158" customWidth="1"/>
    <col min="2823" max="2823" width="12.5703125" style="1158" customWidth="1"/>
    <col min="2824" max="2824" width="1.5703125" style="1158" customWidth="1"/>
    <col min="2825" max="2825" width="20.5703125" style="1158" customWidth="1"/>
    <col min="2826" max="2826" width="2.5703125" style="1158" customWidth="1"/>
    <col min="2827" max="2827" width="10.5703125" style="1158" customWidth="1"/>
    <col min="2828" max="2828" width="1.5703125" style="1158" customWidth="1"/>
    <col min="2829" max="2829" width="10.5703125" style="1158" customWidth="1"/>
    <col min="2830" max="2830" width="1.5703125" style="1158" customWidth="1"/>
    <col min="2831" max="2831" width="12.5703125" style="1158" customWidth="1"/>
    <col min="2832" max="2832" width="1.5703125" style="1158" customWidth="1"/>
    <col min="2833" max="2833" width="22.5703125" style="1158" customWidth="1"/>
    <col min="2834" max="2834" width="4.5703125" style="1158" customWidth="1"/>
    <col min="2835" max="2848" width="0" style="1158" hidden="1" customWidth="1"/>
    <col min="2849" max="3073" width="9.42578125" style="1158"/>
    <col min="3074" max="3074" width="0" style="1158" hidden="1" customWidth="1"/>
    <col min="3075" max="3075" width="11.42578125" style="1158" customWidth="1"/>
    <col min="3076" max="3076" width="1.5703125" style="1158" customWidth="1"/>
    <col min="3077" max="3077" width="7.42578125" style="1158" bestFit="1" customWidth="1"/>
    <col min="3078" max="3078" width="1.5703125" style="1158" customWidth="1"/>
    <col min="3079" max="3079" width="12.5703125" style="1158" customWidth="1"/>
    <col min="3080" max="3080" width="1.5703125" style="1158" customWidth="1"/>
    <col min="3081" max="3081" width="20.5703125" style="1158" customWidth="1"/>
    <col min="3082" max="3082" width="2.5703125" style="1158" customWidth="1"/>
    <col min="3083" max="3083" width="10.5703125" style="1158" customWidth="1"/>
    <col min="3084" max="3084" width="1.5703125" style="1158" customWidth="1"/>
    <col min="3085" max="3085" width="10.5703125" style="1158" customWidth="1"/>
    <col min="3086" max="3086" width="1.5703125" style="1158" customWidth="1"/>
    <col min="3087" max="3087" width="12.5703125" style="1158" customWidth="1"/>
    <col min="3088" max="3088" width="1.5703125" style="1158" customWidth="1"/>
    <col min="3089" max="3089" width="22.5703125" style="1158" customWidth="1"/>
    <col min="3090" max="3090" width="4.5703125" style="1158" customWidth="1"/>
    <col min="3091" max="3104" width="0" style="1158" hidden="1" customWidth="1"/>
    <col min="3105" max="3329" width="9.42578125" style="1158"/>
    <col min="3330" max="3330" width="0" style="1158" hidden="1" customWidth="1"/>
    <col min="3331" max="3331" width="11.42578125" style="1158" customWidth="1"/>
    <col min="3332" max="3332" width="1.5703125" style="1158" customWidth="1"/>
    <col min="3333" max="3333" width="7.42578125" style="1158" bestFit="1" customWidth="1"/>
    <col min="3334" max="3334" width="1.5703125" style="1158" customWidth="1"/>
    <col min="3335" max="3335" width="12.5703125" style="1158" customWidth="1"/>
    <col min="3336" max="3336" width="1.5703125" style="1158" customWidth="1"/>
    <col min="3337" max="3337" width="20.5703125" style="1158" customWidth="1"/>
    <col min="3338" max="3338" width="2.5703125" style="1158" customWidth="1"/>
    <col min="3339" max="3339" width="10.5703125" style="1158" customWidth="1"/>
    <col min="3340" max="3340" width="1.5703125" style="1158" customWidth="1"/>
    <col min="3341" max="3341" width="10.5703125" style="1158" customWidth="1"/>
    <col min="3342" max="3342" width="1.5703125" style="1158" customWidth="1"/>
    <col min="3343" max="3343" width="12.5703125" style="1158" customWidth="1"/>
    <col min="3344" max="3344" width="1.5703125" style="1158" customWidth="1"/>
    <col min="3345" max="3345" width="22.5703125" style="1158" customWidth="1"/>
    <col min="3346" max="3346" width="4.5703125" style="1158" customWidth="1"/>
    <col min="3347" max="3360" width="0" style="1158" hidden="1" customWidth="1"/>
    <col min="3361" max="3585" width="9.42578125" style="1158"/>
    <col min="3586" max="3586" width="0" style="1158" hidden="1" customWidth="1"/>
    <col min="3587" max="3587" width="11.42578125" style="1158" customWidth="1"/>
    <col min="3588" max="3588" width="1.5703125" style="1158" customWidth="1"/>
    <col min="3589" max="3589" width="7.42578125" style="1158" bestFit="1" customWidth="1"/>
    <col min="3590" max="3590" width="1.5703125" style="1158" customWidth="1"/>
    <col min="3591" max="3591" width="12.5703125" style="1158" customWidth="1"/>
    <col min="3592" max="3592" width="1.5703125" style="1158" customWidth="1"/>
    <col min="3593" max="3593" width="20.5703125" style="1158" customWidth="1"/>
    <col min="3594" max="3594" width="2.5703125" style="1158" customWidth="1"/>
    <col min="3595" max="3595" width="10.5703125" style="1158" customWidth="1"/>
    <col min="3596" max="3596" width="1.5703125" style="1158" customWidth="1"/>
    <col min="3597" max="3597" width="10.5703125" style="1158" customWidth="1"/>
    <col min="3598" max="3598" width="1.5703125" style="1158" customWidth="1"/>
    <col min="3599" max="3599" width="12.5703125" style="1158" customWidth="1"/>
    <col min="3600" max="3600" width="1.5703125" style="1158" customWidth="1"/>
    <col min="3601" max="3601" width="22.5703125" style="1158" customWidth="1"/>
    <col min="3602" max="3602" width="4.5703125" style="1158" customWidth="1"/>
    <col min="3603" max="3616" width="0" style="1158" hidden="1" customWidth="1"/>
    <col min="3617" max="3841" width="9.42578125" style="1158"/>
    <col min="3842" max="3842" width="0" style="1158" hidden="1" customWidth="1"/>
    <col min="3843" max="3843" width="11.42578125" style="1158" customWidth="1"/>
    <col min="3844" max="3844" width="1.5703125" style="1158" customWidth="1"/>
    <col min="3845" max="3845" width="7.42578125" style="1158" bestFit="1" customWidth="1"/>
    <col min="3846" max="3846" width="1.5703125" style="1158" customWidth="1"/>
    <col min="3847" max="3847" width="12.5703125" style="1158" customWidth="1"/>
    <col min="3848" max="3848" width="1.5703125" style="1158" customWidth="1"/>
    <col min="3849" max="3849" width="20.5703125" style="1158" customWidth="1"/>
    <col min="3850" max="3850" width="2.5703125" style="1158" customWidth="1"/>
    <col min="3851" max="3851" width="10.5703125" style="1158" customWidth="1"/>
    <col min="3852" max="3852" width="1.5703125" style="1158" customWidth="1"/>
    <col min="3853" max="3853" width="10.5703125" style="1158" customWidth="1"/>
    <col min="3854" max="3854" width="1.5703125" style="1158" customWidth="1"/>
    <col min="3855" max="3855" width="12.5703125" style="1158" customWidth="1"/>
    <col min="3856" max="3856" width="1.5703125" style="1158" customWidth="1"/>
    <col min="3857" max="3857" width="22.5703125" style="1158" customWidth="1"/>
    <col min="3858" max="3858" width="4.5703125" style="1158" customWidth="1"/>
    <col min="3859" max="3872" width="0" style="1158" hidden="1" customWidth="1"/>
    <col min="3873" max="4097" width="9.42578125" style="1158"/>
    <col min="4098" max="4098" width="0" style="1158" hidden="1" customWidth="1"/>
    <col min="4099" max="4099" width="11.42578125" style="1158" customWidth="1"/>
    <col min="4100" max="4100" width="1.5703125" style="1158" customWidth="1"/>
    <col min="4101" max="4101" width="7.42578125" style="1158" bestFit="1" customWidth="1"/>
    <col min="4102" max="4102" width="1.5703125" style="1158" customWidth="1"/>
    <col min="4103" max="4103" width="12.5703125" style="1158" customWidth="1"/>
    <col min="4104" max="4104" width="1.5703125" style="1158" customWidth="1"/>
    <col min="4105" max="4105" width="20.5703125" style="1158" customWidth="1"/>
    <col min="4106" max="4106" width="2.5703125" style="1158" customWidth="1"/>
    <col min="4107" max="4107" width="10.5703125" style="1158" customWidth="1"/>
    <col min="4108" max="4108" width="1.5703125" style="1158" customWidth="1"/>
    <col min="4109" max="4109" width="10.5703125" style="1158" customWidth="1"/>
    <col min="4110" max="4110" width="1.5703125" style="1158" customWidth="1"/>
    <col min="4111" max="4111" width="12.5703125" style="1158" customWidth="1"/>
    <col min="4112" max="4112" width="1.5703125" style="1158" customWidth="1"/>
    <col min="4113" max="4113" width="22.5703125" style="1158" customWidth="1"/>
    <col min="4114" max="4114" width="4.5703125" style="1158" customWidth="1"/>
    <col min="4115" max="4128" width="0" style="1158" hidden="1" customWidth="1"/>
    <col min="4129" max="4353" width="9.42578125" style="1158"/>
    <col min="4354" max="4354" width="0" style="1158" hidden="1" customWidth="1"/>
    <col min="4355" max="4355" width="11.42578125" style="1158" customWidth="1"/>
    <col min="4356" max="4356" width="1.5703125" style="1158" customWidth="1"/>
    <col min="4357" max="4357" width="7.42578125" style="1158" bestFit="1" customWidth="1"/>
    <col min="4358" max="4358" width="1.5703125" style="1158" customWidth="1"/>
    <col min="4359" max="4359" width="12.5703125" style="1158" customWidth="1"/>
    <col min="4360" max="4360" width="1.5703125" style="1158" customWidth="1"/>
    <col min="4361" max="4361" width="20.5703125" style="1158" customWidth="1"/>
    <col min="4362" max="4362" width="2.5703125" style="1158" customWidth="1"/>
    <col min="4363" max="4363" width="10.5703125" style="1158" customWidth="1"/>
    <col min="4364" max="4364" width="1.5703125" style="1158" customWidth="1"/>
    <col min="4365" max="4365" width="10.5703125" style="1158" customWidth="1"/>
    <col min="4366" max="4366" width="1.5703125" style="1158" customWidth="1"/>
    <col min="4367" max="4367" width="12.5703125" style="1158" customWidth="1"/>
    <col min="4368" max="4368" width="1.5703125" style="1158" customWidth="1"/>
    <col min="4369" max="4369" width="22.5703125" style="1158" customWidth="1"/>
    <col min="4370" max="4370" width="4.5703125" style="1158" customWidth="1"/>
    <col min="4371" max="4384" width="0" style="1158" hidden="1" customWidth="1"/>
    <col min="4385" max="4609" width="9.42578125" style="1158"/>
    <col min="4610" max="4610" width="0" style="1158" hidden="1" customWidth="1"/>
    <col min="4611" max="4611" width="11.42578125" style="1158" customWidth="1"/>
    <col min="4612" max="4612" width="1.5703125" style="1158" customWidth="1"/>
    <col min="4613" max="4613" width="7.42578125" style="1158" bestFit="1" customWidth="1"/>
    <col min="4614" max="4614" width="1.5703125" style="1158" customWidth="1"/>
    <col min="4615" max="4615" width="12.5703125" style="1158" customWidth="1"/>
    <col min="4616" max="4616" width="1.5703125" style="1158" customWidth="1"/>
    <col min="4617" max="4617" width="20.5703125" style="1158" customWidth="1"/>
    <col min="4618" max="4618" width="2.5703125" style="1158" customWidth="1"/>
    <col min="4619" max="4619" width="10.5703125" style="1158" customWidth="1"/>
    <col min="4620" max="4620" width="1.5703125" style="1158" customWidth="1"/>
    <col min="4621" max="4621" width="10.5703125" style="1158" customWidth="1"/>
    <col min="4622" max="4622" width="1.5703125" style="1158" customWidth="1"/>
    <col min="4623" max="4623" width="12.5703125" style="1158" customWidth="1"/>
    <col min="4624" max="4624" width="1.5703125" style="1158" customWidth="1"/>
    <col min="4625" max="4625" width="22.5703125" style="1158" customWidth="1"/>
    <col min="4626" max="4626" width="4.5703125" style="1158" customWidth="1"/>
    <col min="4627" max="4640" width="0" style="1158" hidden="1" customWidth="1"/>
    <col min="4641" max="4865" width="9.42578125" style="1158"/>
    <col min="4866" max="4866" width="0" style="1158" hidden="1" customWidth="1"/>
    <col min="4867" max="4867" width="11.42578125" style="1158" customWidth="1"/>
    <col min="4868" max="4868" width="1.5703125" style="1158" customWidth="1"/>
    <col min="4869" max="4869" width="7.42578125" style="1158" bestFit="1" customWidth="1"/>
    <col min="4870" max="4870" width="1.5703125" style="1158" customWidth="1"/>
    <col min="4871" max="4871" width="12.5703125" style="1158" customWidth="1"/>
    <col min="4872" max="4872" width="1.5703125" style="1158" customWidth="1"/>
    <col min="4873" max="4873" width="20.5703125" style="1158" customWidth="1"/>
    <col min="4874" max="4874" width="2.5703125" style="1158" customWidth="1"/>
    <col min="4875" max="4875" width="10.5703125" style="1158" customWidth="1"/>
    <col min="4876" max="4876" width="1.5703125" style="1158" customWidth="1"/>
    <col min="4877" max="4877" width="10.5703125" style="1158" customWidth="1"/>
    <col min="4878" max="4878" width="1.5703125" style="1158" customWidth="1"/>
    <col min="4879" max="4879" width="12.5703125" style="1158" customWidth="1"/>
    <col min="4880" max="4880" width="1.5703125" style="1158" customWidth="1"/>
    <col min="4881" max="4881" width="22.5703125" style="1158" customWidth="1"/>
    <col min="4882" max="4882" width="4.5703125" style="1158" customWidth="1"/>
    <col min="4883" max="4896" width="0" style="1158" hidden="1" customWidth="1"/>
    <col min="4897" max="5121" width="9.42578125" style="1158"/>
    <col min="5122" max="5122" width="0" style="1158" hidden="1" customWidth="1"/>
    <col min="5123" max="5123" width="11.42578125" style="1158" customWidth="1"/>
    <col min="5124" max="5124" width="1.5703125" style="1158" customWidth="1"/>
    <col min="5125" max="5125" width="7.42578125" style="1158" bestFit="1" customWidth="1"/>
    <col min="5126" max="5126" width="1.5703125" style="1158" customWidth="1"/>
    <col min="5127" max="5127" width="12.5703125" style="1158" customWidth="1"/>
    <col min="5128" max="5128" width="1.5703125" style="1158" customWidth="1"/>
    <col min="5129" max="5129" width="20.5703125" style="1158" customWidth="1"/>
    <col min="5130" max="5130" width="2.5703125" style="1158" customWidth="1"/>
    <col min="5131" max="5131" width="10.5703125" style="1158" customWidth="1"/>
    <col min="5132" max="5132" width="1.5703125" style="1158" customWidth="1"/>
    <col min="5133" max="5133" width="10.5703125" style="1158" customWidth="1"/>
    <col min="5134" max="5134" width="1.5703125" style="1158" customWidth="1"/>
    <col min="5135" max="5135" width="12.5703125" style="1158" customWidth="1"/>
    <col min="5136" max="5136" width="1.5703125" style="1158" customWidth="1"/>
    <col min="5137" max="5137" width="22.5703125" style="1158" customWidth="1"/>
    <col min="5138" max="5138" width="4.5703125" style="1158" customWidth="1"/>
    <col min="5139" max="5152" width="0" style="1158" hidden="1" customWidth="1"/>
    <col min="5153" max="5377" width="9.42578125" style="1158"/>
    <col min="5378" max="5378" width="0" style="1158" hidden="1" customWidth="1"/>
    <col min="5379" max="5379" width="11.42578125" style="1158" customWidth="1"/>
    <col min="5380" max="5380" width="1.5703125" style="1158" customWidth="1"/>
    <col min="5381" max="5381" width="7.42578125" style="1158" bestFit="1" customWidth="1"/>
    <col min="5382" max="5382" width="1.5703125" style="1158" customWidth="1"/>
    <col min="5383" max="5383" width="12.5703125" style="1158" customWidth="1"/>
    <col min="5384" max="5384" width="1.5703125" style="1158" customWidth="1"/>
    <col min="5385" max="5385" width="20.5703125" style="1158" customWidth="1"/>
    <col min="5386" max="5386" width="2.5703125" style="1158" customWidth="1"/>
    <col min="5387" max="5387" width="10.5703125" style="1158" customWidth="1"/>
    <col min="5388" max="5388" width="1.5703125" style="1158" customWidth="1"/>
    <col min="5389" max="5389" width="10.5703125" style="1158" customWidth="1"/>
    <col min="5390" max="5390" width="1.5703125" style="1158" customWidth="1"/>
    <col min="5391" max="5391" width="12.5703125" style="1158" customWidth="1"/>
    <col min="5392" max="5392" width="1.5703125" style="1158" customWidth="1"/>
    <col min="5393" max="5393" width="22.5703125" style="1158" customWidth="1"/>
    <col min="5394" max="5394" width="4.5703125" style="1158" customWidth="1"/>
    <col min="5395" max="5408" width="0" style="1158" hidden="1" customWidth="1"/>
    <col min="5409" max="5633" width="9.42578125" style="1158"/>
    <col min="5634" max="5634" width="0" style="1158" hidden="1" customWidth="1"/>
    <col min="5635" max="5635" width="11.42578125" style="1158" customWidth="1"/>
    <col min="5636" max="5636" width="1.5703125" style="1158" customWidth="1"/>
    <col min="5637" max="5637" width="7.42578125" style="1158" bestFit="1" customWidth="1"/>
    <col min="5638" max="5638" width="1.5703125" style="1158" customWidth="1"/>
    <col min="5639" max="5639" width="12.5703125" style="1158" customWidth="1"/>
    <col min="5640" max="5640" width="1.5703125" style="1158" customWidth="1"/>
    <col min="5641" max="5641" width="20.5703125" style="1158" customWidth="1"/>
    <col min="5642" max="5642" width="2.5703125" style="1158" customWidth="1"/>
    <col min="5643" max="5643" width="10.5703125" style="1158" customWidth="1"/>
    <col min="5644" max="5644" width="1.5703125" style="1158" customWidth="1"/>
    <col min="5645" max="5645" width="10.5703125" style="1158" customWidth="1"/>
    <col min="5646" max="5646" width="1.5703125" style="1158" customWidth="1"/>
    <col min="5647" max="5647" width="12.5703125" style="1158" customWidth="1"/>
    <col min="5648" max="5648" width="1.5703125" style="1158" customWidth="1"/>
    <col min="5649" max="5649" width="22.5703125" style="1158" customWidth="1"/>
    <col min="5650" max="5650" width="4.5703125" style="1158" customWidth="1"/>
    <col min="5651" max="5664" width="0" style="1158" hidden="1" customWidth="1"/>
    <col min="5665" max="5889" width="9.42578125" style="1158"/>
    <col min="5890" max="5890" width="0" style="1158" hidden="1" customWidth="1"/>
    <col min="5891" max="5891" width="11.42578125" style="1158" customWidth="1"/>
    <col min="5892" max="5892" width="1.5703125" style="1158" customWidth="1"/>
    <col min="5893" max="5893" width="7.42578125" style="1158" bestFit="1" customWidth="1"/>
    <col min="5894" max="5894" width="1.5703125" style="1158" customWidth="1"/>
    <col min="5895" max="5895" width="12.5703125" style="1158" customWidth="1"/>
    <col min="5896" max="5896" width="1.5703125" style="1158" customWidth="1"/>
    <col min="5897" max="5897" width="20.5703125" style="1158" customWidth="1"/>
    <col min="5898" max="5898" width="2.5703125" style="1158" customWidth="1"/>
    <col min="5899" max="5899" width="10.5703125" style="1158" customWidth="1"/>
    <col min="5900" max="5900" width="1.5703125" style="1158" customWidth="1"/>
    <col min="5901" max="5901" width="10.5703125" style="1158" customWidth="1"/>
    <col min="5902" max="5902" width="1.5703125" style="1158" customWidth="1"/>
    <col min="5903" max="5903" width="12.5703125" style="1158" customWidth="1"/>
    <col min="5904" max="5904" width="1.5703125" style="1158" customWidth="1"/>
    <col min="5905" max="5905" width="22.5703125" style="1158" customWidth="1"/>
    <col min="5906" max="5906" width="4.5703125" style="1158" customWidth="1"/>
    <col min="5907" max="5920" width="0" style="1158" hidden="1" customWidth="1"/>
    <col min="5921" max="6145" width="9.42578125" style="1158"/>
    <col min="6146" max="6146" width="0" style="1158" hidden="1" customWidth="1"/>
    <col min="6147" max="6147" width="11.42578125" style="1158" customWidth="1"/>
    <col min="6148" max="6148" width="1.5703125" style="1158" customWidth="1"/>
    <col min="6149" max="6149" width="7.42578125" style="1158" bestFit="1" customWidth="1"/>
    <col min="6150" max="6150" width="1.5703125" style="1158" customWidth="1"/>
    <col min="6151" max="6151" width="12.5703125" style="1158" customWidth="1"/>
    <col min="6152" max="6152" width="1.5703125" style="1158" customWidth="1"/>
    <col min="6153" max="6153" width="20.5703125" style="1158" customWidth="1"/>
    <col min="6154" max="6154" width="2.5703125" style="1158" customWidth="1"/>
    <col min="6155" max="6155" width="10.5703125" style="1158" customWidth="1"/>
    <col min="6156" max="6156" width="1.5703125" style="1158" customWidth="1"/>
    <col min="6157" max="6157" width="10.5703125" style="1158" customWidth="1"/>
    <col min="6158" max="6158" width="1.5703125" style="1158" customWidth="1"/>
    <col min="6159" max="6159" width="12.5703125" style="1158" customWidth="1"/>
    <col min="6160" max="6160" width="1.5703125" style="1158" customWidth="1"/>
    <col min="6161" max="6161" width="22.5703125" style="1158" customWidth="1"/>
    <col min="6162" max="6162" width="4.5703125" style="1158" customWidth="1"/>
    <col min="6163" max="6176" width="0" style="1158" hidden="1" customWidth="1"/>
    <col min="6177" max="6401" width="9.42578125" style="1158"/>
    <col min="6402" max="6402" width="0" style="1158" hidden="1" customWidth="1"/>
    <col min="6403" max="6403" width="11.42578125" style="1158" customWidth="1"/>
    <col min="6404" max="6404" width="1.5703125" style="1158" customWidth="1"/>
    <col min="6405" max="6405" width="7.42578125" style="1158" bestFit="1" customWidth="1"/>
    <col min="6406" max="6406" width="1.5703125" style="1158" customWidth="1"/>
    <col min="6407" max="6407" width="12.5703125" style="1158" customWidth="1"/>
    <col min="6408" max="6408" width="1.5703125" style="1158" customWidth="1"/>
    <col min="6409" max="6409" width="20.5703125" style="1158" customWidth="1"/>
    <col min="6410" max="6410" width="2.5703125" style="1158" customWidth="1"/>
    <col min="6411" max="6411" width="10.5703125" style="1158" customWidth="1"/>
    <col min="6412" max="6412" width="1.5703125" style="1158" customWidth="1"/>
    <col min="6413" max="6413" width="10.5703125" style="1158" customWidth="1"/>
    <col min="6414" max="6414" width="1.5703125" style="1158" customWidth="1"/>
    <col min="6415" max="6415" width="12.5703125" style="1158" customWidth="1"/>
    <col min="6416" max="6416" width="1.5703125" style="1158" customWidth="1"/>
    <col min="6417" max="6417" width="22.5703125" style="1158" customWidth="1"/>
    <col min="6418" max="6418" width="4.5703125" style="1158" customWidth="1"/>
    <col min="6419" max="6432" width="0" style="1158" hidden="1" customWidth="1"/>
    <col min="6433" max="6657" width="9.42578125" style="1158"/>
    <col min="6658" max="6658" width="0" style="1158" hidden="1" customWidth="1"/>
    <col min="6659" max="6659" width="11.42578125" style="1158" customWidth="1"/>
    <col min="6660" max="6660" width="1.5703125" style="1158" customWidth="1"/>
    <col min="6661" max="6661" width="7.42578125" style="1158" bestFit="1" customWidth="1"/>
    <col min="6662" max="6662" width="1.5703125" style="1158" customWidth="1"/>
    <col min="6663" max="6663" width="12.5703125" style="1158" customWidth="1"/>
    <col min="6664" max="6664" width="1.5703125" style="1158" customWidth="1"/>
    <col min="6665" max="6665" width="20.5703125" style="1158" customWidth="1"/>
    <col min="6666" max="6666" width="2.5703125" style="1158" customWidth="1"/>
    <col min="6667" max="6667" width="10.5703125" style="1158" customWidth="1"/>
    <col min="6668" max="6668" width="1.5703125" style="1158" customWidth="1"/>
    <col min="6669" max="6669" width="10.5703125" style="1158" customWidth="1"/>
    <col min="6670" max="6670" width="1.5703125" style="1158" customWidth="1"/>
    <col min="6671" max="6671" width="12.5703125" style="1158" customWidth="1"/>
    <col min="6672" max="6672" width="1.5703125" style="1158" customWidth="1"/>
    <col min="6673" max="6673" width="22.5703125" style="1158" customWidth="1"/>
    <col min="6674" max="6674" width="4.5703125" style="1158" customWidth="1"/>
    <col min="6675" max="6688" width="0" style="1158" hidden="1" customWidth="1"/>
    <col min="6689" max="6913" width="9.42578125" style="1158"/>
    <col min="6914" max="6914" width="0" style="1158" hidden="1" customWidth="1"/>
    <col min="6915" max="6915" width="11.42578125" style="1158" customWidth="1"/>
    <col min="6916" max="6916" width="1.5703125" style="1158" customWidth="1"/>
    <col min="6917" max="6917" width="7.42578125" style="1158" bestFit="1" customWidth="1"/>
    <col min="6918" max="6918" width="1.5703125" style="1158" customWidth="1"/>
    <col min="6919" max="6919" width="12.5703125" style="1158" customWidth="1"/>
    <col min="6920" max="6920" width="1.5703125" style="1158" customWidth="1"/>
    <col min="6921" max="6921" width="20.5703125" style="1158" customWidth="1"/>
    <col min="6922" max="6922" width="2.5703125" style="1158" customWidth="1"/>
    <col min="6923" max="6923" width="10.5703125" style="1158" customWidth="1"/>
    <col min="6924" max="6924" width="1.5703125" style="1158" customWidth="1"/>
    <col min="6925" max="6925" width="10.5703125" style="1158" customWidth="1"/>
    <col min="6926" max="6926" width="1.5703125" style="1158" customWidth="1"/>
    <col min="6927" max="6927" width="12.5703125" style="1158" customWidth="1"/>
    <col min="6928" max="6928" width="1.5703125" style="1158" customWidth="1"/>
    <col min="6929" max="6929" width="22.5703125" style="1158" customWidth="1"/>
    <col min="6930" max="6930" width="4.5703125" style="1158" customWidth="1"/>
    <col min="6931" max="6944" width="0" style="1158" hidden="1" customWidth="1"/>
    <col min="6945" max="7169" width="9.42578125" style="1158"/>
    <col min="7170" max="7170" width="0" style="1158" hidden="1" customWidth="1"/>
    <col min="7171" max="7171" width="11.42578125" style="1158" customWidth="1"/>
    <col min="7172" max="7172" width="1.5703125" style="1158" customWidth="1"/>
    <col min="7173" max="7173" width="7.42578125" style="1158" bestFit="1" customWidth="1"/>
    <col min="7174" max="7174" width="1.5703125" style="1158" customWidth="1"/>
    <col min="7175" max="7175" width="12.5703125" style="1158" customWidth="1"/>
    <col min="7176" max="7176" width="1.5703125" style="1158" customWidth="1"/>
    <col min="7177" max="7177" width="20.5703125" style="1158" customWidth="1"/>
    <col min="7178" max="7178" width="2.5703125" style="1158" customWidth="1"/>
    <col min="7179" max="7179" width="10.5703125" style="1158" customWidth="1"/>
    <col min="7180" max="7180" width="1.5703125" style="1158" customWidth="1"/>
    <col min="7181" max="7181" width="10.5703125" style="1158" customWidth="1"/>
    <col min="7182" max="7182" width="1.5703125" style="1158" customWidth="1"/>
    <col min="7183" max="7183" width="12.5703125" style="1158" customWidth="1"/>
    <col min="7184" max="7184" width="1.5703125" style="1158" customWidth="1"/>
    <col min="7185" max="7185" width="22.5703125" style="1158" customWidth="1"/>
    <col min="7186" max="7186" width="4.5703125" style="1158" customWidth="1"/>
    <col min="7187" max="7200" width="0" style="1158" hidden="1" customWidth="1"/>
    <col min="7201" max="7425" width="9.42578125" style="1158"/>
    <col min="7426" max="7426" width="0" style="1158" hidden="1" customWidth="1"/>
    <col min="7427" max="7427" width="11.42578125" style="1158" customWidth="1"/>
    <col min="7428" max="7428" width="1.5703125" style="1158" customWidth="1"/>
    <col min="7429" max="7429" width="7.42578125" style="1158" bestFit="1" customWidth="1"/>
    <col min="7430" max="7430" width="1.5703125" style="1158" customWidth="1"/>
    <col min="7431" max="7431" width="12.5703125" style="1158" customWidth="1"/>
    <col min="7432" max="7432" width="1.5703125" style="1158" customWidth="1"/>
    <col min="7433" max="7433" width="20.5703125" style="1158" customWidth="1"/>
    <col min="7434" max="7434" width="2.5703125" style="1158" customWidth="1"/>
    <col min="7435" max="7435" width="10.5703125" style="1158" customWidth="1"/>
    <col min="7436" max="7436" width="1.5703125" style="1158" customWidth="1"/>
    <col min="7437" max="7437" width="10.5703125" style="1158" customWidth="1"/>
    <col min="7438" max="7438" width="1.5703125" style="1158" customWidth="1"/>
    <col min="7439" max="7439" width="12.5703125" style="1158" customWidth="1"/>
    <col min="7440" max="7440" width="1.5703125" style="1158" customWidth="1"/>
    <col min="7441" max="7441" width="22.5703125" style="1158" customWidth="1"/>
    <col min="7442" max="7442" width="4.5703125" style="1158" customWidth="1"/>
    <col min="7443" max="7456" width="0" style="1158" hidden="1" customWidth="1"/>
    <col min="7457" max="7681" width="9.42578125" style="1158"/>
    <col min="7682" max="7682" width="0" style="1158" hidden="1" customWidth="1"/>
    <col min="7683" max="7683" width="11.42578125" style="1158" customWidth="1"/>
    <col min="7684" max="7684" width="1.5703125" style="1158" customWidth="1"/>
    <col min="7685" max="7685" width="7.42578125" style="1158" bestFit="1" customWidth="1"/>
    <col min="7686" max="7686" width="1.5703125" style="1158" customWidth="1"/>
    <col min="7687" max="7687" width="12.5703125" style="1158" customWidth="1"/>
    <col min="7688" max="7688" width="1.5703125" style="1158" customWidth="1"/>
    <col min="7689" max="7689" width="20.5703125" style="1158" customWidth="1"/>
    <col min="7690" max="7690" width="2.5703125" style="1158" customWidth="1"/>
    <col min="7691" max="7691" width="10.5703125" style="1158" customWidth="1"/>
    <col min="7692" max="7692" width="1.5703125" style="1158" customWidth="1"/>
    <col min="7693" max="7693" width="10.5703125" style="1158" customWidth="1"/>
    <col min="7694" max="7694" width="1.5703125" style="1158" customWidth="1"/>
    <col min="7695" max="7695" width="12.5703125" style="1158" customWidth="1"/>
    <col min="7696" max="7696" width="1.5703125" style="1158" customWidth="1"/>
    <col min="7697" max="7697" width="22.5703125" style="1158" customWidth="1"/>
    <col min="7698" max="7698" width="4.5703125" style="1158" customWidth="1"/>
    <col min="7699" max="7712" width="0" style="1158" hidden="1" customWidth="1"/>
    <col min="7713" max="7937" width="9.42578125" style="1158"/>
    <col min="7938" max="7938" width="0" style="1158" hidden="1" customWidth="1"/>
    <col min="7939" max="7939" width="11.42578125" style="1158" customWidth="1"/>
    <col min="7940" max="7940" width="1.5703125" style="1158" customWidth="1"/>
    <col min="7941" max="7941" width="7.42578125" style="1158" bestFit="1" customWidth="1"/>
    <col min="7942" max="7942" width="1.5703125" style="1158" customWidth="1"/>
    <col min="7943" max="7943" width="12.5703125" style="1158" customWidth="1"/>
    <col min="7944" max="7944" width="1.5703125" style="1158" customWidth="1"/>
    <col min="7945" max="7945" width="20.5703125" style="1158" customWidth="1"/>
    <col min="7946" max="7946" width="2.5703125" style="1158" customWidth="1"/>
    <col min="7947" max="7947" width="10.5703125" style="1158" customWidth="1"/>
    <col min="7948" max="7948" width="1.5703125" style="1158" customWidth="1"/>
    <col min="7949" max="7949" width="10.5703125" style="1158" customWidth="1"/>
    <col min="7950" max="7950" width="1.5703125" style="1158" customWidth="1"/>
    <col min="7951" max="7951" width="12.5703125" style="1158" customWidth="1"/>
    <col min="7952" max="7952" width="1.5703125" style="1158" customWidth="1"/>
    <col min="7953" max="7953" width="22.5703125" style="1158" customWidth="1"/>
    <col min="7954" max="7954" width="4.5703125" style="1158" customWidth="1"/>
    <col min="7955" max="7968" width="0" style="1158" hidden="1" customWidth="1"/>
    <col min="7969" max="8193" width="9.42578125" style="1158"/>
    <col min="8194" max="8194" width="0" style="1158" hidden="1" customWidth="1"/>
    <col min="8195" max="8195" width="11.42578125" style="1158" customWidth="1"/>
    <col min="8196" max="8196" width="1.5703125" style="1158" customWidth="1"/>
    <col min="8197" max="8197" width="7.42578125" style="1158" bestFit="1" customWidth="1"/>
    <col min="8198" max="8198" width="1.5703125" style="1158" customWidth="1"/>
    <col min="8199" max="8199" width="12.5703125" style="1158" customWidth="1"/>
    <col min="8200" max="8200" width="1.5703125" style="1158" customWidth="1"/>
    <col min="8201" max="8201" width="20.5703125" style="1158" customWidth="1"/>
    <col min="8202" max="8202" width="2.5703125" style="1158" customWidth="1"/>
    <col min="8203" max="8203" width="10.5703125" style="1158" customWidth="1"/>
    <col min="8204" max="8204" width="1.5703125" style="1158" customWidth="1"/>
    <col min="8205" max="8205" width="10.5703125" style="1158" customWidth="1"/>
    <col min="8206" max="8206" width="1.5703125" style="1158" customWidth="1"/>
    <col min="8207" max="8207" width="12.5703125" style="1158" customWidth="1"/>
    <col min="8208" max="8208" width="1.5703125" style="1158" customWidth="1"/>
    <col min="8209" max="8209" width="22.5703125" style="1158" customWidth="1"/>
    <col min="8210" max="8210" width="4.5703125" style="1158" customWidth="1"/>
    <col min="8211" max="8224" width="0" style="1158" hidden="1" customWidth="1"/>
    <col min="8225" max="8449" width="9.42578125" style="1158"/>
    <col min="8450" max="8450" width="0" style="1158" hidden="1" customWidth="1"/>
    <col min="8451" max="8451" width="11.42578125" style="1158" customWidth="1"/>
    <col min="8452" max="8452" width="1.5703125" style="1158" customWidth="1"/>
    <col min="8453" max="8453" width="7.42578125" style="1158" bestFit="1" customWidth="1"/>
    <col min="8454" max="8454" width="1.5703125" style="1158" customWidth="1"/>
    <col min="8455" max="8455" width="12.5703125" style="1158" customWidth="1"/>
    <col min="8456" max="8456" width="1.5703125" style="1158" customWidth="1"/>
    <col min="8457" max="8457" width="20.5703125" style="1158" customWidth="1"/>
    <col min="8458" max="8458" width="2.5703125" style="1158" customWidth="1"/>
    <col min="8459" max="8459" width="10.5703125" style="1158" customWidth="1"/>
    <col min="8460" max="8460" width="1.5703125" style="1158" customWidth="1"/>
    <col min="8461" max="8461" width="10.5703125" style="1158" customWidth="1"/>
    <col min="8462" max="8462" width="1.5703125" style="1158" customWidth="1"/>
    <col min="8463" max="8463" width="12.5703125" style="1158" customWidth="1"/>
    <col min="8464" max="8464" width="1.5703125" style="1158" customWidth="1"/>
    <col min="8465" max="8465" width="22.5703125" style="1158" customWidth="1"/>
    <col min="8466" max="8466" width="4.5703125" style="1158" customWidth="1"/>
    <col min="8467" max="8480" width="0" style="1158" hidden="1" customWidth="1"/>
    <col min="8481" max="8705" width="9.42578125" style="1158"/>
    <col min="8706" max="8706" width="0" style="1158" hidden="1" customWidth="1"/>
    <col min="8707" max="8707" width="11.42578125" style="1158" customWidth="1"/>
    <col min="8708" max="8708" width="1.5703125" style="1158" customWidth="1"/>
    <col min="8709" max="8709" width="7.42578125" style="1158" bestFit="1" customWidth="1"/>
    <col min="8710" max="8710" width="1.5703125" style="1158" customWidth="1"/>
    <col min="8711" max="8711" width="12.5703125" style="1158" customWidth="1"/>
    <col min="8712" max="8712" width="1.5703125" style="1158" customWidth="1"/>
    <col min="8713" max="8713" width="20.5703125" style="1158" customWidth="1"/>
    <col min="8714" max="8714" width="2.5703125" style="1158" customWidth="1"/>
    <col min="8715" max="8715" width="10.5703125" style="1158" customWidth="1"/>
    <col min="8716" max="8716" width="1.5703125" style="1158" customWidth="1"/>
    <col min="8717" max="8717" width="10.5703125" style="1158" customWidth="1"/>
    <col min="8718" max="8718" width="1.5703125" style="1158" customWidth="1"/>
    <col min="8719" max="8719" width="12.5703125" style="1158" customWidth="1"/>
    <col min="8720" max="8720" width="1.5703125" style="1158" customWidth="1"/>
    <col min="8721" max="8721" width="22.5703125" style="1158" customWidth="1"/>
    <col min="8722" max="8722" width="4.5703125" style="1158" customWidth="1"/>
    <col min="8723" max="8736" width="0" style="1158" hidden="1" customWidth="1"/>
    <col min="8737" max="8961" width="9.42578125" style="1158"/>
    <col min="8962" max="8962" width="0" style="1158" hidden="1" customWidth="1"/>
    <col min="8963" max="8963" width="11.42578125" style="1158" customWidth="1"/>
    <col min="8964" max="8964" width="1.5703125" style="1158" customWidth="1"/>
    <col min="8965" max="8965" width="7.42578125" style="1158" bestFit="1" customWidth="1"/>
    <col min="8966" max="8966" width="1.5703125" style="1158" customWidth="1"/>
    <col min="8967" max="8967" width="12.5703125" style="1158" customWidth="1"/>
    <col min="8968" max="8968" width="1.5703125" style="1158" customWidth="1"/>
    <col min="8969" max="8969" width="20.5703125" style="1158" customWidth="1"/>
    <col min="8970" max="8970" width="2.5703125" style="1158" customWidth="1"/>
    <col min="8971" max="8971" width="10.5703125" style="1158" customWidth="1"/>
    <col min="8972" max="8972" width="1.5703125" style="1158" customWidth="1"/>
    <col min="8973" max="8973" width="10.5703125" style="1158" customWidth="1"/>
    <col min="8974" max="8974" width="1.5703125" style="1158" customWidth="1"/>
    <col min="8975" max="8975" width="12.5703125" style="1158" customWidth="1"/>
    <col min="8976" max="8976" width="1.5703125" style="1158" customWidth="1"/>
    <col min="8977" max="8977" width="22.5703125" style="1158" customWidth="1"/>
    <col min="8978" max="8978" width="4.5703125" style="1158" customWidth="1"/>
    <col min="8979" max="8992" width="0" style="1158" hidden="1" customWidth="1"/>
    <col min="8993" max="9217" width="9.42578125" style="1158"/>
    <col min="9218" max="9218" width="0" style="1158" hidden="1" customWidth="1"/>
    <col min="9219" max="9219" width="11.42578125" style="1158" customWidth="1"/>
    <col min="9220" max="9220" width="1.5703125" style="1158" customWidth="1"/>
    <col min="9221" max="9221" width="7.42578125" style="1158" bestFit="1" customWidth="1"/>
    <col min="9222" max="9222" width="1.5703125" style="1158" customWidth="1"/>
    <col min="9223" max="9223" width="12.5703125" style="1158" customWidth="1"/>
    <col min="9224" max="9224" width="1.5703125" style="1158" customWidth="1"/>
    <col min="9225" max="9225" width="20.5703125" style="1158" customWidth="1"/>
    <col min="9226" max="9226" width="2.5703125" style="1158" customWidth="1"/>
    <col min="9227" max="9227" width="10.5703125" style="1158" customWidth="1"/>
    <col min="9228" max="9228" width="1.5703125" style="1158" customWidth="1"/>
    <col min="9229" max="9229" width="10.5703125" style="1158" customWidth="1"/>
    <col min="9230" max="9230" width="1.5703125" style="1158" customWidth="1"/>
    <col min="9231" max="9231" width="12.5703125" style="1158" customWidth="1"/>
    <col min="9232" max="9232" width="1.5703125" style="1158" customWidth="1"/>
    <col min="9233" max="9233" width="22.5703125" style="1158" customWidth="1"/>
    <col min="9234" max="9234" width="4.5703125" style="1158" customWidth="1"/>
    <col min="9235" max="9248" width="0" style="1158" hidden="1" customWidth="1"/>
    <col min="9249" max="9473" width="9.42578125" style="1158"/>
    <col min="9474" max="9474" width="0" style="1158" hidden="1" customWidth="1"/>
    <col min="9475" max="9475" width="11.42578125" style="1158" customWidth="1"/>
    <col min="9476" max="9476" width="1.5703125" style="1158" customWidth="1"/>
    <col min="9477" max="9477" width="7.42578125" style="1158" bestFit="1" customWidth="1"/>
    <col min="9478" max="9478" width="1.5703125" style="1158" customWidth="1"/>
    <col min="9479" max="9479" width="12.5703125" style="1158" customWidth="1"/>
    <col min="9480" max="9480" width="1.5703125" style="1158" customWidth="1"/>
    <col min="9481" max="9481" width="20.5703125" style="1158" customWidth="1"/>
    <col min="9482" max="9482" width="2.5703125" style="1158" customWidth="1"/>
    <col min="9483" max="9483" width="10.5703125" style="1158" customWidth="1"/>
    <col min="9484" max="9484" width="1.5703125" style="1158" customWidth="1"/>
    <col min="9485" max="9485" width="10.5703125" style="1158" customWidth="1"/>
    <col min="9486" max="9486" width="1.5703125" style="1158" customWidth="1"/>
    <col min="9487" max="9487" width="12.5703125" style="1158" customWidth="1"/>
    <col min="9488" max="9488" width="1.5703125" style="1158" customWidth="1"/>
    <col min="9489" max="9489" width="22.5703125" style="1158" customWidth="1"/>
    <col min="9490" max="9490" width="4.5703125" style="1158" customWidth="1"/>
    <col min="9491" max="9504" width="0" style="1158" hidden="1" customWidth="1"/>
    <col min="9505" max="9729" width="9.42578125" style="1158"/>
    <col min="9730" max="9730" width="0" style="1158" hidden="1" customWidth="1"/>
    <col min="9731" max="9731" width="11.42578125" style="1158" customWidth="1"/>
    <col min="9732" max="9732" width="1.5703125" style="1158" customWidth="1"/>
    <col min="9733" max="9733" width="7.42578125" style="1158" bestFit="1" customWidth="1"/>
    <col min="9734" max="9734" width="1.5703125" style="1158" customWidth="1"/>
    <col min="9735" max="9735" width="12.5703125" style="1158" customWidth="1"/>
    <col min="9736" max="9736" width="1.5703125" style="1158" customWidth="1"/>
    <col min="9737" max="9737" width="20.5703125" style="1158" customWidth="1"/>
    <col min="9738" max="9738" width="2.5703125" style="1158" customWidth="1"/>
    <col min="9739" max="9739" width="10.5703125" style="1158" customWidth="1"/>
    <col min="9740" max="9740" width="1.5703125" style="1158" customWidth="1"/>
    <col min="9741" max="9741" width="10.5703125" style="1158" customWidth="1"/>
    <col min="9742" max="9742" width="1.5703125" style="1158" customWidth="1"/>
    <col min="9743" max="9743" width="12.5703125" style="1158" customWidth="1"/>
    <col min="9744" max="9744" width="1.5703125" style="1158" customWidth="1"/>
    <col min="9745" max="9745" width="22.5703125" style="1158" customWidth="1"/>
    <col min="9746" max="9746" width="4.5703125" style="1158" customWidth="1"/>
    <col min="9747" max="9760" width="0" style="1158" hidden="1" customWidth="1"/>
    <col min="9761" max="9985" width="9.42578125" style="1158"/>
    <col min="9986" max="9986" width="0" style="1158" hidden="1" customWidth="1"/>
    <col min="9987" max="9987" width="11.42578125" style="1158" customWidth="1"/>
    <col min="9988" max="9988" width="1.5703125" style="1158" customWidth="1"/>
    <col min="9989" max="9989" width="7.42578125" style="1158" bestFit="1" customWidth="1"/>
    <col min="9990" max="9990" width="1.5703125" style="1158" customWidth="1"/>
    <col min="9991" max="9991" width="12.5703125" style="1158" customWidth="1"/>
    <col min="9992" max="9992" width="1.5703125" style="1158" customWidth="1"/>
    <col min="9993" max="9993" width="20.5703125" style="1158" customWidth="1"/>
    <col min="9994" max="9994" width="2.5703125" style="1158" customWidth="1"/>
    <col min="9995" max="9995" width="10.5703125" style="1158" customWidth="1"/>
    <col min="9996" max="9996" width="1.5703125" style="1158" customWidth="1"/>
    <col min="9997" max="9997" width="10.5703125" style="1158" customWidth="1"/>
    <col min="9998" max="9998" width="1.5703125" style="1158" customWidth="1"/>
    <col min="9999" max="9999" width="12.5703125" style="1158" customWidth="1"/>
    <col min="10000" max="10000" width="1.5703125" style="1158" customWidth="1"/>
    <col min="10001" max="10001" width="22.5703125" style="1158" customWidth="1"/>
    <col min="10002" max="10002" width="4.5703125" style="1158" customWidth="1"/>
    <col min="10003" max="10016" width="0" style="1158" hidden="1" customWidth="1"/>
    <col min="10017" max="10241" width="9.42578125" style="1158"/>
    <col min="10242" max="10242" width="0" style="1158" hidden="1" customWidth="1"/>
    <col min="10243" max="10243" width="11.42578125" style="1158" customWidth="1"/>
    <col min="10244" max="10244" width="1.5703125" style="1158" customWidth="1"/>
    <col min="10245" max="10245" width="7.42578125" style="1158" bestFit="1" customWidth="1"/>
    <col min="10246" max="10246" width="1.5703125" style="1158" customWidth="1"/>
    <col min="10247" max="10247" width="12.5703125" style="1158" customWidth="1"/>
    <col min="10248" max="10248" width="1.5703125" style="1158" customWidth="1"/>
    <col min="10249" max="10249" width="20.5703125" style="1158" customWidth="1"/>
    <col min="10250" max="10250" width="2.5703125" style="1158" customWidth="1"/>
    <col min="10251" max="10251" width="10.5703125" style="1158" customWidth="1"/>
    <col min="10252" max="10252" width="1.5703125" style="1158" customWidth="1"/>
    <col min="10253" max="10253" width="10.5703125" style="1158" customWidth="1"/>
    <col min="10254" max="10254" width="1.5703125" style="1158" customWidth="1"/>
    <col min="10255" max="10255" width="12.5703125" style="1158" customWidth="1"/>
    <col min="10256" max="10256" width="1.5703125" style="1158" customWidth="1"/>
    <col min="10257" max="10257" width="22.5703125" style="1158" customWidth="1"/>
    <col min="10258" max="10258" width="4.5703125" style="1158" customWidth="1"/>
    <col min="10259" max="10272" width="0" style="1158" hidden="1" customWidth="1"/>
    <col min="10273" max="10497" width="9.42578125" style="1158"/>
    <col min="10498" max="10498" width="0" style="1158" hidden="1" customWidth="1"/>
    <col min="10499" max="10499" width="11.42578125" style="1158" customWidth="1"/>
    <col min="10500" max="10500" width="1.5703125" style="1158" customWidth="1"/>
    <col min="10501" max="10501" width="7.42578125" style="1158" bestFit="1" customWidth="1"/>
    <col min="10502" max="10502" width="1.5703125" style="1158" customWidth="1"/>
    <col min="10503" max="10503" width="12.5703125" style="1158" customWidth="1"/>
    <col min="10504" max="10504" width="1.5703125" style="1158" customWidth="1"/>
    <col min="10505" max="10505" width="20.5703125" style="1158" customWidth="1"/>
    <col min="10506" max="10506" width="2.5703125" style="1158" customWidth="1"/>
    <col min="10507" max="10507" width="10.5703125" style="1158" customWidth="1"/>
    <col min="10508" max="10508" width="1.5703125" style="1158" customWidth="1"/>
    <col min="10509" max="10509" width="10.5703125" style="1158" customWidth="1"/>
    <col min="10510" max="10510" width="1.5703125" style="1158" customWidth="1"/>
    <col min="10511" max="10511" width="12.5703125" style="1158" customWidth="1"/>
    <col min="10512" max="10512" width="1.5703125" style="1158" customWidth="1"/>
    <col min="10513" max="10513" width="22.5703125" style="1158" customWidth="1"/>
    <col min="10514" max="10514" width="4.5703125" style="1158" customWidth="1"/>
    <col min="10515" max="10528" width="0" style="1158" hidden="1" customWidth="1"/>
    <col min="10529" max="10753" width="9.42578125" style="1158"/>
    <col min="10754" max="10754" width="0" style="1158" hidden="1" customWidth="1"/>
    <col min="10755" max="10755" width="11.42578125" style="1158" customWidth="1"/>
    <col min="10756" max="10756" width="1.5703125" style="1158" customWidth="1"/>
    <col min="10757" max="10757" width="7.42578125" style="1158" bestFit="1" customWidth="1"/>
    <col min="10758" max="10758" width="1.5703125" style="1158" customWidth="1"/>
    <col min="10759" max="10759" width="12.5703125" style="1158" customWidth="1"/>
    <col min="10760" max="10760" width="1.5703125" style="1158" customWidth="1"/>
    <col min="10761" max="10761" width="20.5703125" style="1158" customWidth="1"/>
    <col min="10762" max="10762" width="2.5703125" style="1158" customWidth="1"/>
    <col min="10763" max="10763" width="10.5703125" style="1158" customWidth="1"/>
    <col min="10764" max="10764" width="1.5703125" style="1158" customWidth="1"/>
    <col min="10765" max="10765" width="10.5703125" style="1158" customWidth="1"/>
    <col min="10766" max="10766" width="1.5703125" style="1158" customWidth="1"/>
    <col min="10767" max="10767" width="12.5703125" style="1158" customWidth="1"/>
    <col min="10768" max="10768" width="1.5703125" style="1158" customWidth="1"/>
    <col min="10769" max="10769" width="22.5703125" style="1158" customWidth="1"/>
    <col min="10770" max="10770" width="4.5703125" style="1158" customWidth="1"/>
    <col min="10771" max="10784" width="0" style="1158" hidden="1" customWidth="1"/>
    <col min="10785" max="11009" width="9.42578125" style="1158"/>
    <col min="11010" max="11010" width="0" style="1158" hidden="1" customWidth="1"/>
    <col min="11011" max="11011" width="11.42578125" style="1158" customWidth="1"/>
    <col min="11012" max="11012" width="1.5703125" style="1158" customWidth="1"/>
    <col min="11013" max="11013" width="7.42578125" style="1158" bestFit="1" customWidth="1"/>
    <col min="11014" max="11014" width="1.5703125" style="1158" customWidth="1"/>
    <col min="11015" max="11015" width="12.5703125" style="1158" customWidth="1"/>
    <col min="11016" max="11016" width="1.5703125" style="1158" customWidth="1"/>
    <col min="11017" max="11017" width="20.5703125" style="1158" customWidth="1"/>
    <col min="11018" max="11018" width="2.5703125" style="1158" customWidth="1"/>
    <col min="11019" max="11019" width="10.5703125" style="1158" customWidth="1"/>
    <col min="11020" max="11020" width="1.5703125" style="1158" customWidth="1"/>
    <col min="11021" max="11021" width="10.5703125" style="1158" customWidth="1"/>
    <col min="11022" max="11022" width="1.5703125" style="1158" customWidth="1"/>
    <col min="11023" max="11023" width="12.5703125" style="1158" customWidth="1"/>
    <col min="11024" max="11024" width="1.5703125" style="1158" customWidth="1"/>
    <col min="11025" max="11025" width="22.5703125" style="1158" customWidth="1"/>
    <col min="11026" max="11026" width="4.5703125" style="1158" customWidth="1"/>
    <col min="11027" max="11040" width="0" style="1158" hidden="1" customWidth="1"/>
    <col min="11041" max="11265" width="9.42578125" style="1158"/>
    <col min="11266" max="11266" width="0" style="1158" hidden="1" customWidth="1"/>
    <col min="11267" max="11267" width="11.42578125" style="1158" customWidth="1"/>
    <col min="11268" max="11268" width="1.5703125" style="1158" customWidth="1"/>
    <col min="11269" max="11269" width="7.42578125" style="1158" bestFit="1" customWidth="1"/>
    <col min="11270" max="11270" width="1.5703125" style="1158" customWidth="1"/>
    <col min="11271" max="11271" width="12.5703125" style="1158" customWidth="1"/>
    <col min="11272" max="11272" width="1.5703125" style="1158" customWidth="1"/>
    <col min="11273" max="11273" width="20.5703125" style="1158" customWidth="1"/>
    <col min="11274" max="11274" width="2.5703125" style="1158" customWidth="1"/>
    <col min="11275" max="11275" width="10.5703125" style="1158" customWidth="1"/>
    <col min="11276" max="11276" width="1.5703125" style="1158" customWidth="1"/>
    <col min="11277" max="11277" width="10.5703125" style="1158" customWidth="1"/>
    <col min="11278" max="11278" width="1.5703125" style="1158" customWidth="1"/>
    <col min="11279" max="11279" width="12.5703125" style="1158" customWidth="1"/>
    <col min="11280" max="11280" width="1.5703125" style="1158" customWidth="1"/>
    <col min="11281" max="11281" width="22.5703125" style="1158" customWidth="1"/>
    <col min="11282" max="11282" width="4.5703125" style="1158" customWidth="1"/>
    <col min="11283" max="11296" width="0" style="1158" hidden="1" customWidth="1"/>
    <col min="11297" max="11521" width="9.42578125" style="1158"/>
    <col min="11522" max="11522" width="0" style="1158" hidden="1" customWidth="1"/>
    <col min="11523" max="11523" width="11.42578125" style="1158" customWidth="1"/>
    <col min="11524" max="11524" width="1.5703125" style="1158" customWidth="1"/>
    <col min="11525" max="11525" width="7.42578125" style="1158" bestFit="1" customWidth="1"/>
    <col min="11526" max="11526" width="1.5703125" style="1158" customWidth="1"/>
    <col min="11527" max="11527" width="12.5703125" style="1158" customWidth="1"/>
    <col min="11528" max="11528" width="1.5703125" style="1158" customWidth="1"/>
    <col min="11529" max="11529" width="20.5703125" style="1158" customWidth="1"/>
    <col min="11530" max="11530" width="2.5703125" style="1158" customWidth="1"/>
    <col min="11531" max="11531" width="10.5703125" style="1158" customWidth="1"/>
    <col min="11532" max="11532" width="1.5703125" style="1158" customWidth="1"/>
    <col min="11533" max="11533" width="10.5703125" style="1158" customWidth="1"/>
    <col min="11534" max="11534" width="1.5703125" style="1158" customWidth="1"/>
    <col min="11535" max="11535" width="12.5703125" style="1158" customWidth="1"/>
    <col min="11536" max="11536" width="1.5703125" style="1158" customWidth="1"/>
    <col min="11537" max="11537" width="22.5703125" style="1158" customWidth="1"/>
    <col min="11538" max="11538" width="4.5703125" style="1158" customWidth="1"/>
    <col min="11539" max="11552" width="0" style="1158" hidden="1" customWidth="1"/>
    <col min="11553" max="11777" width="9.42578125" style="1158"/>
    <col min="11778" max="11778" width="0" style="1158" hidden="1" customWidth="1"/>
    <col min="11779" max="11779" width="11.42578125" style="1158" customWidth="1"/>
    <col min="11780" max="11780" width="1.5703125" style="1158" customWidth="1"/>
    <col min="11781" max="11781" width="7.42578125" style="1158" bestFit="1" customWidth="1"/>
    <col min="11782" max="11782" width="1.5703125" style="1158" customWidth="1"/>
    <col min="11783" max="11783" width="12.5703125" style="1158" customWidth="1"/>
    <col min="11784" max="11784" width="1.5703125" style="1158" customWidth="1"/>
    <col min="11785" max="11785" width="20.5703125" style="1158" customWidth="1"/>
    <col min="11786" max="11786" width="2.5703125" style="1158" customWidth="1"/>
    <col min="11787" max="11787" width="10.5703125" style="1158" customWidth="1"/>
    <col min="11788" max="11788" width="1.5703125" style="1158" customWidth="1"/>
    <col min="11789" max="11789" width="10.5703125" style="1158" customWidth="1"/>
    <col min="11790" max="11790" width="1.5703125" style="1158" customWidth="1"/>
    <col min="11791" max="11791" width="12.5703125" style="1158" customWidth="1"/>
    <col min="11792" max="11792" width="1.5703125" style="1158" customWidth="1"/>
    <col min="11793" max="11793" width="22.5703125" style="1158" customWidth="1"/>
    <col min="11794" max="11794" width="4.5703125" style="1158" customWidth="1"/>
    <col min="11795" max="11808" width="0" style="1158" hidden="1" customWidth="1"/>
    <col min="11809" max="12033" width="9.42578125" style="1158"/>
    <col min="12034" max="12034" width="0" style="1158" hidden="1" customWidth="1"/>
    <col min="12035" max="12035" width="11.42578125" style="1158" customWidth="1"/>
    <col min="12036" max="12036" width="1.5703125" style="1158" customWidth="1"/>
    <col min="12037" max="12037" width="7.42578125" style="1158" bestFit="1" customWidth="1"/>
    <col min="12038" max="12038" width="1.5703125" style="1158" customWidth="1"/>
    <col min="12039" max="12039" width="12.5703125" style="1158" customWidth="1"/>
    <col min="12040" max="12040" width="1.5703125" style="1158" customWidth="1"/>
    <col min="12041" max="12041" width="20.5703125" style="1158" customWidth="1"/>
    <col min="12042" max="12042" width="2.5703125" style="1158" customWidth="1"/>
    <col min="12043" max="12043" width="10.5703125" style="1158" customWidth="1"/>
    <col min="12044" max="12044" width="1.5703125" style="1158" customWidth="1"/>
    <col min="12045" max="12045" width="10.5703125" style="1158" customWidth="1"/>
    <col min="12046" max="12046" width="1.5703125" style="1158" customWidth="1"/>
    <col min="12047" max="12047" width="12.5703125" style="1158" customWidth="1"/>
    <col min="12048" max="12048" width="1.5703125" style="1158" customWidth="1"/>
    <col min="12049" max="12049" width="22.5703125" style="1158" customWidth="1"/>
    <col min="12050" max="12050" width="4.5703125" style="1158" customWidth="1"/>
    <col min="12051" max="12064" width="0" style="1158" hidden="1" customWidth="1"/>
    <col min="12065" max="12289" width="9.42578125" style="1158"/>
    <col min="12290" max="12290" width="0" style="1158" hidden="1" customWidth="1"/>
    <col min="12291" max="12291" width="11.42578125" style="1158" customWidth="1"/>
    <col min="12292" max="12292" width="1.5703125" style="1158" customWidth="1"/>
    <col min="12293" max="12293" width="7.42578125" style="1158" bestFit="1" customWidth="1"/>
    <col min="12294" max="12294" width="1.5703125" style="1158" customWidth="1"/>
    <col min="12295" max="12295" width="12.5703125" style="1158" customWidth="1"/>
    <col min="12296" max="12296" width="1.5703125" style="1158" customWidth="1"/>
    <col min="12297" max="12297" width="20.5703125" style="1158" customWidth="1"/>
    <col min="12298" max="12298" width="2.5703125" style="1158" customWidth="1"/>
    <col min="12299" max="12299" width="10.5703125" style="1158" customWidth="1"/>
    <col min="12300" max="12300" width="1.5703125" style="1158" customWidth="1"/>
    <col min="12301" max="12301" width="10.5703125" style="1158" customWidth="1"/>
    <col min="12302" max="12302" width="1.5703125" style="1158" customWidth="1"/>
    <col min="12303" max="12303" width="12.5703125" style="1158" customWidth="1"/>
    <col min="12304" max="12304" width="1.5703125" style="1158" customWidth="1"/>
    <col min="12305" max="12305" width="22.5703125" style="1158" customWidth="1"/>
    <col min="12306" max="12306" width="4.5703125" style="1158" customWidth="1"/>
    <col min="12307" max="12320" width="0" style="1158" hidden="1" customWidth="1"/>
    <col min="12321" max="12545" width="9.42578125" style="1158"/>
    <col min="12546" max="12546" width="0" style="1158" hidden="1" customWidth="1"/>
    <col min="12547" max="12547" width="11.42578125" style="1158" customWidth="1"/>
    <col min="12548" max="12548" width="1.5703125" style="1158" customWidth="1"/>
    <col min="12549" max="12549" width="7.42578125" style="1158" bestFit="1" customWidth="1"/>
    <col min="12550" max="12550" width="1.5703125" style="1158" customWidth="1"/>
    <col min="12551" max="12551" width="12.5703125" style="1158" customWidth="1"/>
    <col min="12552" max="12552" width="1.5703125" style="1158" customWidth="1"/>
    <col min="12553" max="12553" width="20.5703125" style="1158" customWidth="1"/>
    <col min="12554" max="12554" width="2.5703125" style="1158" customWidth="1"/>
    <col min="12555" max="12555" width="10.5703125" style="1158" customWidth="1"/>
    <col min="12556" max="12556" width="1.5703125" style="1158" customWidth="1"/>
    <col min="12557" max="12557" width="10.5703125" style="1158" customWidth="1"/>
    <col min="12558" max="12558" width="1.5703125" style="1158" customWidth="1"/>
    <col min="12559" max="12559" width="12.5703125" style="1158" customWidth="1"/>
    <col min="12560" max="12560" width="1.5703125" style="1158" customWidth="1"/>
    <col min="12561" max="12561" width="22.5703125" style="1158" customWidth="1"/>
    <col min="12562" max="12562" width="4.5703125" style="1158" customWidth="1"/>
    <col min="12563" max="12576" width="0" style="1158" hidden="1" customWidth="1"/>
    <col min="12577" max="12801" width="9.42578125" style="1158"/>
    <col min="12802" max="12802" width="0" style="1158" hidden="1" customWidth="1"/>
    <col min="12803" max="12803" width="11.42578125" style="1158" customWidth="1"/>
    <col min="12804" max="12804" width="1.5703125" style="1158" customWidth="1"/>
    <col min="12805" max="12805" width="7.42578125" style="1158" bestFit="1" customWidth="1"/>
    <col min="12806" max="12806" width="1.5703125" style="1158" customWidth="1"/>
    <col min="12807" max="12807" width="12.5703125" style="1158" customWidth="1"/>
    <col min="12808" max="12808" width="1.5703125" style="1158" customWidth="1"/>
    <col min="12809" max="12809" width="20.5703125" style="1158" customWidth="1"/>
    <col min="12810" max="12810" width="2.5703125" style="1158" customWidth="1"/>
    <col min="12811" max="12811" width="10.5703125" style="1158" customWidth="1"/>
    <col min="12812" max="12812" width="1.5703125" style="1158" customWidth="1"/>
    <col min="12813" max="12813" width="10.5703125" style="1158" customWidth="1"/>
    <col min="12814" max="12814" width="1.5703125" style="1158" customWidth="1"/>
    <col min="12815" max="12815" width="12.5703125" style="1158" customWidth="1"/>
    <col min="12816" max="12816" width="1.5703125" style="1158" customWidth="1"/>
    <col min="12817" max="12817" width="22.5703125" style="1158" customWidth="1"/>
    <col min="12818" max="12818" width="4.5703125" style="1158" customWidth="1"/>
    <col min="12819" max="12832" width="0" style="1158" hidden="1" customWidth="1"/>
    <col min="12833" max="13057" width="9.42578125" style="1158"/>
    <col min="13058" max="13058" width="0" style="1158" hidden="1" customWidth="1"/>
    <col min="13059" max="13059" width="11.42578125" style="1158" customWidth="1"/>
    <col min="13060" max="13060" width="1.5703125" style="1158" customWidth="1"/>
    <col min="13061" max="13061" width="7.42578125" style="1158" bestFit="1" customWidth="1"/>
    <col min="13062" max="13062" width="1.5703125" style="1158" customWidth="1"/>
    <col min="13063" max="13063" width="12.5703125" style="1158" customWidth="1"/>
    <col min="13064" max="13064" width="1.5703125" style="1158" customWidth="1"/>
    <col min="13065" max="13065" width="20.5703125" style="1158" customWidth="1"/>
    <col min="13066" max="13066" width="2.5703125" style="1158" customWidth="1"/>
    <col min="13067" max="13067" width="10.5703125" style="1158" customWidth="1"/>
    <col min="13068" max="13068" width="1.5703125" style="1158" customWidth="1"/>
    <col min="13069" max="13069" width="10.5703125" style="1158" customWidth="1"/>
    <col min="13070" max="13070" width="1.5703125" style="1158" customWidth="1"/>
    <col min="13071" max="13071" width="12.5703125" style="1158" customWidth="1"/>
    <col min="13072" max="13072" width="1.5703125" style="1158" customWidth="1"/>
    <col min="13073" max="13073" width="22.5703125" style="1158" customWidth="1"/>
    <col min="13074" max="13074" width="4.5703125" style="1158" customWidth="1"/>
    <col min="13075" max="13088" width="0" style="1158" hidden="1" customWidth="1"/>
    <col min="13089" max="13313" width="9.42578125" style="1158"/>
    <col min="13314" max="13314" width="0" style="1158" hidden="1" customWidth="1"/>
    <col min="13315" max="13315" width="11.42578125" style="1158" customWidth="1"/>
    <col min="13316" max="13316" width="1.5703125" style="1158" customWidth="1"/>
    <col min="13317" max="13317" width="7.42578125" style="1158" bestFit="1" customWidth="1"/>
    <col min="13318" max="13318" width="1.5703125" style="1158" customWidth="1"/>
    <col min="13319" max="13319" width="12.5703125" style="1158" customWidth="1"/>
    <col min="13320" max="13320" width="1.5703125" style="1158" customWidth="1"/>
    <col min="13321" max="13321" width="20.5703125" style="1158" customWidth="1"/>
    <col min="13322" max="13322" width="2.5703125" style="1158" customWidth="1"/>
    <col min="13323" max="13323" width="10.5703125" style="1158" customWidth="1"/>
    <col min="13324" max="13324" width="1.5703125" style="1158" customWidth="1"/>
    <col min="13325" max="13325" width="10.5703125" style="1158" customWidth="1"/>
    <col min="13326" max="13326" width="1.5703125" style="1158" customWidth="1"/>
    <col min="13327" max="13327" width="12.5703125" style="1158" customWidth="1"/>
    <col min="13328" max="13328" width="1.5703125" style="1158" customWidth="1"/>
    <col min="13329" max="13329" width="22.5703125" style="1158" customWidth="1"/>
    <col min="13330" max="13330" width="4.5703125" style="1158" customWidth="1"/>
    <col min="13331" max="13344" width="0" style="1158" hidden="1" customWidth="1"/>
    <col min="13345" max="13569" width="9.42578125" style="1158"/>
    <col min="13570" max="13570" width="0" style="1158" hidden="1" customWidth="1"/>
    <col min="13571" max="13571" width="11.42578125" style="1158" customWidth="1"/>
    <col min="13572" max="13572" width="1.5703125" style="1158" customWidth="1"/>
    <col min="13573" max="13573" width="7.42578125" style="1158" bestFit="1" customWidth="1"/>
    <col min="13574" max="13574" width="1.5703125" style="1158" customWidth="1"/>
    <col min="13575" max="13575" width="12.5703125" style="1158" customWidth="1"/>
    <col min="13576" max="13576" width="1.5703125" style="1158" customWidth="1"/>
    <col min="13577" max="13577" width="20.5703125" style="1158" customWidth="1"/>
    <col min="13578" max="13578" width="2.5703125" style="1158" customWidth="1"/>
    <col min="13579" max="13579" width="10.5703125" style="1158" customWidth="1"/>
    <col min="13580" max="13580" width="1.5703125" style="1158" customWidth="1"/>
    <col min="13581" max="13581" width="10.5703125" style="1158" customWidth="1"/>
    <col min="13582" max="13582" width="1.5703125" style="1158" customWidth="1"/>
    <col min="13583" max="13583" width="12.5703125" style="1158" customWidth="1"/>
    <col min="13584" max="13584" width="1.5703125" style="1158" customWidth="1"/>
    <col min="13585" max="13585" width="22.5703125" style="1158" customWidth="1"/>
    <col min="13586" max="13586" width="4.5703125" style="1158" customWidth="1"/>
    <col min="13587" max="13600" width="0" style="1158" hidden="1" customWidth="1"/>
    <col min="13601" max="13825" width="9.42578125" style="1158"/>
    <col min="13826" max="13826" width="0" style="1158" hidden="1" customWidth="1"/>
    <col min="13827" max="13827" width="11.42578125" style="1158" customWidth="1"/>
    <col min="13828" max="13828" width="1.5703125" style="1158" customWidth="1"/>
    <col min="13829" max="13829" width="7.42578125" style="1158" bestFit="1" customWidth="1"/>
    <col min="13830" max="13830" width="1.5703125" style="1158" customWidth="1"/>
    <col min="13831" max="13831" width="12.5703125" style="1158" customWidth="1"/>
    <col min="13832" max="13832" width="1.5703125" style="1158" customWidth="1"/>
    <col min="13833" max="13833" width="20.5703125" style="1158" customWidth="1"/>
    <col min="13834" max="13834" width="2.5703125" style="1158" customWidth="1"/>
    <col min="13835" max="13835" width="10.5703125" style="1158" customWidth="1"/>
    <col min="13836" max="13836" width="1.5703125" style="1158" customWidth="1"/>
    <col min="13837" max="13837" width="10.5703125" style="1158" customWidth="1"/>
    <col min="13838" max="13838" width="1.5703125" style="1158" customWidth="1"/>
    <col min="13839" max="13839" width="12.5703125" style="1158" customWidth="1"/>
    <col min="13840" max="13840" width="1.5703125" style="1158" customWidth="1"/>
    <col min="13841" max="13841" width="22.5703125" style="1158" customWidth="1"/>
    <col min="13842" max="13842" width="4.5703125" style="1158" customWidth="1"/>
    <col min="13843" max="13856" width="0" style="1158" hidden="1" customWidth="1"/>
    <col min="13857" max="14081" width="9.42578125" style="1158"/>
    <col min="14082" max="14082" width="0" style="1158" hidden="1" customWidth="1"/>
    <col min="14083" max="14083" width="11.42578125" style="1158" customWidth="1"/>
    <col min="14084" max="14084" width="1.5703125" style="1158" customWidth="1"/>
    <col min="14085" max="14085" width="7.42578125" style="1158" bestFit="1" customWidth="1"/>
    <col min="14086" max="14086" width="1.5703125" style="1158" customWidth="1"/>
    <col min="14087" max="14087" width="12.5703125" style="1158" customWidth="1"/>
    <col min="14088" max="14088" width="1.5703125" style="1158" customWidth="1"/>
    <col min="14089" max="14089" width="20.5703125" style="1158" customWidth="1"/>
    <col min="14090" max="14090" width="2.5703125" style="1158" customWidth="1"/>
    <col min="14091" max="14091" width="10.5703125" style="1158" customWidth="1"/>
    <col min="14092" max="14092" width="1.5703125" style="1158" customWidth="1"/>
    <col min="14093" max="14093" width="10.5703125" style="1158" customWidth="1"/>
    <col min="14094" max="14094" width="1.5703125" style="1158" customWidth="1"/>
    <col min="14095" max="14095" width="12.5703125" style="1158" customWidth="1"/>
    <col min="14096" max="14096" width="1.5703125" style="1158" customWidth="1"/>
    <col min="14097" max="14097" width="22.5703125" style="1158" customWidth="1"/>
    <col min="14098" max="14098" width="4.5703125" style="1158" customWidth="1"/>
    <col min="14099" max="14112" width="0" style="1158" hidden="1" customWidth="1"/>
    <col min="14113" max="14337" width="9.42578125" style="1158"/>
    <col min="14338" max="14338" width="0" style="1158" hidden="1" customWidth="1"/>
    <col min="14339" max="14339" width="11.42578125" style="1158" customWidth="1"/>
    <col min="14340" max="14340" width="1.5703125" style="1158" customWidth="1"/>
    <col min="14341" max="14341" width="7.42578125" style="1158" bestFit="1" customWidth="1"/>
    <col min="14342" max="14342" width="1.5703125" style="1158" customWidth="1"/>
    <col min="14343" max="14343" width="12.5703125" style="1158" customWidth="1"/>
    <col min="14344" max="14344" width="1.5703125" style="1158" customWidth="1"/>
    <col min="14345" max="14345" width="20.5703125" style="1158" customWidth="1"/>
    <col min="14346" max="14346" width="2.5703125" style="1158" customWidth="1"/>
    <col min="14347" max="14347" width="10.5703125" style="1158" customWidth="1"/>
    <col min="14348" max="14348" width="1.5703125" style="1158" customWidth="1"/>
    <col min="14349" max="14349" width="10.5703125" style="1158" customWidth="1"/>
    <col min="14350" max="14350" width="1.5703125" style="1158" customWidth="1"/>
    <col min="14351" max="14351" width="12.5703125" style="1158" customWidth="1"/>
    <col min="14352" max="14352" width="1.5703125" style="1158" customWidth="1"/>
    <col min="14353" max="14353" width="22.5703125" style="1158" customWidth="1"/>
    <col min="14354" max="14354" width="4.5703125" style="1158" customWidth="1"/>
    <col min="14355" max="14368" width="0" style="1158" hidden="1" customWidth="1"/>
    <col min="14369" max="14593" width="9.42578125" style="1158"/>
    <col min="14594" max="14594" width="0" style="1158" hidden="1" customWidth="1"/>
    <col min="14595" max="14595" width="11.42578125" style="1158" customWidth="1"/>
    <col min="14596" max="14596" width="1.5703125" style="1158" customWidth="1"/>
    <col min="14597" max="14597" width="7.42578125" style="1158" bestFit="1" customWidth="1"/>
    <col min="14598" max="14598" width="1.5703125" style="1158" customWidth="1"/>
    <col min="14599" max="14599" width="12.5703125" style="1158" customWidth="1"/>
    <col min="14600" max="14600" width="1.5703125" style="1158" customWidth="1"/>
    <col min="14601" max="14601" width="20.5703125" style="1158" customWidth="1"/>
    <col min="14602" max="14602" width="2.5703125" style="1158" customWidth="1"/>
    <col min="14603" max="14603" width="10.5703125" style="1158" customWidth="1"/>
    <col min="14604" max="14604" width="1.5703125" style="1158" customWidth="1"/>
    <col min="14605" max="14605" width="10.5703125" style="1158" customWidth="1"/>
    <col min="14606" max="14606" width="1.5703125" style="1158" customWidth="1"/>
    <col min="14607" max="14607" width="12.5703125" style="1158" customWidth="1"/>
    <col min="14608" max="14608" width="1.5703125" style="1158" customWidth="1"/>
    <col min="14609" max="14609" width="22.5703125" style="1158" customWidth="1"/>
    <col min="14610" max="14610" width="4.5703125" style="1158" customWidth="1"/>
    <col min="14611" max="14624" width="0" style="1158" hidden="1" customWidth="1"/>
    <col min="14625" max="14849" width="9.42578125" style="1158"/>
    <col min="14850" max="14850" width="0" style="1158" hidden="1" customWidth="1"/>
    <col min="14851" max="14851" width="11.42578125" style="1158" customWidth="1"/>
    <col min="14852" max="14852" width="1.5703125" style="1158" customWidth="1"/>
    <col min="14853" max="14853" width="7.42578125" style="1158" bestFit="1" customWidth="1"/>
    <col min="14854" max="14854" width="1.5703125" style="1158" customWidth="1"/>
    <col min="14855" max="14855" width="12.5703125" style="1158" customWidth="1"/>
    <col min="14856" max="14856" width="1.5703125" style="1158" customWidth="1"/>
    <col min="14857" max="14857" width="20.5703125" style="1158" customWidth="1"/>
    <col min="14858" max="14858" width="2.5703125" style="1158" customWidth="1"/>
    <col min="14859" max="14859" width="10.5703125" style="1158" customWidth="1"/>
    <col min="14860" max="14860" width="1.5703125" style="1158" customWidth="1"/>
    <col min="14861" max="14861" width="10.5703125" style="1158" customWidth="1"/>
    <col min="14862" max="14862" width="1.5703125" style="1158" customWidth="1"/>
    <col min="14863" max="14863" width="12.5703125" style="1158" customWidth="1"/>
    <col min="14864" max="14864" width="1.5703125" style="1158" customWidth="1"/>
    <col min="14865" max="14865" width="22.5703125" style="1158" customWidth="1"/>
    <col min="14866" max="14866" width="4.5703125" style="1158" customWidth="1"/>
    <col min="14867" max="14880" width="0" style="1158" hidden="1" customWidth="1"/>
    <col min="14881" max="15105" width="9.42578125" style="1158"/>
    <col min="15106" max="15106" width="0" style="1158" hidden="1" customWidth="1"/>
    <col min="15107" max="15107" width="11.42578125" style="1158" customWidth="1"/>
    <col min="15108" max="15108" width="1.5703125" style="1158" customWidth="1"/>
    <col min="15109" max="15109" width="7.42578125" style="1158" bestFit="1" customWidth="1"/>
    <col min="15110" max="15110" width="1.5703125" style="1158" customWidth="1"/>
    <col min="15111" max="15111" width="12.5703125" style="1158" customWidth="1"/>
    <col min="15112" max="15112" width="1.5703125" style="1158" customWidth="1"/>
    <col min="15113" max="15113" width="20.5703125" style="1158" customWidth="1"/>
    <col min="15114" max="15114" width="2.5703125" style="1158" customWidth="1"/>
    <col min="15115" max="15115" width="10.5703125" style="1158" customWidth="1"/>
    <col min="15116" max="15116" width="1.5703125" style="1158" customWidth="1"/>
    <col min="15117" max="15117" width="10.5703125" style="1158" customWidth="1"/>
    <col min="15118" max="15118" width="1.5703125" style="1158" customWidth="1"/>
    <col min="15119" max="15119" width="12.5703125" style="1158" customWidth="1"/>
    <col min="15120" max="15120" width="1.5703125" style="1158" customWidth="1"/>
    <col min="15121" max="15121" width="22.5703125" style="1158" customWidth="1"/>
    <col min="15122" max="15122" width="4.5703125" style="1158" customWidth="1"/>
    <col min="15123" max="15136" width="0" style="1158" hidden="1" customWidth="1"/>
    <col min="15137" max="15361" width="9.42578125" style="1158"/>
    <col min="15362" max="15362" width="0" style="1158" hidden="1" customWidth="1"/>
    <col min="15363" max="15363" width="11.42578125" style="1158" customWidth="1"/>
    <col min="15364" max="15364" width="1.5703125" style="1158" customWidth="1"/>
    <col min="15365" max="15365" width="7.42578125" style="1158" bestFit="1" customWidth="1"/>
    <col min="15366" max="15366" width="1.5703125" style="1158" customWidth="1"/>
    <col min="15367" max="15367" width="12.5703125" style="1158" customWidth="1"/>
    <col min="15368" max="15368" width="1.5703125" style="1158" customWidth="1"/>
    <col min="15369" max="15369" width="20.5703125" style="1158" customWidth="1"/>
    <col min="15370" max="15370" width="2.5703125" style="1158" customWidth="1"/>
    <col min="15371" max="15371" width="10.5703125" style="1158" customWidth="1"/>
    <col min="15372" max="15372" width="1.5703125" style="1158" customWidth="1"/>
    <col min="15373" max="15373" width="10.5703125" style="1158" customWidth="1"/>
    <col min="15374" max="15374" width="1.5703125" style="1158" customWidth="1"/>
    <col min="15375" max="15375" width="12.5703125" style="1158" customWidth="1"/>
    <col min="15376" max="15376" width="1.5703125" style="1158" customWidth="1"/>
    <col min="15377" max="15377" width="22.5703125" style="1158" customWidth="1"/>
    <col min="15378" max="15378" width="4.5703125" style="1158" customWidth="1"/>
    <col min="15379" max="15392" width="0" style="1158" hidden="1" customWidth="1"/>
    <col min="15393" max="15617" width="9.42578125" style="1158"/>
    <col min="15618" max="15618" width="0" style="1158" hidden="1" customWidth="1"/>
    <col min="15619" max="15619" width="11.42578125" style="1158" customWidth="1"/>
    <col min="15620" max="15620" width="1.5703125" style="1158" customWidth="1"/>
    <col min="15621" max="15621" width="7.42578125" style="1158" bestFit="1" customWidth="1"/>
    <col min="15622" max="15622" width="1.5703125" style="1158" customWidth="1"/>
    <col min="15623" max="15623" width="12.5703125" style="1158" customWidth="1"/>
    <col min="15624" max="15624" width="1.5703125" style="1158" customWidth="1"/>
    <col min="15625" max="15625" width="20.5703125" style="1158" customWidth="1"/>
    <col min="15626" max="15626" width="2.5703125" style="1158" customWidth="1"/>
    <col min="15627" max="15627" width="10.5703125" style="1158" customWidth="1"/>
    <col min="15628" max="15628" width="1.5703125" style="1158" customWidth="1"/>
    <col min="15629" max="15629" width="10.5703125" style="1158" customWidth="1"/>
    <col min="15630" max="15630" width="1.5703125" style="1158" customWidth="1"/>
    <col min="15631" max="15631" width="12.5703125" style="1158" customWidth="1"/>
    <col min="15632" max="15632" width="1.5703125" style="1158" customWidth="1"/>
    <col min="15633" max="15633" width="22.5703125" style="1158" customWidth="1"/>
    <col min="15634" max="15634" width="4.5703125" style="1158" customWidth="1"/>
    <col min="15635" max="15648" width="0" style="1158" hidden="1" customWidth="1"/>
    <col min="15649" max="15873" width="9.42578125" style="1158"/>
    <col min="15874" max="15874" width="0" style="1158" hidden="1" customWidth="1"/>
    <col min="15875" max="15875" width="11.42578125" style="1158" customWidth="1"/>
    <col min="15876" max="15876" width="1.5703125" style="1158" customWidth="1"/>
    <col min="15877" max="15877" width="7.42578125" style="1158" bestFit="1" customWidth="1"/>
    <col min="15878" max="15878" width="1.5703125" style="1158" customWidth="1"/>
    <col min="15879" max="15879" width="12.5703125" style="1158" customWidth="1"/>
    <col min="15880" max="15880" width="1.5703125" style="1158" customWidth="1"/>
    <col min="15881" max="15881" width="20.5703125" style="1158" customWidth="1"/>
    <col min="15882" max="15882" width="2.5703125" style="1158" customWidth="1"/>
    <col min="15883" max="15883" width="10.5703125" style="1158" customWidth="1"/>
    <col min="15884" max="15884" width="1.5703125" style="1158" customWidth="1"/>
    <col min="15885" max="15885" width="10.5703125" style="1158" customWidth="1"/>
    <col min="15886" max="15886" width="1.5703125" style="1158" customWidth="1"/>
    <col min="15887" max="15887" width="12.5703125" style="1158" customWidth="1"/>
    <col min="15888" max="15888" width="1.5703125" style="1158" customWidth="1"/>
    <col min="15889" max="15889" width="22.5703125" style="1158" customWidth="1"/>
    <col min="15890" max="15890" width="4.5703125" style="1158" customWidth="1"/>
    <col min="15891" max="15904" width="0" style="1158" hidden="1" customWidth="1"/>
    <col min="15905" max="16129" width="9.42578125" style="1158"/>
    <col min="16130" max="16130" width="0" style="1158" hidden="1" customWidth="1"/>
    <col min="16131" max="16131" width="11.42578125" style="1158" customWidth="1"/>
    <col min="16132" max="16132" width="1.5703125" style="1158" customWidth="1"/>
    <col min="16133" max="16133" width="7.42578125" style="1158" bestFit="1" customWidth="1"/>
    <col min="16134" max="16134" width="1.5703125" style="1158" customWidth="1"/>
    <col min="16135" max="16135" width="12.5703125" style="1158" customWidth="1"/>
    <col min="16136" max="16136" width="1.5703125" style="1158" customWidth="1"/>
    <col min="16137" max="16137" width="20.5703125" style="1158" customWidth="1"/>
    <col min="16138" max="16138" width="2.5703125" style="1158" customWidth="1"/>
    <col min="16139" max="16139" width="10.5703125" style="1158" customWidth="1"/>
    <col min="16140" max="16140" width="1.5703125" style="1158" customWidth="1"/>
    <col min="16141" max="16141" width="10.5703125" style="1158" customWidth="1"/>
    <col min="16142" max="16142" width="1.5703125" style="1158" customWidth="1"/>
    <col min="16143" max="16143" width="12.5703125" style="1158" customWidth="1"/>
    <col min="16144" max="16144" width="1.5703125" style="1158" customWidth="1"/>
    <col min="16145" max="16145" width="22.5703125" style="1158" customWidth="1"/>
    <col min="16146" max="16146" width="4.5703125" style="1158" customWidth="1"/>
    <col min="16147" max="16160" width="0" style="1158" hidden="1" customWidth="1"/>
    <col min="16161" max="16384" width="9.42578125" style="1158"/>
  </cols>
  <sheetData>
    <row r="1" spans="2:37" ht="15" customHeight="1" x14ac:dyDescent="0.25">
      <c r="B1" s="2757" t="str">
        <f>Index!A1</f>
        <v xml:space="preserve">                                                               Office of the State Controller                                                                </v>
      </c>
      <c r="C1" s="2757"/>
      <c r="D1" s="2757"/>
      <c r="E1" s="2757"/>
      <c r="F1" s="2757"/>
      <c r="G1" s="2757"/>
      <c r="H1" s="2757"/>
      <c r="I1" s="2757"/>
      <c r="J1" s="2757"/>
      <c r="K1" s="2757"/>
      <c r="L1" s="2757"/>
      <c r="M1" s="2757"/>
      <c r="N1" s="2757"/>
      <c r="O1" s="2757"/>
      <c r="P1" s="2757"/>
      <c r="Q1" s="2757"/>
      <c r="R1" s="2757"/>
      <c r="S1" s="2241"/>
      <c r="T1" s="2241"/>
      <c r="U1" s="2241"/>
      <c r="V1" s="2241"/>
      <c r="W1" s="2241"/>
      <c r="X1" s="2241"/>
      <c r="Y1" s="2241"/>
      <c r="Z1" s="2241"/>
      <c r="AA1" s="2241"/>
      <c r="AB1" s="2241"/>
      <c r="AC1" s="2241"/>
      <c r="AD1" s="2241"/>
      <c r="AK1" s="2520" t="str">
        <f>IF(Index!$B$78="na","NA","")</f>
        <v/>
      </c>
    </row>
    <row r="2" spans="2:37" ht="15" customHeight="1" x14ac:dyDescent="0.25">
      <c r="B2" s="2754" t="str">
        <f>Index!A2</f>
        <v>2023 ACFR Worksheets</v>
      </c>
      <c r="C2" s="2754"/>
      <c r="D2" s="2754"/>
      <c r="E2" s="2754"/>
      <c r="F2" s="2754"/>
      <c r="G2" s="2754"/>
      <c r="H2" s="2754"/>
      <c r="I2" s="2754"/>
      <c r="J2" s="2754"/>
      <c r="K2" s="2754"/>
      <c r="L2" s="2754"/>
      <c r="M2" s="2754"/>
      <c r="N2" s="2754"/>
      <c r="O2" s="2754"/>
      <c r="P2" s="2754"/>
      <c r="Q2" s="2754"/>
      <c r="R2" s="2754"/>
      <c r="S2" s="2241"/>
      <c r="T2" s="2241"/>
      <c r="U2" s="2241"/>
      <c r="V2" s="2241"/>
      <c r="W2" s="2241"/>
      <c r="X2" s="2241"/>
      <c r="Y2" s="2241"/>
      <c r="Z2" s="2241"/>
      <c r="AA2" s="2241"/>
      <c r="AB2" s="2241"/>
      <c r="AC2" s="2241"/>
      <c r="AD2" s="2241"/>
      <c r="AK2" s="2520"/>
    </row>
    <row r="3" spans="2:37" ht="15" customHeight="1" x14ac:dyDescent="0.25">
      <c r="B3" s="2755" t="s">
        <v>1929</v>
      </c>
      <c r="C3" s="2755"/>
      <c r="D3" s="2755"/>
      <c r="E3" s="2755"/>
      <c r="F3" s="2755"/>
      <c r="G3" s="2755"/>
      <c r="H3" s="2755"/>
      <c r="I3" s="2755"/>
      <c r="J3" s="2755"/>
      <c r="K3" s="2755"/>
      <c r="L3" s="2755"/>
      <c r="M3" s="2755"/>
      <c r="N3" s="2755"/>
      <c r="O3" s="2755"/>
      <c r="P3" s="2755"/>
      <c r="Q3" s="2755"/>
      <c r="R3" s="2755"/>
      <c r="S3" s="2241"/>
      <c r="T3" s="2241"/>
      <c r="U3" s="2241"/>
      <c r="V3" s="2241"/>
      <c r="W3" s="2241"/>
      <c r="X3" s="2241"/>
      <c r="Y3" s="2241"/>
      <c r="Z3" s="2241"/>
      <c r="AA3" s="2241"/>
      <c r="AB3" s="2241"/>
      <c r="AC3" s="2241"/>
      <c r="AD3" s="2241"/>
      <c r="AK3" s="2520"/>
    </row>
    <row r="4" spans="2:37" ht="15" customHeight="1" x14ac:dyDescent="0.25">
      <c r="B4" s="1159"/>
      <c r="C4" s="1160"/>
      <c r="D4" s="1160"/>
      <c r="E4" s="1160"/>
      <c r="F4" s="1160"/>
      <c r="G4" s="1160"/>
      <c r="H4" s="1160"/>
      <c r="I4" s="1159"/>
      <c r="J4" s="1160"/>
      <c r="K4" s="1160"/>
      <c r="L4" s="1160"/>
      <c r="M4" s="1160"/>
      <c r="N4" s="1160"/>
      <c r="O4" s="1161"/>
      <c r="P4" s="1160"/>
      <c r="Q4" s="1160"/>
      <c r="R4" s="1162" t="s">
        <v>1592</v>
      </c>
      <c r="S4" s="2241"/>
      <c r="T4" s="2241"/>
      <c r="U4" s="2241"/>
      <c r="V4" s="2241"/>
      <c r="W4" s="2241"/>
      <c r="X4" s="2241"/>
      <c r="Y4" s="2241"/>
      <c r="Z4" s="2241"/>
      <c r="AA4" s="2241"/>
      <c r="AB4" s="2241"/>
      <c r="AC4" s="2241"/>
      <c r="AD4" s="2241"/>
    </row>
    <row r="5" spans="2:37" s="1153" customFormat="1" ht="15" customHeight="1" x14ac:dyDescent="0.2">
      <c r="B5" s="2320" t="s">
        <v>1930</v>
      </c>
      <c r="C5" s="1163"/>
      <c r="D5" s="1163"/>
      <c r="E5" s="2759" t="str">
        <f>AgyIdx</f>
        <v>01</v>
      </c>
      <c r="F5" s="2759"/>
      <c r="G5" s="2759"/>
      <c r="H5" s="2759"/>
      <c r="I5" s="2759"/>
      <c r="J5" s="2759"/>
      <c r="K5" s="1164"/>
      <c r="L5" s="2320" t="s">
        <v>1931</v>
      </c>
      <c r="M5" s="1163"/>
      <c r="N5" s="1163"/>
      <c r="O5" s="2756" t="str">
        <f>CONCATENATE(Index!$E$12," ",Index!$E$14)</f>
        <v xml:space="preserve"> </v>
      </c>
      <c r="P5" s="2756"/>
      <c r="Q5" s="2756"/>
      <c r="R5" s="2756"/>
      <c r="S5" s="2756"/>
      <c r="T5" s="2756"/>
      <c r="U5" s="2756"/>
      <c r="V5" s="2756"/>
    </row>
    <row r="6" spans="2:37" s="1153" customFormat="1" ht="15" customHeight="1" x14ac:dyDescent="0.2">
      <c r="B6" s="2320" t="s">
        <v>1932</v>
      </c>
      <c r="C6" s="1163"/>
      <c r="D6" s="1163"/>
      <c r="E6" s="2782" t="str">
        <f>AgyName</f>
        <v>North Carolina General Assembly</v>
      </c>
      <c r="F6" s="2782"/>
      <c r="G6" s="2782"/>
      <c r="H6" s="2782"/>
      <c r="I6" s="2782"/>
      <c r="J6" s="2782"/>
      <c r="K6" s="1163"/>
      <c r="L6" s="2320" t="s">
        <v>1933</v>
      </c>
      <c r="M6" s="1163"/>
      <c r="N6" s="1163"/>
      <c r="O6" s="2766">
        <f>Index!E13</f>
        <v>0</v>
      </c>
      <c r="P6" s="2766"/>
      <c r="Q6" s="2766"/>
      <c r="R6" s="2766"/>
      <c r="S6" s="1165"/>
      <c r="T6" s="1165"/>
      <c r="U6" s="1165"/>
      <c r="V6" s="1165"/>
    </row>
    <row r="7" spans="2:37" s="1153" customFormat="1" ht="15" customHeight="1" x14ac:dyDescent="0.2">
      <c r="B7" s="2320" t="s">
        <v>1934</v>
      </c>
      <c r="C7" s="1163"/>
      <c r="D7" s="1166"/>
      <c r="E7" s="2765" t="s">
        <v>754</v>
      </c>
      <c r="F7" s="2765"/>
      <c r="G7" s="2765"/>
      <c r="H7" s="2765"/>
      <c r="I7" s="2765"/>
      <c r="J7" s="2765"/>
      <c r="K7" s="1163"/>
      <c r="L7" s="1167"/>
      <c r="M7" s="1167"/>
      <c r="N7" s="1167"/>
      <c r="O7" s="1167"/>
      <c r="P7" s="1167"/>
      <c r="Q7" s="1167"/>
      <c r="R7" s="1163"/>
      <c r="S7" s="1163"/>
      <c r="T7" s="1163"/>
      <c r="U7" s="1163"/>
      <c r="V7" s="1163"/>
    </row>
    <row r="8" spans="2:37" s="1153" customFormat="1" ht="15" customHeight="1" thickBot="1" x14ac:dyDescent="0.25">
      <c r="B8" s="1168"/>
      <c r="C8" s="1168"/>
      <c r="D8" s="1168"/>
      <c r="E8" s="1168"/>
      <c r="F8" s="1168"/>
      <c r="G8" s="1168"/>
      <c r="H8" s="1168"/>
      <c r="I8" s="1169"/>
      <c r="J8" s="1168"/>
      <c r="K8" s="1168"/>
      <c r="L8" s="1168"/>
      <c r="M8" s="1168"/>
      <c r="N8" s="1168"/>
      <c r="O8" s="1168"/>
      <c r="P8" s="1168"/>
      <c r="Q8" s="1168"/>
      <c r="R8" s="1168"/>
      <c r="S8" s="1163"/>
      <c r="T8" s="1163"/>
      <c r="U8" s="1163"/>
      <c r="V8" s="1163"/>
    </row>
    <row r="9" spans="2:37" s="1153" customFormat="1" ht="15" customHeight="1" x14ac:dyDescent="0.2">
      <c r="B9" s="1163"/>
      <c r="C9" s="1163"/>
      <c r="D9" s="1163"/>
      <c r="E9" s="1163"/>
      <c r="F9" s="1163"/>
      <c r="G9" s="1163"/>
      <c r="H9" s="1163"/>
      <c r="I9" s="1170"/>
      <c r="J9" s="1163"/>
      <c r="K9" s="1163"/>
      <c r="L9" s="1163"/>
      <c r="M9" s="1163"/>
      <c r="N9" s="1163"/>
      <c r="O9" s="1163"/>
      <c r="P9" s="1163"/>
      <c r="Q9" s="1163"/>
      <c r="R9" s="1163"/>
      <c r="S9" s="1163"/>
      <c r="T9" s="1163"/>
      <c r="U9" s="1163"/>
      <c r="V9" s="1163"/>
    </row>
    <row r="10" spans="2:37" s="1153" customFormat="1" ht="15" customHeight="1" thickBot="1" x14ac:dyDescent="0.25">
      <c r="B10" s="2761" t="s">
        <v>1935</v>
      </c>
      <c r="C10" s="2761"/>
      <c r="D10" s="2761"/>
      <c r="E10" s="2761"/>
      <c r="F10" s="2761"/>
      <c r="G10" s="2761"/>
      <c r="H10" s="2761"/>
      <c r="I10" s="1170"/>
      <c r="J10" s="2761" t="s">
        <v>1936</v>
      </c>
      <c r="K10" s="2761"/>
      <c r="L10" s="2761"/>
      <c r="M10" s="2761"/>
      <c r="N10" s="2761"/>
      <c r="O10" s="2761"/>
      <c r="P10" s="2761"/>
      <c r="Q10" s="1171"/>
      <c r="R10" s="1163"/>
      <c r="S10" s="1163"/>
      <c r="T10" s="1163"/>
      <c r="U10" s="1163"/>
      <c r="V10" s="1163"/>
    </row>
    <row r="11" spans="2:37" s="1153" customFormat="1" ht="15" customHeight="1" x14ac:dyDescent="0.2">
      <c r="B11" s="1163"/>
      <c r="C11" s="1163"/>
      <c r="D11" s="1163"/>
      <c r="E11" s="1163"/>
      <c r="F11" s="1171" t="s">
        <v>1823</v>
      </c>
      <c r="G11" s="1163"/>
      <c r="H11" s="1163"/>
      <c r="I11" s="1171"/>
      <c r="J11" s="1163"/>
      <c r="K11" s="1163"/>
      <c r="L11" s="1163"/>
      <c r="M11" s="1163"/>
      <c r="N11" s="1171" t="s">
        <v>1825</v>
      </c>
      <c r="O11" s="1163"/>
      <c r="P11" s="1163"/>
      <c r="Q11" s="1163"/>
      <c r="R11" s="1163"/>
      <c r="S11" s="1163"/>
      <c r="T11" s="1163"/>
      <c r="U11" s="1163"/>
      <c r="V11" s="1163"/>
    </row>
    <row r="12" spans="2:37" s="1153" customFormat="1" ht="15" customHeight="1" x14ac:dyDescent="0.2">
      <c r="B12" s="1172" t="s">
        <v>1879</v>
      </c>
      <c r="C12" s="1163"/>
      <c r="D12" s="1172" t="s">
        <v>1596</v>
      </c>
      <c r="E12" s="1163"/>
      <c r="F12" s="1171" t="s">
        <v>748</v>
      </c>
      <c r="G12" s="1163"/>
      <c r="H12" s="1163"/>
      <c r="I12" s="1171"/>
      <c r="J12" s="1171" t="s">
        <v>1879</v>
      </c>
      <c r="K12" s="1163"/>
      <c r="L12" s="1171" t="s">
        <v>1596</v>
      </c>
      <c r="M12" s="1163"/>
      <c r="N12" s="1171" t="s">
        <v>748</v>
      </c>
      <c r="O12" s="1163"/>
      <c r="P12" s="1163"/>
      <c r="Q12" s="1163"/>
      <c r="R12" s="1163"/>
      <c r="S12" s="1163"/>
      <c r="T12" s="1163"/>
      <c r="U12" s="1163"/>
      <c r="V12" s="1163"/>
    </row>
    <row r="13" spans="2:37" s="1153" customFormat="1" ht="15" customHeight="1" thickBot="1" x14ac:dyDescent="0.25">
      <c r="B13" s="2318" t="s">
        <v>1880</v>
      </c>
      <c r="C13" s="1171"/>
      <c r="D13" s="2318" t="s">
        <v>1880</v>
      </c>
      <c r="E13" s="1171"/>
      <c r="F13" s="2318" t="s">
        <v>1880</v>
      </c>
      <c r="G13" s="1163"/>
      <c r="H13" s="2318" t="s">
        <v>1347</v>
      </c>
      <c r="I13" s="1171"/>
      <c r="J13" s="2318" t="s">
        <v>1880</v>
      </c>
      <c r="K13" s="1171"/>
      <c r="L13" s="2318" t="s">
        <v>1880</v>
      </c>
      <c r="M13" s="1171"/>
      <c r="N13" s="2318" t="s">
        <v>1880</v>
      </c>
      <c r="O13" s="1163"/>
      <c r="P13" s="2318" t="s">
        <v>1347</v>
      </c>
      <c r="Q13" s="1171"/>
      <c r="R13" s="2318" t="s">
        <v>1937</v>
      </c>
      <c r="S13" s="1171"/>
      <c r="T13" s="1171"/>
      <c r="U13" s="1171"/>
      <c r="V13" s="1171"/>
      <c r="W13" s="1173"/>
      <c r="X13" s="1173"/>
      <c r="Y13" s="1173"/>
      <c r="Z13" s="1173"/>
      <c r="AA13" s="1173"/>
      <c r="AB13" s="1173"/>
      <c r="AC13" s="1173"/>
      <c r="AD13" s="1173"/>
    </row>
    <row r="14" spans="2:37" s="1153" customFormat="1" ht="15" customHeight="1" x14ac:dyDescent="0.2">
      <c r="B14" s="1174"/>
      <c r="C14" s="1175"/>
      <c r="D14" s="1176"/>
      <c r="E14" s="1175"/>
      <c r="F14" s="1176"/>
      <c r="G14" s="1175"/>
      <c r="H14" s="1177"/>
      <c r="I14" s="1163"/>
      <c r="J14" s="1178"/>
      <c r="K14" s="1179"/>
      <c r="L14" s="1176"/>
      <c r="M14" s="1175"/>
      <c r="N14" s="1176"/>
      <c r="O14" s="1163"/>
      <c r="P14" s="1177"/>
      <c r="Q14" s="1180"/>
      <c r="R14" s="1258"/>
      <c r="S14" s="1142" t="b">
        <f>IF(OR(T14=0,T14=4),TRUE, FALSE)</f>
        <v>1</v>
      </c>
      <c r="T14" s="1142">
        <f>COUNTIF(U14:X14,FALSE)</f>
        <v>0</v>
      </c>
      <c r="U14" s="1143" t="b">
        <f>ISBLANK(B14)</f>
        <v>1</v>
      </c>
      <c r="V14" s="1143" t="b">
        <f>ISBLANK(D14)</f>
        <v>1</v>
      </c>
      <c r="W14" s="1143" t="b">
        <f>ISBLANK(F14)</f>
        <v>1</v>
      </c>
      <c r="X14" s="1143" t="b">
        <f>ISBLANK(H14)</f>
        <v>1</v>
      </c>
      <c r="Y14" s="1142" t="b">
        <f>IF(OR(Z14=0,Z14=4),TRUE, FALSE)</f>
        <v>1</v>
      </c>
      <c r="Z14" s="1142">
        <f>COUNTIF(AA14:AD14,FALSE)</f>
        <v>0</v>
      </c>
      <c r="AA14" s="1143" t="b">
        <f>ISBLANK(J14)</f>
        <v>1</v>
      </c>
      <c r="AB14" s="1143" t="b">
        <f>ISBLANK(L14)</f>
        <v>1</v>
      </c>
      <c r="AC14" s="1143" t="b">
        <f>ISBLANK(N14)</f>
        <v>1</v>
      </c>
      <c r="AD14" s="1143" t="b">
        <f>ISBLANK(P14)</f>
        <v>1</v>
      </c>
      <c r="AE14" s="1144" t="b">
        <f>IF(ISBLANK(F14),TRUE,VALUE(LEFT(F14,4))=4381)</f>
        <v>1</v>
      </c>
      <c r="AF14" s="1144" t="b">
        <f>IF(ISBLANK(N14),TRUE,VALUE(LEFT(N14,4))=5381)</f>
        <v>1</v>
      </c>
    </row>
    <row r="15" spans="2:37" s="1153" customFormat="1" ht="15" customHeight="1" x14ac:dyDescent="0.2">
      <c r="B15" s="1174"/>
      <c r="C15" s="1175"/>
      <c r="D15" s="1176"/>
      <c r="E15" s="1175"/>
      <c r="F15" s="1176"/>
      <c r="G15" s="1175"/>
      <c r="H15" s="1177"/>
      <c r="I15" s="1163"/>
      <c r="J15" s="1178"/>
      <c r="K15" s="1179"/>
      <c r="L15" s="1176"/>
      <c r="M15" s="1175"/>
      <c r="N15" s="1176"/>
      <c r="O15" s="1163"/>
      <c r="P15" s="1177"/>
      <c r="Q15" s="1180"/>
      <c r="R15" s="1258"/>
      <c r="S15" s="1142" t="b">
        <f t="shared" ref="S15:S28" si="0">IF(OR(T15=0,T15=4),TRUE, FALSE)</f>
        <v>1</v>
      </c>
      <c r="T15" s="1142">
        <f t="shared" ref="T15:T28" si="1">COUNTIF(U15:X15,FALSE)</f>
        <v>0</v>
      </c>
      <c r="U15" s="1143" t="b">
        <f t="shared" ref="U15:U28" si="2">ISBLANK(B15)</f>
        <v>1</v>
      </c>
      <c r="V15" s="1143" t="b">
        <f t="shared" ref="V15:V28" si="3">ISBLANK(D15)</f>
        <v>1</v>
      </c>
      <c r="W15" s="1143" t="b">
        <f t="shared" ref="W15:W28" si="4">ISBLANK(F15)</f>
        <v>1</v>
      </c>
      <c r="X15" s="1143" t="b">
        <f t="shared" ref="X15:X28" si="5">ISBLANK(H15)</f>
        <v>1</v>
      </c>
      <c r="Y15" s="1142" t="b">
        <f t="shared" ref="Y15:Y28" si="6">IF(OR(Z15=0,Z15=4),TRUE, FALSE)</f>
        <v>1</v>
      </c>
      <c r="Z15" s="1142">
        <f t="shared" ref="Z15:Z28" si="7">COUNTIF(AA15:AD15,FALSE)</f>
        <v>0</v>
      </c>
      <c r="AA15" s="1143" t="b">
        <f t="shared" ref="AA15:AA28" si="8">ISBLANK(J15)</f>
        <v>1</v>
      </c>
      <c r="AB15" s="1143" t="b">
        <f t="shared" ref="AB15:AB28" si="9">ISBLANK(L15)</f>
        <v>1</v>
      </c>
      <c r="AC15" s="1143" t="b">
        <f t="shared" ref="AC15:AC28" si="10">ISBLANK(N15)</f>
        <v>1</v>
      </c>
      <c r="AD15" s="1143" t="b">
        <f t="shared" ref="AD15:AD28" si="11">ISBLANK(P15)</f>
        <v>1</v>
      </c>
      <c r="AE15" s="1144" t="b">
        <f t="shared" ref="AE15:AE28" si="12">IF(ISBLANK(F15),TRUE,VALUE(LEFT(F15,4))=4381)</f>
        <v>1</v>
      </c>
      <c r="AF15" s="1144" t="b">
        <f t="shared" ref="AF15:AF28" si="13">IF(ISBLANK(N15),TRUE,VALUE(LEFT(N15,4))=5381)</f>
        <v>1</v>
      </c>
    </row>
    <row r="16" spans="2:37" s="1153" customFormat="1" ht="15" customHeight="1" x14ac:dyDescent="0.2">
      <c r="B16" s="1178"/>
      <c r="C16" s="1175"/>
      <c r="D16" s="1176"/>
      <c r="E16" s="1175"/>
      <c r="F16" s="1176"/>
      <c r="G16" s="1175"/>
      <c r="H16" s="1177"/>
      <c r="I16" s="1163"/>
      <c r="J16" s="1178"/>
      <c r="K16" s="1179"/>
      <c r="L16" s="1176"/>
      <c r="M16" s="1175"/>
      <c r="N16" s="1176"/>
      <c r="O16" s="1163"/>
      <c r="P16" s="1177"/>
      <c r="Q16" s="1180"/>
      <c r="R16" s="1258"/>
      <c r="S16" s="1142" t="b">
        <f t="shared" si="0"/>
        <v>1</v>
      </c>
      <c r="T16" s="1142">
        <f t="shared" si="1"/>
        <v>0</v>
      </c>
      <c r="U16" s="1143" t="b">
        <f t="shared" si="2"/>
        <v>1</v>
      </c>
      <c r="V16" s="1143" t="b">
        <f t="shared" si="3"/>
        <v>1</v>
      </c>
      <c r="W16" s="1143" t="b">
        <f t="shared" si="4"/>
        <v>1</v>
      </c>
      <c r="X16" s="1143" t="b">
        <f t="shared" si="5"/>
        <v>1</v>
      </c>
      <c r="Y16" s="1142" t="b">
        <f t="shared" si="6"/>
        <v>1</v>
      </c>
      <c r="Z16" s="1142">
        <f t="shared" si="7"/>
        <v>0</v>
      </c>
      <c r="AA16" s="1143" t="b">
        <f t="shared" si="8"/>
        <v>1</v>
      </c>
      <c r="AB16" s="1143" t="b">
        <f t="shared" si="9"/>
        <v>1</v>
      </c>
      <c r="AC16" s="1143" t="b">
        <f t="shared" si="10"/>
        <v>1</v>
      </c>
      <c r="AD16" s="1143" t="b">
        <f t="shared" si="11"/>
        <v>1</v>
      </c>
      <c r="AE16" s="1144" t="b">
        <f t="shared" si="12"/>
        <v>1</v>
      </c>
      <c r="AF16" s="1144" t="b">
        <f t="shared" si="13"/>
        <v>1</v>
      </c>
    </row>
    <row r="17" spans="2:32" s="1153" customFormat="1" ht="15" customHeight="1" x14ac:dyDescent="0.2">
      <c r="B17" s="1178"/>
      <c r="C17" s="1175"/>
      <c r="D17" s="1176"/>
      <c r="E17" s="1175"/>
      <c r="F17" s="1176"/>
      <c r="G17" s="1175"/>
      <c r="H17" s="1177"/>
      <c r="I17" s="1163"/>
      <c r="J17" s="1178"/>
      <c r="K17" s="1179"/>
      <c r="L17" s="1176"/>
      <c r="M17" s="1175"/>
      <c r="N17" s="1176"/>
      <c r="O17" s="1163"/>
      <c r="P17" s="1177"/>
      <c r="Q17" s="1180"/>
      <c r="R17" s="1258"/>
      <c r="S17" s="1142" t="b">
        <f t="shared" si="0"/>
        <v>1</v>
      </c>
      <c r="T17" s="1142">
        <f t="shared" si="1"/>
        <v>0</v>
      </c>
      <c r="U17" s="1143" t="b">
        <f t="shared" si="2"/>
        <v>1</v>
      </c>
      <c r="V17" s="1143" t="b">
        <f t="shared" si="3"/>
        <v>1</v>
      </c>
      <c r="W17" s="1143" t="b">
        <f t="shared" si="4"/>
        <v>1</v>
      </c>
      <c r="X17" s="1143" t="b">
        <f t="shared" si="5"/>
        <v>1</v>
      </c>
      <c r="Y17" s="1142" t="b">
        <f t="shared" si="6"/>
        <v>1</v>
      </c>
      <c r="Z17" s="1142">
        <f t="shared" si="7"/>
        <v>0</v>
      </c>
      <c r="AA17" s="1143" t="b">
        <f t="shared" si="8"/>
        <v>1</v>
      </c>
      <c r="AB17" s="1143" t="b">
        <f t="shared" si="9"/>
        <v>1</v>
      </c>
      <c r="AC17" s="1143" t="b">
        <f t="shared" si="10"/>
        <v>1</v>
      </c>
      <c r="AD17" s="1143" t="b">
        <f t="shared" si="11"/>
        <v>1</v>
      </c>
      <c r="AE17" s="1144" t="b">
        <f t="shared" si="12"/>
        <v>1</v>
      </c>
      <c r="AF17" s="1144" t="b">
        <f t="shared" si="13"/>
        <v>1</v>
      </c>
    </row>
    <row r="18" spans="2:32" s="1153" customFormat="1" ht="15" customHeight="1" x14ac:dyDescent="0.2">
      <c r="B18" s="1178"/>
      <c r="C18" s="1175"/>
      <c r="D18" s="1176"/>
      <c r="E18" s="1175"/>
      <c r="F18" s="1176"/>
      <c r="G18" s="1175"/>
      <c r="H18" s="1177"/>
      <c r="I18" s="1163"/>
      <c r="J18" s="1178"/>
      <c r="K18" s="1179"/>
      <c r="L18" s="1176"/>
      <c r="M18" s="1175"/>
      <c r="N18" s="1176"/>
      <c r="O18" s="1163"/>
      <c r="P18" s="1177"/>
      <c r="Q18" s="1180"/>
      <c r="R18" s="1258"/>
      <c r="S18" s="1142" t="b">
        <f t="shared" si="0"/>
        <v>1</v>
      </c>
      <c r="T18" s="1142">
        <f t="shared" si="1"/>
        <v>0</v>
      </c>
      <c r="U18" s="1143" t="b">
        <f t="shared" si="2"/>
        <v>1</v>
      </c>
      <c r="V18" s="1143" t="b">
        <f t="shared" si="3"/>
        <v>1</v>
      </c>
      <c r="W18" s="1143" t="b">
        <f t="shared" si="4"/>
        <v>1</v>
      </c>
      <c r="X18" s="1143" t="b">
        <f t="shared" si="5"/>
        <v>1</v>
      </c>
      <c r="Y18" s="1142" t="b">
        <f t="shared" si="6"/>
        <v>1</v>
      </c>
      <c r="Z18" s="1142">
        <f t="shared" si="7"/>
        <v>0</v>
      </c>
      <c r="AA18" s="1143" t="b">
        <f t="shared" si="8"/>
        <v>1</v>
      </c>
      <c r="AB18" s="1143" t="b">
        <f t="shared" si="9"/>
        <v>1</v>
      </c>
      <c r="AC18" s="1143" t="b">
        <f t="shared" si="10"/>
        <v>1</v>
      </c>
      <c r="AD18" s="1143" t="b">
        <f t="shared" si="11"/>
        <v>1</v>
      </c>
      <c r="AE18" s="1144" t="b">
        <f t="shared" si="12"/>
        <v>1</v>
      </c>
      <c r="AF18" s="1144" t="b">
        <f t="shared" si="13"/>
        <v>1</v>
      </c>
    </row>
    <row r="19" spans="2:32" s="1153" customFormat="1" ht="15" customHeight="1" x14ac:dyDescent="0.2">
      <c r="B19" s="1178"/>
      <c r="C19" s="1175"/>
      <c r="D19" s="1176"/>
      <c r="E19" s="1175"/>
      <c r="F19" s="1176"/>
      <c r="G19" s="1175"/>
      <c r="H19" s="1177"/>
      <c r="I19" s="1163"/>
      <c r="J19" s="1178"/>
      <c r="K19" s="1179"/>
      <c r="L19" s="1176"/>
      <c r="M19" s="1175"/>
      <c r="N19" s="1176"/>
      <c r="O19" s="1163"/>
      <c r="P19" s="1177"/>
      <c r="Q19" s="1180"/>
      <c r="R19" s="1258"/>
      <c r="S19" s="1142" t="b">
        <f t="shared" si="0"/>
        <v>1</v>
      </c>
      <c r="T19" s="1142">
        <f t="shared" si="1"/>
        <v>0</v>
      </c>
      <c r="U19" s="1143" t="b">
        <f t="shared" si="2"/>
        <v>1</v>
      </c>
      <c r="V19" s="1143" t="b">
        <f t="shared" si="3"/>
        <v>1</v>
      </c>
      <c r="W19" s="1143" t="b">
        <f t="shared" si="4"/>
        <v>1</v>
      </c>
      <c r="X19" s="1143" t="b">
        <f t="shared" si="5"/>
        <v>1</v>
      </c>
      <c r="Y19" s="1142" t="b">
        <f t="shared" si="6"/>
        <v>1</v>
      </c>
      <c r="Z19" s="1142">
        <f t="shared" si="7"/>
        <v>0</v>
      </c>
      <c r="AA19" s="1143" t="b">
        <f t="shared" si="8"/>
        <v>1</v>
      </c>
      <c r="AB19" s="1143" t="b">
        <f t="shared" si="9"/>
        <v>1</v>
      </c>
      <c r="AC19" s="1143" t="b">
        <f t="shared" si="10"/>
        <v>1</v>
      </c>
      <c r="AD19" s="1143" t="b">
        <f t="shared" si="11"/>
        <v>1</v>
      </c>
      <c r="AE19" s="1144" t="b">
        <f t="shared" si="12"/>
        <v>1</v>
      </c>
      <c r="AF19" s="1144" t="b">
        <f t="shared" si="13"/>
        <v>1</v>
      </c>
    </row>
    <row r="20" spans="2:32" s="1153" customFormat="1" ht="15" customHeight="1" x14ac:dyDescent="0.2">
      <c r="B20" s="1178"/>
      <c r="C20" s="1175"/>
      <c r="D20" s="1176"/>
      <c r="E20" s="1175"/>
      <c r="F20" s="1176"/>
      <c r="G20" s="1175"/>
      <c r="H20" s="1177"/>
      <c r="I20" s="1163"/>
      <c r="J20" s="1178"/>
      <c r="K20" s="1179"/>
      <c r="L20" s="1176"/>
      <c r="M20" s="1175"/>
      <c r="N20" s="1176"/>
      <c r="O20" s="1163"/>
      <c r="P20" s="1177"/>
      <c r="Q20" s="1180"/>
      <c r="R20" s="1258"/>
      <c r="S20" s="1142" t="b">
        <f t="shared" si="0"/>
        <v>1</v>
      </c>
      <c r="T20" s="1142">
        <f t="shared" si="1"/>
        <v>0</v>
      </c>
      <c r="U20" s="1143" t="b">
        <f t="shared" si="2"/>
        <v>1</v>
      </c>
      <c r="V20" s="1143" t="b">
        <f t="shared" si="3"/>
        <v>1</v>
      </c>
      <c r="W20" s="1143" t="b">
        <f t="shared" si="4"/>
        <v>1</v>
      </c>
      <c r="X20" s="1143" t="b">
        <f t="shared" si="5"/>
        <v>1</v>
      </c>
      <c r="Y20" s="1142" t="b">
        <f t="shared" si="6"/>
        <v>1</v>
      </c>
      <c r="Z20" s="1142">
        <f t="shared" si="7"/>
        <v>0</v>
      </c>
      <c r="AA20" s="1143" t="b">
        <f t="shared" si="8"/>
        <v>1</v>
      </c>
      <c r="AB20" s="1143" t="b">
        <f t="shared" si="9"/>
        <v>1</v>
      </c>
      <c r="AC20" s="1143" t="b">
        <f t="shared" si="10"/>
        <v>1</v>
      </c>
      <c r="AD20" s="1143" t="b">
        <f t="shared" si="11"/>
        <v>1</v>
      </c>
      <c r="AE20" s="1144" t="b">
        <f t="shared" si="12"/>
        <v>1</v>
      </c>
      <c r="AF20" s="1144" t="b">
        <f t="shared" si="13"/>
        <v>1</v>
      </c>
    </row>
    <row r="21" spans="2:32" s="1153" customFormat="1" ht="15" customHeight="1" x14ac:dyDescent="0.2">
      <c r="B21" s="1178"/>
      <c r="C21" s="1175"/>
      <c r="D21" s="1176"/>
      <c r="E21" s="1175"/>
      <c r="F21" s="1176"/>
      <c r="G21" s="1175"/>
      <c r="H21" s="1177"/>
      <c r="I21" s="1163"/>
      <c r="J21" s="1178"/>
      <c r="K21" s="1179"/>
      <c r="L21" s="1176"/>
      <c r="M21" s="1175"/>
      <c r="N21" s="1176"/>
      <c r="O21" s="1163"/>
      <c r="P21" s="1177"/>
      <c r="Q21" s="1180"/>
      <c r="R21" s="1258"/>
      <c r="S21" s="1142" t="b">
        <f t="shared" si="0"/>
        <v>1</v>
      </c>
      <c r="T21" s="1142">
        <f t="shared" si="1"/>
        <v>0</v>
      </c>
      <c r="U21" s="1143" t="b">
        <f t="shared" si="2"/>
        <v>1</v>
      </c>
      <c r="V21" s="1143" t="b">
        <f t="shared" si="3"/>
        <v>1</v>
      </c>
      <c r="W21" s="1143" t="b">
        <f t="shared" si="4"/>
        <v>1</v>
      </c>
      <c r="X21" s="1143" t="b">
        <f t="shared" si="5"/>
        <v>1</v>
      </c>
      <c r="Y21" s="1142" t="b">
        <f t="shared" si="6"/>
        <v>1</v>
      </c>
      <c r="Z21" s="1142">
        <f t="shared" si="7"/>
        <v>0</v>
      </c>
      <c r="AA21" s="1143" t="b">
        <f t="shared" si="8"/>
        <v>1</v>
      </c>
      <c r="AB21" s="1143" t="b">
        <f t="shared" si="9"/>
        <v>1</v>
      </c>
      <c r="AC21" s="1143" t="b">
        <f t="shared" si="10"/>
        <v>1</v>
      </c>
      <c r="AD21" s="1143" t="b">
        <f t="shared" si="11"/>
        <v>1</v>
      </c>
      <c r="AE21" s="1144" t="b">
        <f t="shared" si="12"/>
        <v>1</v>
      </c>
      <c r="AF21" s="1144" t="b">
        <f t="shared" si="13"/>
        <v>1</v>
      </c>
    </row>
    <row r="22" spans="2:32" s="1153" customFormat="1" ht="15" customHeight="1" x14ac:dyDescent="0.2">
      <c r="B22" s="1178"/>
      <c r="C22" s="1175"/>
      <c r="D22" s="1176"/>
      <c r="E22" s="1175"/>
      <c r="F22" s="1176"/>
      <c r="G22" s="1175"/>
      <c r="H22" s="1177"/>
      <c r="I22" s="1163"/>
      <c r="J22" s="1178"/>
      <c r="K22" s="1179"/>
      <c r="L22" s="1176"/>
      <c r="M22" s="1175"/>
      <c r="N22" s="1176"/>
      <c r="O22" s="1163"/>
      <c r="P22" s="1177"/>
      <c r="Q22" s="1180"/>
      <c r="R22" s="1258"/>
      <c r="S22" s="1142" t="b">
        <f t="shared" si="0"/>
        <v>1</v>
      </c>
      <c r="T22" s="1142">
        <f t="shared" si="1"/>
        <v>0</v>
      </c>
      <c r="U22" s="1143" t="b">
        <f t="shared" si="2"/>
        <v>1</v>
      </c>
      <c r="V22" s="1143" t="b">
        <f t="shared" si="3"/>
        <v>1</v>
      </c>
      <c r="W22" s="1143" t="b">
        <f t="shared" si="4"/>
        <v>1</v>
      </c>
      <c r="X22" s="1143" t="b">
        <f t="shared" si="5"/>
        <v>1</v>
      </c>
      <c r="Y22" s="1142" t="b">
        <f t="shared" si="6"/>
        <v>1</v>
      </c>
      <c r="Z22" s="1142">
        <f t="shared" si="7"/>
        <v>0</v>
      </c>
      <c r="AA22" s="1143" t="b">
        <f t="shared" si="8"/>
        <v>1</v>
      </c>
      <c r="AB22" s="1143" t="b">
        <f t="shared" si="9"/>
        <v>1</v>
      </c>
      <c r="AC22" s="1143" t="b">
        <f t="shared" si="10"/>
        <v>1</v>
      </c>
      <c r="AD22" s="1143" t="b">
        <f t="shared" si="11"/>
        <v>1</v>
      </c>
      <c r="AE22" s="1144" t="b">
        <f t="shared" si="12"/>
        <v>1</v>
      </c>
      <c r="AF22" s="1144" t="b">
        <f t="shared" si="13"/>
        <v>1</v>
      </c>
    </row>
    <row r="23" spans="2:32" s="1153" customFormat="1" ht="15" customHeight="1" x14ac:dyDescent="0.2">
      <c r="B23" s="1178"/>
      <c r="C23" s="1175"/>
      <c r="D23" s="1176"/>
      <c r="E23" s="1175"/>
      <c r="F23" s="1176"/>
      <c r="G23" s="1175"/>
      <c r="H23" s="1177"/>
      <c r="I23" s="1163"/>
      <c r="J23" s="1178"/>
      <c r="K23" s="1179"/>
      <c r="L23" s="1176"/>
      <c r="M23" s="1175"/>
      <c r="N23" s="1176"/>
      <c r="O23" s="1163"/>
      <c r="P23" s="1177"/>
      <c r="Q23" s="1180"/>
      <c r="R23" s="1258"/>
      <c r="S23" s="1142" t="b">
        <f t="shared" si="0"/>
        <v>1</v>
      </c>
      <c r="T23" s="1142">
        <f t="shared" si="1"/>
        <v>0</v>
      </c>
      <c r="U23" s="1143" t="b">
        <f t="shared" si="2"/>
        <v>1</v>
      </c>
      <c r="V23" s="1143" t="b">
        <f t="shared" si="3"/>
        <v>1</v>
      </c>
      <c r="W23" s="1143" t="b">
        <f t="shared" si="4"/>
        <v>1</v>
      </c>
      <c r="X23" s="1143" t="b">
        <f t="shared" si="5"/>
        <v>1</v>
      </c>
      <c r="Y23" s="1142" t="b">
        <f t="shared" si="6"/>
        <v>1</v>
      </c>
      <c r="Z23" s="1142">
        <f t="shared" si="7"/>
        <v>0</v>
      </c>
      <c r="AA23" s="1143" t="b">
        <f t="shared" si="8"/>
        <v>1</v>
      </c>
      <c r="AB23" s="1143" t="b">
        <f t="shared" si="9"/>
        <v>1</v>
      </c>
      <c r="AC23" s="1143" t="b">
        <f t="shared" si="10"/>
        <v>1</v>
      </c>
      <c r="AD23" s="1143" t="b">
        <f t="shared" si="11"/>
        <v>1</v>
      </c>
      <c r="AE23" s="1144" t="b">
        <f t="shared" si="12"/>
        <v>1</v>
      </c>
      <c r="AF23" s="1144" t="b">
        <f t="shared" si="13"/>
        <v>1</v>
      </c>
    </row>
    <row r="24" spans="2:32" s="1153" customFormat="1" ht="15" customHeight="1" x14ac:dyDescent="0.2">
      <c r="B24" s="1178"/>
      <c r="C24" s="1175"/>
      <c r="D24" s="1176"/>
      <c r="E24" s="1175"/>
      <c r="F24" s="1176"/>
      <c r="G24" s="1175"/>
      <c r="H24" s="1177"/>
      <c r="I24" s="1163"/>
      <c r="J24" s="1178"/>
      <c r="K24" s="1179"/>
      <c r="L24" s="1176"/>
      <c r="M24" s="1175"/>
      <c r="N24" s="1176"/>
      <c r="O24" s="1163"/>
      <c r="P24" s="1177"/>
      <c r="Q24" s="1180"/>
      <c r="R24" s="1258"/>
      <c r="S24" s="1142" t="b">
        <f t="shared" si="0"/>
        <v>1</v>
      </c>
      <c r="T24" s="1142">
        <f t="shared" si="1"/>
        <v>0</v>
      </c>
      <c r="U24" s="1143" t="b">
        <f t="shared" si="2"/>
        <v>1</v>
      </c>
      <c r="V24" s="1143" t="b">
        <f t="shared" si="3"/>
        <v>1</v>
      </c>
      <c r="W24" s="1143" t="b">
        <f t="shared" si="4"/>
        <v>1</v>
      </c>
      <c r="X24" s="1143" t="b">
        <f t="shared" si="5"/>
        <v>1</v>
      </c>
      <c r="Y24" s="1142" t="b">
        <f t="shared" si="6"/>
        <v>1</v>
      </c>
      <c r="Z24" s="1142">
        <f t="shared" si="7"/>
        <v>0</v>
      </c>
      <c r="AA24" s="1143" t="b">
        <f t="shared" si="8"/>
        <v>1</v>
      </c>
      <c r="AB24" s="1143" t="b">
        <f t="shared" si="9"/>
        <v>1</v>
      </c>
      <c r="AC24" s="1143" t="b">
        <f t="shared" si="10"/>
        <v>1</v>
      </c>
      <c r="AD24" s="1143" t="b">
        <f t="shared" si="11"/>
        <v>1</v>
      </c>
      <c r="AE24" s="1144" t="b">
        <f t="shared" si="12"/>
        <v>1</v>
      </c>
      <c r="AF24" s="1144" t="b">
        <f t="shared" si="13"/>
        <v>1</v>
      </c>
    </row>
    <row r="25" spans="2:32" s="1153" customFormat="1" ht="15" customHeight="1" x14ac:dyDescent="0.2">
      <c r="B25" s="1178"/>
      <c r="C25" s="1175"/>
      <c r="D25" s="1176"/>
      <c r="E25" s="1175"/>
      <c r="F25" s="1176"/>
      <c r="G25" s="1175"/>
      <c r="H25" s="1177"/>
      <c r="I25" s="1163"/>
      <c r="J25" s="1178"/>
      <c r="K25" s="1179"/>
      <c r="L25" s="1176"/>
      <c r="M25" s="1175"/>
      <c r="N25" s="1176"/>
      <c r="O25" s="1163"/>
      <c r="P25" s="1177"/>
      <c r="Q25" s="1180"/>
      <c r="R25" s="1258"/>
      <c r="S25" s="1142" t="b">
        <f t="shared" si="0"/>
        <v>1</v>
      </c>
      <c r="T25" s="1142">
        <f t="shared" si="1"/>
        <v>0</v>
      </c>
      <c r="U25" s="1143" t="b">
        <f t="shared" si="2"/>
        <v>1</v>
      </c>
      <c r="V25" s="1143" t="b">
        <f t="shared" si="3"/>
        <v>1</v>
      </c>
      <c r="W25" s="1143" t="b">
        <f t="shared" si="4"/>
        <v>1</v>
      </c>
      <c r="X25" s="1143" t="b">
        <f t="shared" si="5"/>
        <v>1</v>
      </c>
      <c r="Y25" s="1142" t="b">
        <f t="shared" si="6"/>
        <v>1</v>
      </c>
      <c r="Z25" s="1142">
        <f t="shared" si="7"/>
        <v>0</v>
      </c>
      <c r="AA25" s="1143" t="b">
        <f t="shared" si="8"/>
        <v>1</v>
      </c>
      <c r="AB25" s="1143" t="b">
        <f t="shared" si="9"/>
        <v>1</v>
      </c>
      <c r="AC25" s="1143" t="b">
        <f t="shared" si="10"/>
        <v>1</v>
      </c>
      <c r="AD25" s="1143" t="b">
        <f t="shared" si="11"/>
        <v>1</v>
      </c>
      <c r="AE25" s="1144" t="b">
        <f t="shared" si="12"/>
        <v>1</v>
      </c>
      <c r="AF25" s="1144" t="b">
        <f t="shared" si="13"/>
        <v>1</v>
      </c>
    </row>
    <row r="26" spans="2:32" s="1153" customFormat="1" ht="15" customHeight="1" x14ac:dyDescent="0.2">
      <c r="B26" s="1178"/>
      <c r="C26" s="1175"/>
      <c r="D26" s="1176"/>
      <c r="E26" s="1175"/>
      <c r="F26" s="1176"/>
      <c r="G26" s="1175"/>
      <c r="H26" s="1177"/>
      <c r="I26" s="1163"/>
      <c r="J26" s="1178"/>
      <c r="K26" s="1179"/>
      <c r="L26" s="1176"/>
      <c r="M26" s="1175"/>
      <c r="N26" s="1176"/>
      <c r="O26" s="1163"/>
      <c r="P26" s="1177"/>
      <c r="Q26" s="1180"/>
      <c r="R26" s="1258"/>
      <c r="S26" s="1142" t="b">
        <f t="shared" si="0"/>
        <v>1</v>
      </c>
      <c r="T26" s="1142">
        <f t="shared" si="1"/>
        <v>0</v>
      </c>
      <c r="U26" s="1143" t="b">
        <f t="shared" si="2"/>
        <v>1</v>
      </c>
      <c r="V26" s="1143" t="b">
        <f t="shared" si="3"/>
        <v>1</v>
      </c>
      <c r="W26" s="1143" t="b">
        <f t="shared" si="4"/>
        <v>1</v>
      </c>
      <c r="X26" s="1143" t="b">
        <f t="shared" si="5"/>
        <v>1</v>
      </c>
      <c r="Y26" s="1142" t="b">
        <f t="shared" si="6"/>
        <v>1</v>
      </c>
      <c r="Z26" s="1142">
        <f t="shared" si="7"/>
        <v>0</v>
      </c>
      <c r="AA26" s="1143" t="b">
        <f t="shared" si="8"/>
        <v>1</v>
      </c>
      <c r="AB26" s="1143" t="b">
        <f t="shared" si="9"/>
        <v>1</v>
      </c>
      <c r="AC26" s="1143" t="b">
        <f t="shared" si="10"/>
        <v>1</v>
      </c>
      <c r="AD26" s="1143" t="b">
        <f t="shared" si="11"/>
        <v>1</v>
      </c>
      <c r="AE26" s="1144" t="b">
        <f t="shared" si="12"/>
        <v>1</v>
      </c>
      <c r="AF26" s="1144" t="b">
        <f t="shared" si="13"/>
        <v>1</v>
      </c>
    </row>
    <row r="27" spans="2:32" s="1153" customFormat="1" ht="15" customHeight="1" x14ac:dyDescent="0.2">
      <c r="B27" s="1178"/>
      <c r="C27" s="1175"/>
      <c r="D27" s="1176"/>
      <c r="E27" s="1175"/>
      <c r="F27" s="1176"/>
      <c r="G27" s="1175"/>
      <c r="H27" s="1177"/>
      <c r="I27" s="1163"/>
      <c r="J27" s="1178"/>
      <c r="K27" s="1179"/>
      <c r="L27" s="1176"/>
      <c r="M27" s="1175"/>
      <c r="N27" s="1176"/>
      <c r="O27" s="1163"/>
      <c r="P27" s="1177"/>
      <c r="Q27" s="1180"/>
      <c r="R27" s="1258"/>
      <c r="S27" s="1142" t="b">
        <f t="shared" si="0"/>
        <v>1</v>
      </c>
      <c r="T27" s="1142">
        <f t="shared" si="1"/>
        <v>0</v>
      </c>
      <c r="U27" s="1143" t="b">
        <f t="shared" si="2"/>
        <v>1</v>
      </c>
      <c r="V27" s="1143" t="b">
        <f t="shared" si="3"/>
        <v>1</v>
      </c>
      <c r="W27" s="1143" t="b">
        <f t="shared" si="4"/>
        <v>1</v>
      </c>
      <c r="X27" s="1143" t="b">
        <f t="shared" si="5"/>
        <v>1</v>
      </c>
      <c r="Y27" s="1142" t="b">
        <f t="shared" si="6"/>
        <v>1</v>
      </c>
      <c r="Z27" s="1142">
        <f t="shared" si="7"/>
        <v>0</v>
      </c>
      <c r="AA27" s="1143" t="b">
        <f t="shared" si="8"/>
        <v>1</v>
      </c>
      <c r="AB27" s="1143" t="b">
        <f t="shared" si="9"/>
        <v>1</v>
      </c>
      <c r="AC27" s="1143" t="b">
        <f t="shared" si="10"/>
        <v>1</v>
      </c>
      <c r="AD27" s="1143" t="b">
        <f t="shared" si="11"/>
        <v>1</v>
      </c>
      <c r="AE27" s="1144" t="b">
        <f t="shared" si="12"/>
        <v>1</v>
      </c>
      <c r="AF27" s="1144" t="b">
        <f t="shared" si="13"/>
        <v>1</v>
      </c>
    </row>
    <row r="28" spans="2:32" s="1153" customFormat="1" ht="15" customHeight="1" x14ac:dyDescent="0.2">
      <c r="B28" s="1178"/>
      <c r="C28" s="1175"/>
      <c r="D28" s="1176"/>
      <c r="E28" s="1175"/>
      <c r="F28" s="1176"/>
      <c r="G28" s="1175"/>
      <c r="H28" s="1177"/>
      <c r="I28" s="1163"/>
      <c r="J28" s="1178"/>
      <c r="K28" s="1179"/>
      <c r="L28" s="1176"/>
      <c r="M28" s="1175"/>
      <c r="N28" s="1176"/>
      <c r="O28" s="1163"/>
      <c r="P28" s="1177"/>
      <c r="Q28" s="1180"/>
      <c r="R28" s="1258"/>
      <c r="S28" s="1142" t="b">
        <f t="shared" si="0"/>
        <v>1</v>
      </c>
      <c r="T28" s="1142">
        <f t="shared" si="1"/>
        <v>0</v>
      </c>
      <c r="U28" s="1143" t="b">
        <f t="shared" si="2"/>
        <v>1</v>
      </c>
      <c r="V28" s="1143" t="b">
        <f t="shared" si="3"/>
        <v>1</v>
      </c>
      <c r="W28" s="1143" t="b">
        <f t="shared" si="4"/>
        <v>1</v>
      </c>
      <c r="X28" s="1143" t="b">
        <f t="shared" si="5"/>
        <v>1</v>
      </c>
      <c r="Y28" s="1142" t="b">
        <f t="shared" si="6"/>
        <v>1</v>
      </c>
      <c r="Z28" s="1142">
        <f t="shared" si="7"/>
        <v>0</v>
      </c>
      <c r="AA28" s="1143" t="b">
        <f t="shared" si="8"/>
        <v>1</v>
      </c>
      <c r="AB28" s="1143" t="b">
        <f t="shared" si="9"/>
        <v>1</v>
      </c>
      <c r="AC28" s="1143" t="b">
        <f t="shared" si="10"/>
        <v>1</v>
      </c>
      <c r="AD28" s="1143" t="b">
        <f t="shared" si="11"/>
        <v>1</v>
      </c>
      <c r="AE28" s="1144" t="b">
        <f t="shared" si="12"/>
        <v>1</v>
      </c>
      <c r="AF28" s="1144" t="b">
        <f t="shared" si="13"/>
        <v>1</v>
      </c>
    </row>
    <row r="29" spans="2:32" s="1153" customFormat="1" ht="15" customHeight="1" x14ac:dyDescent="0.2">
      <c r="B29" s="1163"/>
      <c r="C29" s="1163"/>
      <c r="D29" s="1163"/>
      <c r="E29" s="1163"/>
      <c r="F29" s="1171"/>
      <c r="G29" s="1171"/>
      <c r="H29" s="1181"/>
      <c r="I29" s="1163"/>
      <c r="J29" s="1163"/>
      <c r="K29" s="1163"/>
      <c r="L29" s="1163"/>
      <c r="M29" s="1163"/>
      <c r="N29" s="1171"/>
      <c r="O29" s="1171"/>
      <c r="P29" s="1181"/>
      <c r="Q29" s="1181"/>
      <c r="R29" s="1182"/>
      <c r="S29" s="1142">
        <f>COUNTIF(S14:S28,FALSE)</f>
        <v>0</v>
      </c>
      <c r="T29" s="1183"/>
      <c r="U29" s="1183"/>
      <c r="V29" s="1183"/>
      <c r="W29" s="1149"/>
      <c r="X29" s="1149"/>
      <c r="Y29" s="1142">
        <f>COUNTIF(Y14:Y28,FALSE)</f>
        <v>0</v>
      </c>
      <c r="Z29" s="1149"/>
      <c r="AA29" s="1149"/>
      <c r="AB29" s="1149"/>
      <c r="AC29" s="1149"/>
      <c r="AD29" s="1149"/>
      <c r="AE29" s="1149">
        <f>COUNTIF(AE14:AE28,FALSE)</f>
        <v>0</v>
      </c>
      <c r="AF29" s="1149">
        <f>COUNTIF(AF14:AF28,FALSE)</f>
        <v>0</v>
      </c>
    </row>
    <row r="30" spans="2:32" s="1184" customFormat="1" ht="21.75" customHeight="1" x14ac:dyDescent="0.2">
      <c r="F30" s="2780"/>
      <c r="G30" s="2780"/>
      <c r="H30" s="2780"/>
      <c r="M30" s="2781"/>
      <c r="N30" s="2781"/>
      <c r="O30" s="2322"/>
      <c r="P30" s="1185"/>
      <c r="Q30" s="1185"/>
      <c r="R30" s="1149"/>
    </row>
    <row r="31" spans="2:32" ht="20.85" customHeight="1" x14ac:dyDescent="0.25"/>
    <row r="32" spans="2:32" ht="20.85" customHeight="1" x14ac:dyDescent="0.25"/>
    <row r="33" spans="1:30" ht="20.85" customHeight="1" x14ac:dyDescent="0.25">
      <c r="A33" s="445" t="str">
        <f ca="1">MID(CELL("filename",A3),FIND("]",CELL("filename",A3))+1,256)</f>
        <v>560</v>
      </c>
      <c r="B33" s="1186"/>
    </row>
    <row r="34" spans="1:30" ht="20.85" customHeight="1" x14ac:dyDescent="0.25">
      <c r="A34" s="445" t="s">
        <v>380</v>
      </c>
      <c r="B34" s="692"/>
    </row>
    <row r="35" spans="1:30" ht="20.85" customHeight="1" x14ac:dyDescent="0.25">
      <c r="A35" s="445" t="s">
        <v>381</v>
      </c>
      <c r="B35" s="445" t="s">
        <v>535</v>
      </c>
    </row>
    <row r="36" spans="1:30" ht="20.85" customHeight="1" x14ac:dyDescent="0.25">
      <c r="A36" s="445" t="s">
        <v>382</v>
      </c>
      <c r="B36" s="445" t="s">
        <v>535</v>
      </c>
    </row>
    <row r="37" spans="1:30" ht="20.85" customHeight="1" x14ac:dyDescent="0.25">
      <c r="A37" s="445" t="s">
        <v>383</v>
      </c>
      <c r="B37" s="445" t="s">
        <v>535</v>
      </c>
      <c r="F37" s="1158" t="s">
        <v>50</v>
      </c>
      <c r="N37" s="1158" t="s">
        <v>50</v>
      </c>
      <c r="R37" s="1158" t="s">
        <v>50</v>
      </c>
    </row>
    <row r="38" spans="1:30" ht="20.85" customHeight="1" x14ac:dyDescent="0.25">
      <c r="A38" s="445" t="s">
        <v>384</v>
      </c>
      <c r="B38" s="445" t="s">
        <v>535</v>
      </c>
    </row>
    <row r="39" spans="1:30" ht="20.85" customHeight="1" x14ac:dyDescent="0.25">
      <c r="A39" s="445" t="s">
        <v>385</v>
      </c>
      <c r="B39" s="445" t="s">
        <v>535</v>
      </c>
    </row>
    <row r="40" spans="1:30" ht="20.85" customHeight="1" x14ac:dyDescent="0.25">
      <c r="A40" s="445" t="s">
        <v>386</v>
      </c>
      <c r="B40" s="445" t="s">
        <v>535</v>
      </c>
    </row>
    <row r="41" spans="1:30" ht="20.85" customHeight="1" x14ac:dyDescent="0.25">
      <c r="A41" s="445" t="s">
        <v>387</v>
      </c>
      <c r="B41" s="445" t="s">
        <v>535</v>
      </c>
    </row>
    <row r="42" spans="1:30" ht="20.85" customHeight="1" x14ac:dyDescent="0.25">
      <c r="A42" s="445" t="s">
        <v>388</v>
      </c>
      <c r="B42" s="445" t="s">
        <v>535</v>
      </c>
    </row>
    <row r="43" spans="1:30" ht="20.85" customHeight="1" x14ac:dyDescent="0.25">
      <c r="A43" s="445" t="s">
        <v>389</v>
      </c>
      <c r="B43" s="445" t="s">
        <v>535</v>
      </c>
    </row>
    <row r="44" spans="1:30" ht="20.85" customHeight="1" x14ac:dyDescent="0.25">
      <c r="F44" s="1158" t="s">
        <v>50</v>
      </c>
    </row>
    <row r="45" spans="1:30" ht="20.85" customHeight="1" x14ac:dyDescent="0.25"/>
    <row r="46" spans="1:30" ht="20.85" customHeight="1" x14ac:dyDescent="0.25"/>
    <row r="47" spans="1:30" ht="20.85" customHeight="1" x14ac:dyDescent="0.25">
      <c r="F47" s="1187" t="s">
        <v>50</v>
      </c>
      <c r="G47" s="1187"/>
      <c r="M47" s="1187"/>
      <c r="N47" s="1188" t="s">
        <v>50</v>
      </c>
      <c r="O47" s="1188"/>
      <c r="R47" s="1187" t="s">
        <v>50</v>
      </c>
      <c r="S47" s="1187"/>
      <c r="T47" s="1187"/>
      <c r="U47" s="1187"/>
      <c r="V47" s="1187"/>
      <c r="W47" s="1187"/>
      <c r="X47" s="1187"/>
      <c r="Y47" s="1187"/>
      <c r="Z47" s="1187"/>
      <c r="AA47" s="1187"/>
      <c r="AB47" s="1187"/>
      <c r="AC47" s="1187"/>
      <c r="AD47" s="1187"/>
    </row>
  </sheetData>
  <sheetProtection algorithmName="SHA-512" hashValue="KkQiRII+NJrETIJE74kiUDqOFfMr6cea5ACyFQxLwmIpeXI/Q8T1UWTvgmX6sydg9sSF9PCfCwnCKZ7Vto+ibA==" saltValue="zbasbSlZZ1sJRgxAPpptxA==" spinCount="100000" sheet="1" objects="1" scenarios="1" autoFilter="0"/>
  <dataConsolidate link="1"/>
  <mergeCells count="13">
    <mergeCell ref="F30:H30"/>
    <mergeCell ref="M30:N30"/>
    <mergeCell ref="B1:R1"/>
    <mergeCell ref="AK1:AK3"/>
    <mergeCell ref="B2:R2"/>
    <mergeCell ref="B3:R3"/>
    <mergeCell ref="E5:J5"/>
    <mergeCell ref="O5:V5"/>
    <mergeCell ref="E6:J6"/>
    <mergeCell ref="O6:R6"/>
    <mergeCell ref="E7:J7"/>
    <mergeCell ref="B10:H10"/>
    <mergeCell ref="J10:P10"/>
  </mergeCells>
  <conditionalFormatting sqref="S1:AD4">
    <cfRule type="cellIs" dxfId="56" priority="3" stopIfTrue="1" operator="equal">
      <formula>"na"</formula>
    </cfRule>
  </conditionalFormatting>
  <conditionalFormatting sqref="AK1:AK3">
    <cfRule type="cellIs" dxfId="55" priority="1" stopIfTrue="1" operator="equal">
      <formula>"na"</formula>
    </cfRule>
  </conditionalFormatting>
  <dataValidations count="2">
    <dataValidation type="textLength" operator="equal" allowBlank="1" showInputMessage="1" showErrorMessage="1" errorTitle="Invalid data!" error="GASB number must be 4 digits." sqref="D14:D28 JA14:JA28 SW14:SW28 ACS14:ACS28 AMO14:AMO28 AWK14:AWK28 BGG14:BGG28 BQC14:BQC28 BZY14:BZY28 CJU14:CJU28 CTQ14:CTQ28 DDM14:DDM28 DNI14:DNI28 DXE14:DXE28 EHA14:EHA28 EQW14:EQW28 FAS14:FAS28 FKO14:FKO28 FUK14:FUK28 GEG14:GEG28 GOC14:GOC28 GXY14:GXY28 HHU14:HHU28 HRQ14:HRQ28 IBM14:IBM28 ILI14:ILI28 IVE14:IVE28 JFA14:JFA28 JOW14:JOW28 JYS14:JYS28 KIO14:KIO28 KSK14:KSK28 LCG14:LCG28 LMC14:LMC28 LVY14:LVY28 MFU14:MFU28 MPQ14:MPQ28 MZM14:MZM28 NJI14:NJI28 NTE14:NTE28 ODA14:ODA28 OMW14:OMW28 OWS14:OWS28 PGO14:PGO28 PQK14:PQK28 QAG14:QAG28 QKC14:QKC28 QTY14:QTY28 RDU14:RDU28 RNQ14:RNQ28 RXM14:RXM28 SHI14:SHI28 SRE14:SRE28 TBA14:TBA28 TKW14:TKW28 TUS14:TUS28 UEO14:UEO28 UOK14:UOK28 UYG14:UYG28 VIC14:VIC28 VRY14:VRY28 WBU14:WBU28 WLQ14:WLQ28 WVM14:WVM28 D65545:D65559 JA65545:JA65559 SW65545:SW65559 ACS65545:ACS65559 AMO65545:AMO65559 AWK65545:AWK65559 BGG65545:BGG65559 BQC65545:BQC65559 BZY65545:BZY65559 CJU65545:CJU65559 CTQ65545:CTQ65559 DDM65545:DDM65559 DNI65545:DNI65559 DXE65545:DXE65559 EHA65545:EHA65559 EQW65545:EQW65559 FAS65545:FAS65559 FKO65545:FKO65559 FUK65545:FUK65559 GEG65545:GEG65559 GOC65545:GOC65559 GXY65545:GXY65559 HHU65545:HHU65559 HRQ65545:HRQ65559 IBM65545:IBM65559 ILI65545:ILI65559 IVE65545:IVE65559 JFA65545:JFA65559 JOW65545:JOW65559 JYS65545:JYS65559 KIO65545:KIO65559 KSK65545:KSK65559 LCG65545:LCG65559 LMC65545:LMC65559 LVY65545:LVY65559 MFU65545:MFU65559 MPQ65545:MPQ65559 MZM65545:MZM65559 NJI65545:NJI65559 NTE65545:NTE65559 ODA65545:ODA65559 OMW65545:OMW65559 OWS65545:OWS65559 PGO65545:PGO65559 PQK65545:PQK65559 QAG65545:QAG65559 QKC65545:QKC65559 QTY65545:QTY65559 RDU65545:RDU65559 RNQ65545:RNQ65559 RXM65545:RXM65559 SHI65545:SHI65559 SRE65545:SRE65559 TBA65545:TBA65559 TKW65545:TKW65559 TUS65545:TUS65559 UEO65545:UEO65559 UOK65545:UOK65559 UYG65545:UYG65559 VIC65545:VIC65559 VRY65545:VRY65559 WBU65545:WBU65559 WLQ65545:WLQ65559 WVM65545:WVM65559 D131081:D131095 JA131081:JA131095 SW131081:SW131095 ACS131081:ACS131095 AMO131081:AMO131095 AWK131081:AWK131095 BGG131081:BGG131095 BQC131081:BQC131095 BZY131081:BZY131095 CJU131081:CJU131095 CTQ131081:CTQ131095 DDM131081:DDM131095 DNI131081:DNI131095 DXE131081:DXE131095 EHA131081:EHA131095 EQW131081:EQW131095 FAS131081:FAS131095 FKO131081:FKO131095 FUK131081:FUK131095 GEG131081:GEG131095 GOC131081:GOC131095 GXY131081:GXY131095 HHU131081:HHU131095 HRQ131081:HRQ131095 IBM131081:IBM131095 ILI131081:ILI131095 IVE131081:IVE131095 JFA131081:JFA131095 JOW131081:JOW131095 JYS131081:JYS131095 KIO131081:KIO131095 KSK131081:KSK131095 LCG131081:LCG131095 LMC131081:LMC131095 LVY131081:LVY131095 MFU131081:MFU131095 MPQ131081:MPQ131095 MZM131081:MZM131095 NJI131081:NJI131095 NTE131081:NTE131095 ODA131081:ODA131095 OMW131081:OMW131095 OWS131081:OWS131095 PGO131081:PGO131095 PQK131081:PQK131095 QAG131081:QAG131095 QKC131081:QKC131095 QTY131081:QTY131095 RDU131081:RDU131095 RNQ131081:RNQ131095 RXM131081:RXM131095 SHI131081:SHI131095 SRE131081:SRE131095 TBA131081:TBA131095 TKW131081:TKW131095 TUS131081:TUS131095 UEO131081:UEO131095 UOK131081:UOK131095 UYG131081:UYG131095 VIC131081:VIC131095 VRY131081:VRY131095 WBU131081:WBU131095 WLQ131081:WLQ131095 WVM131081:WVM131095 D196617:D196631 JA196617:JA196631 SW196617:SW196631 ACS196617:ACS196631 AMO196617:AMO196631 AWK196617:AWK196631 BGG196617:BGG196631 BQC196617:BQC196631 BZY196617:BZY196631 CJU196617:CJU196631 CTQ196617:CTQ196631 DDM196617:DDM196631 DNI196617:DNI196631 DXE196617:DXE196631 EHA196617:EHA196631 EQW196617:EQW196631 FAS196617:FAS196631 FKO196617:FKO196631 FUK196617:FUK196631 GEG196617:GEG196631 GOC196617:GOC196631 GXY196617:GXY196631 HHU196617:HHU196631 HRQ196617:HRQ196631 IBM196617:IBM196631 ILI196617:ILI196631 IVE196617:IVE196631 JFA196617:JFA196631 JOW196617:JOW196631 JYS196617:JYS196631 KIO196617:KIO196631 KSK196617:KSK196631 LCG196617:LCG196631 LMC196617:LMC196631 LVY196617:LVY196631 MFU196617:MFU196631 MPQ196617:MPQ196631 MZM196617:MZM196631 NJI196617:NJI196631 NTE196617:NTE196631 ODA196617:ODA196631 OMW196617:OMW196631 OWS196617:OWS196631 PGO196617:PGO196631 PQK196617:PQK196631 QAG196617:QAG196631 QKC196617:QKC196631 QTY196617:QTY196631 RDU196617:RDU196631 RNQ196617:RNQ196631 RXM196617:RXM196631 SHI196617:SHI196631 SRE196617:SRE196631 TBA196617:TBA196631 TKW196617:TKW196631 TUS196617:TUS196631 UEO196617:UEO196631 UOK196617:UOK196631 UYG196617:UYG196631 VIC196617:VIC196631 VRY196617:VRY196631 WBU196617:WBU196631 WLQ196617:WLQ196631 WVM196617:WVM196631 D262153:D262167 JA262153:JA262167 SW262153:SW262167 ACS262153:ACS262167 AMO262153:AMO262167 AWK262153:AWK262167 BGG262153:BGG262167 BQC262153:BQC262167 BZY262153:BZY262167 CJU262153:CJU262167 CTQ262153:CTQ262167 DDM262153:DDM262167 DNI262153:DNI262167 DXE262153:DXE262167 EHA262153:EHA262167 EQW262153:EQW262167 FAS262153:FAS262167 FKO262153:FKO262167 FUK262153:FUK262167 GEG262153:GEG262167 GOC262153:GOC262167 GXY262153:GXY262167 HHU262153:HHU262167 HRQ262153:HRQ262167 IBM262153:IBM262167 ILI262153:ILI262167 IVE262153:IVE262167 JFA262153:JFA262167 JOW262153:JOW262167 JYS262153:JYS262167 KIO262153:KIO262167 KSK262153:KSK262167 LCG262153:LCG262167 LMC262153:LMC262167 LVY262153:LVY262167 MFU262153:MFU262167 MPQ262153:MPQ262167 MZM262153:MZM262167 NJI262153:NJI262167 NTE262153:NTE262167 ODA262153:ODA262167 OMW262153:OMW262167 OWS262153:OWS262167 PGO262153:PGO262167 PQK262153:PQK262167 QAG262153:QAG262167 QKC262153:QKC262167 QTY262153:QTY262167 RDU262153:RDU262167 RNQ262153:RNQ262167 RXM262153:RXM262167 SHI262153:SHI262167 SRE262153:SRE262167 TBA262153:TBA262167 TKW262153:TKW262167 TUS262153:TUS262167 UEO262153:UEO262167 UOK262153:UOK262167 UYG262153:UYG262167 VIC262153:VIC262167 VRY262153:VRY262167 WBU262153:WBU262167 WLQ262153:WLQ262167 WVM262153:WVM262167 D327689:D327703 JA327689:JA327703 SW327689:SW327703 ACS327689:ACS327703 AMO327689:AMO327703 AWK327689:AWK327703 BGG327689:BGG327703 BQC327689:BQC327703 BZY327689:BZY327703 CJU327689:CJU327703 CTQ327689:CTQ327703 DDM327689:DDM327703 DNI327689:DNI327703 DXE327689:DXE327703 EHA327689:EHA327703 EQW327689:EQW327703 FAS327689:FAS327703 FKO327689:FKO327703 FUK327689:FUK327703 GEG327689:GEG327703 GOC327689:GOC327703 GXY327689:GXY327703 HHU327689:HHU327703 HRQ327689:HRQ327703 IBM327689:IBM327703 ILI327689:ILI327703 IVE327689:IVE327703 JFA327689:JFA327703 JOW327689:JOW327703 JYS327689:JYS327703 KIO327689:KIO327703 KSK327689:KSK327703 LCG327689:LCG327703 LMC327689:LMC327703 LVY327689:LVY327703 MFU327689:MFU327703 MPQ327689:MPQ327703 MZM327689:MZM327703 NJI327689:NJI327703 NTE327689:NTE327703 ODA327689:ODA327703 OMW327689:OMW327703 OWS327689:OWS327703 PGO327689:PGO327703 PQK327689:PQK327703 QAG327689:QAG327703 QKC327689:QKC327703 QTY327689:QTY327703 RDU327689:RDU327703 RNQ327689:RNQ327703 RXM327689:RXM327703 SHI327689:SHI327703 SRE327689:SRE327703 TBA327689:TBA327703 TKW327689:TKW327703 TUS327689:TUS327703 UEO327689:UEO327703 UOK327689:UOK327703 UYG327689:UYG327703 VIC327689:VIC327703 VRY327689:VRY327703 WBU327689:WBU327703 WLQ327689:WLQ327703 WVM327689:WVM327703 D393225:D393239 JA393225:JA393239 SW393225:SW393239 ACS393225:ACS393239 AMO393225:AMO393239 AWK393225:AWK393239 BGG393225:BGG393239 BQC393225:BQC393239 BZY393225:BZY393239 CJU393225:CJU393239 CTQ393225:CTQ393239 DDM393225:DDM393239 DNI393225:DNI393239 DXE393225:DXE393239 EHA393225:EHA393239 EQW393225:EQW393239 FAS393225:FAS393239 FKO393225:FKO393239 FUK393225:FUK393239 GEG393225:GEG393239 GOC393225:GOC393239 GXY393225:GXY393239 HHU393225:HHU393239 HRQ393225:HRQ393239 IBM393225:IBM393239 ILI393225:ILI393239 IVE393225:IVE393239 JFA393225:JFA393239 JOW393225:JOW393239 JYS393225:JYS393239 KIO393225:KIO393239 KSK393225:KSK393239 LCG393225:LCG393239 LMC393225:LMC393239 LVY393225:LVY393239 MFU393225:MFU393239 MPQ393225:MPQ393239 MZM393225:MZM393239 NJI393225:NJI393239 NTE393225:NTE393239 ODA393225:ODA393239 OMW393225:OMW393239 OWS393225:OWS393239 PGO393225:PGO393239 PQK393225:PQK393239 QAG393225:QAG393239 QKC393225:QKC393239 QTY393225:QTY393239 RDU393225:RDU393239 RNQ393225:RNQ393239 RXM393225:RXM393239 SHI393225:SHI393239 SRE393225:SRE393239 TBA393225:TBA393239 TKW393225:TKW393239 TUS393225:TUS393239 UEO393225:UEO393239 UOK393225:UOK393239 UYG393225:UYG393239 VIC393225:VIC393239 VRY393225:VRY393239 WBU393225:WBU393239 WLQ393225:WLQ393239 WVM393225:WVM393239 D458761:D458775 JA458761:JA458775 SW458761:SW458775 ACS458761:ACS458775 AMO458761:AMO458775 AWK458761:AWK458775 BGG458761:BGG458775 BQC458761:BQC458775 BZY458761:BZY458775 CJU458761:CJU458775 CTQ458761:CTQ458775 DDM458761:DDM458775 DNI458761:DNI458775 DXE458761:DXE458775 EHA458761:EHA458775 EQW458761:EQW458775 FAS458761:FAS458775 FKO458761:FKO458775 FUK458761:FUK458775 GEG458761:GEG458775 GOC458761:GOC458775 GXY458761:GXY458775 HHU458761:HHU458775 HRQ458761:HRQ458775 IBM458761:IBM458775 ILI458761:ILI458775 IVE458761:IVE458775 JFA458761:JFA458775 JOW458761:JOW458775 JYS458761:JYS458775 KIO458761:KIO458775 KSK458761:KSK458775 LCG458761:LCG458775 LMC458761:LMC458775 LVY458761:LVY458775 MFU458761:MFU458775 MPQ458761:MPQ458775 MZM458761:MZM458775 NJI458761:NJI458775 NTE458761:NTE458775 ODA458761:ODA458775 OMW458761:OMW458775 OWS458761:OWS458775 PGO458761:PGO458775 PQK458761:PQK458775 QAG458761:QAG458775 QKC458761:QKC458775 QTY458761:QTY458775 RDU458761:RDU458775 RNQ458761:RNQ458775 RXM458761:RXM458775 SHI458761:SHI458775 SRE458761:SRE458775 TBA458761:TBA458775 TKW458761:TKW458775 TUS458761:TUS458775 UEO458761:UEO458775 UOK458761:UOK458775 UYG458761:UYG458775 VIC458761:VIC458775 VRY458761:VRY458775 WBU458761:WBU458775 WLQ458761:WLQ458775 WVM458761:WVM458775 D524297:D524311 JA524297:JA524311 SW524297:SW524311 ACS524297:ACS524311 AMO524297:AMO524311 AWK524297:AWK524311 BGG524297:BGG524311 BQC524297:BQC524311 BZY524297:BZY524311 CJU524297:CJU524311 CTQ524297:CTQ524311 DDM524297:DDM524311 DNI524297:DNI524311 DXE524297:DXE524311 EHA524297:EHA524311 EQW524297:EQW524311 FAS524297:FAS524311 FKO524297:FKO524311 FUK524297:FUK524311 GEG524297:GEG524311 GOC524297:GOC524311 GXY524297:GXY524311 HHU524297:HHU524311 HRQ524297:HRQ524311 IBM524297:IBM524311 ILI524297:ILI524311 IVE524297:IVE524311 JFA524297:JFA524311 JOW524297:JOW524311 JYS524297:JYS524311 KIO524297:KIO524311 KSK524297:KSK524311 LCG524297:LCG524311 LMC524297:LMC524311 LVY524297:LVY524311 MFU524297:MFU524311 MPQ524297:MPQ524311 MZM524297:MZM524311 NJI524297:NJI524311 NTE524297:NTE524311 ODA524297:ODA524311 OMW524297:OMW524311 OWS524297:OWS524311 PGO524297:PGO524311 PQK524297:PQK524311 QAG524297:QAG524311 QKC524297:QKC524311 QTY524297:QTY524311 RDU524297:RDU524311 RNQ524297:RNQ524311 RXM524297:RXM524311 SHI524297:SHI524311 SRE524297:SRE524311 TBA524297:TBA524311 TKW524297:TKW524311 TUS524297:TUS524311 UEO524297:UEO524311 UOK524297:UOK524311 UYG524297:UYG524311 VIC524297:VIC524311 VRY524297:VRY524311 WBU524297:WBU524311 WLQ524297:WLQ524311 WVM524297:WVM524311 D589833:D589847 JA589833:JA589847 SW589833:SW589847 ACS589833:ACS589847 AMO589833:AMO589847 AWK589833:AWK589847 BGG589833:BGG589847 BQC589833:BQC589847 BZY589833:BZY589847 CJU589833:CJU589847 CTQ589833:CTQ589847 DDM589833:DDM589847 DNI589833:DNI589847 DXE589833:DXE589847 EHA589833:EHA589847 EQW589833:EQW589847 FAS589833:FAS589847 FKO589833:FKO589847 FUK589833:FUK589847 GEG589833:GEG589847 GOC589833:GOC589847 GXY589833:GXY589847 HHU589833:HHU589847 HRQ589833:HRQ589847 IBM589833:IBM589847 ILI589833:ILI589847 IVE589833:IVE589847 JFA589833:JFA589847 JOW589833:JOW589847 JYS589833:JYS589847 KIO589833:KIO589847 KSK589833:KSK589847 LCG589833:LCG589847 LMC589833:LMC589847 LVY589833:LVY589847 MFU589833:MFU589847 MPQ589833:MPQ589847 MZM589833:MZM589847 NJI589833:NJI589847 NTE589833:NTE589847 ODA589833:ODA589847 OMW589833:OMW589847 OWS589833:OWS589847 PGO589833:PGO589847 PQK589833:PQK589847 QAG589833:QAG589847 QKC589833:QKC589847 QTY589833:QTY589847 RDU589833:RDU589847 RNQ589833:RNQ589847 RXM589833:RXM589847 SHI589833:SHI589847 SRE589833:SRE589847 TBA589833:TBA589847 TKW589833:TKW589847 TUS589833:TUS589847 UEO589833:UEO589847 UOK589833:UOK589847 UYG589833:UYG589847 VIC589833:VIC589847 VRY589833:VRY589847 WBU589833:WBU589847 WLQ589833:WLQ589847 WVM589833:WVM589847 D655369:D655383 JA655369:JA655383 SW655369:SW655383 ACS655369:ACS655383 AMO655369:AMO655383 AWK655369:AWK655383 BGG655369:BGG655383 BQC655369:BQC655383 BZY655369:BZY655383 CJU655369:CJU655383 CTQ655369:CTQ655383 DDM655369:DDM655383 DNI655369:DNI655383 DXE655369:DXE655383 EHA655369:EHA655383 EQW655369:EQW655383 FAS655369:FAS655383 FKO655369:FKO655383 FUK655369:FUK655383 GEG655369:GEG655383 GOC655369:GOC655383 GXY655369:GXY655383 HHU655369:HHU655383 HRQ655369:HRQ655383 IBM655369:IBM655383 ILI655369:ILI655383 IVE655369:IVE655383 JFA655369:JFA655383 JOW655369:JOW655383 JYS655369:JYS655383 KIO655369:KIO655383 KSK655369:KSK655383 LCG655369:LCG655383 LMC655369:LMC655383 LVY655369:LVY655383 MFU655369:MFU655383 MPQ655369:MPQ655383 MZM655369:MZM655383 NJI655369:NJI655383 NTE655369:NTE655383 ODA655369:ODA655383 OMW655369:OMW655383 OWS655369:OWS655383 PGO655369:PGO655383 PQK655369:PQK655383 QAG655369:QAG655383 QKC655369:QKC655383 QTY655369:QTY655383 RDU655369:RDU655383 RNQ655369:RNQ655383 RXM655369:RXM655383 SHI655369:SHI655383 SRE655369:SRE655383 TBA655369:TBA655383 TKW655369:TKW655383 TUS655369:TUS655383 UEO655369:UEO655383 UOK655369:UOK655383 UYG655369:UYG655383 VIC655369:VIC655383 VRY655369:VRY655383 WBU655369:WBU655383 WLQ655369:WLQ655383 WVM655369:WVM655383 D720905:D720919 JA720905:JA720919 SW720905:SW720919 ACS720905:ACS720919 AMO720905:AMO720919 AWK720905:AWK720919 BGG720905:BGG720919 BQC720905:BQC720919 BZY720905:BZY720919 CJU720905:CJU720919 CTQ720905:CTQ720919 DDM720905:DDM720919 DNI720905:DNI720919 DXE720905:DXE720919 EHA720905:EHA720919 EQW720905:EQW720919 FAS720905:FAS720919 FKO720905:FKO720919 FUK720905:FUK720919 GEG720905:GEG720919 GOC720905:GOC720919 GXY720905:GXY720919 HHU720905:HHU720919 HRQ720905:HRQ720919 IBM720905:IBM720919 ILI720905:ILI720919 IVE720905:IVE720919 JFA720905:JFA720919 JOW720905:JOW720919 JYS720905:JYS720919 KIO720905:KIO720919 KSK720905:KSK720919 LCG720905:LCG720919 LMC720905:LMC720919 LVY720905:LVY720919 MFU720905:MFU720919 MPQ720905:MPQ720919 MZM720905:MZM720919 NJI720905:NJI720919 NTE720905:NTE720919 ODA720905:ODA720919 OMW720905:OMW720919 OWS720905:OWS720919 PGO720905:PGO720919 PQK720905:PQK720919 QAG720905:QAG720919 QKC720905:QKC720919 QTY720905:QTY720919 RDU720905:RDU720919 RNQ720905:RNQ720919 RXM720905:RXM720919 SHI720905:SHI720919 SRE720905:SRE720919 TBA720905:TBA720919 TKW720905:TKW720919 TUS720905:TUS720919 UEO720905:UEO720919 UOK720905:UOK720919 UYG720905:UYG720919 VIC720905:VIC720919 VRY720905:VRY720919 WBU720905:WBU720919 WLQ720905:WLQ720919 WVM720905:WVM720919 D786441:D786455 JA786441:JA786455 SW786441:SW786455 ACS786441:ACS786455 AMO786441:AMO786455 AWK786441:AWK786455 BGG786441:BGG786455 BQC786441:BQC786455 BZY786441:BZY786455 CJU786441:CJU786455 CTQ786441:CTQ786455 DDM786441:DDM786455 DNI786441:DNI786455 DXE786441:DXE786455 EHA786441:EHA786455 EQW786441:EQW786455 FAS786441:FAS786455 FKO786441:FKO786455 FUK786441:FUK786455 GEG786441:GEG786455 GOC786441:GOC786455 GXY786441:GXY786455 HHU786441:HHU786455 HRQ786441:HRQ786455 IBM786441:IBM786455 ILI786441:ILI786455 IVE786441:IVE786455 JFA786441:JFA786455 JOW786441:JOW786455 JYS786441:JYS786455 KIO786441:KIO786455 KSK786441:KSK786455 LCG786441:LCG786455 LMC786441:LMC786455 LVY786441:LVY786455 MFU786441:MFU786455 MPQ786441:MPQ786455 MZM786441:MZM786455 NJI786441:NJI786455 NTE786441:NTE786455 ODA786441:ODA786455 OMW786441:OMW786455 OWS786441:OWS786455 PGO786441:PGO786455 PQK786441:PQK786455 QAG786441:QAG786455 QKC786441:QKC786455 QTY786441:QTY786455 RDU786441:RDU786455 RNQ786441:RNQ786455 RXM786441:RXM786455 SHI786441:SHI786455 SRE786441:SRE786455 TBA786441:TBA786455 TKW786441:TKW786455 TUS786441:TUS786455 UEO786441:UEO786455 UOK786441:UOK786455 UYG786441:UYG786455 VIC786441:VIC786455 VRY786441:VRY786455 WBU786441:WBU786455 WLQ786441:WLQ786455 WVM786441:WVM786455 D851977:D851991 JA851977:JA851991 SW851977:SW851991 ACS851977:ACS851991 AMO851977:AMO851991 AWK851977:AWK851991 BGG851977:BGG851991 BQC851977:BQC851991 BZY851977:BZY851991 CJU851977:CJU851991 CTQ851977:CTQ851991 DDM851977:DDM851991 DNI851977:DNI851991 DXE851977:DXE851991 EHA851977:EHA851991 EQW851977:EQW851991 FAS851977:FAS851991 FKO851977:FKO851991 FUK851977:FUK851991 GEG851977:GEG851991 GOC851977:GOC851991 GXY851977:GXY851991 HHU851977:HHU851991 HRQ851977:HRQ851991 IBM851977:IBM851991 ILI851977:ILI851991 IVE851977:IVE851991 JFA851977:JFA851991 JOW851977:JOW851991 JYS851977:JYS851991 KIO851977:KIO851991 KSK851977:KSK851991 LCG851977:LCG851991 LMC851977:LMC851991 LVY851977:LVY851991 MFU851977:MFU851991 MPQ851977:MPQ851991 MZM851977:MZM851991 NJI851977:NJI851991 NTE851977:NTE851991 ODA851977:ODA851991 OMW851977:OMW851991 OWS851977:OWS851991 PGO851977:PGO851991 PQK851977:PQK851991 QAG851977:QAG851991 QKC851977:QKC851991 QTY851977:QTY851991 RDU851977:RDU851991 RNQ851977:RNQ851991 RXM851977:RXM851991 SHI851977:SHI851991 SRE851977:SRE851991 TBA851977:TBA851991 TKW851977:TKW851991 TUS851977:TUS851991 UEO851977:UEO851991 UOK851977:UOK851991 UYG851977:UYG851991 VIC851977:VIC851991 VRY851977:VRY851991 WBU851977:WBU851991 WLQ851977:WLQ851991 WVM851977:WVM851991 D917513:D917527 JA917513:JA917527 SW917513:SW917527 ACS917513:ACS917527 AMO917513:AMO917527 AWK917513:AWK917527 BGG917513:BGG917527 BQC917513:BQC917527 BZY917513:BZY917527 CJU917513:CJU917527 CTQ917513:CTQ917527 DDM917513:DDM917527 DNI917513:DNI917527 DXE917513:DXE917527 EHA917513:EHA917527 EQW917513:EQW917527 FAS917513:FAS917527 FKO917513:FKO917527 FUK917513:FUK917527 GEG917513:GEG917527 GOC917513:GOC917527 GXY917513:GXY917527 HHU917513:HHU917527 HRQ917513:HRQ917527 IBM917513:IBM917527 ILI917513:ILI917527 IVE917513:IVE917527 JFA917513:JFA917527 JOW917513:JOW917527 JYS917513:JYS917527 KIO917513:KIO917527 KSK917513:KSK917527 LCG917513:LCG917527 LMC917513:LMC917527 LVY917513:LVY917527 MFU917513:MFU917527 MPQ917513:MPQ917527 MZM917513:MZM917527 NJI917513:NJI917527 NTE917513:NTE917527 ODA917513:ODA917527 OMW917513:OMW917527 OWS917513:OWS917527 PGO917513:PGO917527 PQK917513:PQK917527 QAG917513:QAG917527 QKC917513:QKC917527 QTY917513:QTY917527 RDU917513:RDU917527 RNQ917513:RNQ917527 RXM917513:RXM917527 SHI917513:SHI917527 SRE917513:SRE917527 TBA917513:TBA917527 TKW917513:TKW917527 TUS917513:TUS917527 UEO917513:UEO917527 UOK917513:UOK917527 UYG917513:UYG917527 VIC917513:VIC917527 VRY917513:VRY917527 WBU917513:WBU917527 WLQ917513:WLQ917527 WVM917513:WVM917527 D983049:D983063 JA983049:JA983063 SW983049:SW983063 ACS983049:ACS983063 AMO983049:AMO983063 AWK983049:AWK983063 BGG983049:BGG983063 BQC983049:BQC983063 BZY983049:BZY983063 CJU983049:CJU983063 CTQ983049:CTQ983063 DDM983049:DDM983063 DNI983049:DNI983063 DXE983049:DXE983063 EHA983049:EHA983063 EQW983049:EQW983063 FAS983049:FAS983063 FKO983049:FKO983063 FUK983049:FUK983063 GEG983049:GEG983063 GOC983049:GOC983063 GXY983049:GXY983063 HHU983049:HHU983063 HRQ983049:HRQ983063 IBM983049:IBM983063 ILI983049:ILI983063 IVE983049:IVE983063 JFA983049:JFA983063 JOW983049:JOW983063 JYS983049:JYS983063 KIO983049:KIO983063 KSK983049:KSK983063 LCG983049:LCG983063 LMC983049:LMC983063 LVY983049:LVY983063 MFU983049:MFU983063 MPQ983049:MPQ983063 MZM983049:MZM983063 NJI983049:NJI983063 NTE983049:NTE983063 ODA983049:ODA983063 OMW983049:OMW983063 OWS983049:OWS983063 PGO983049:PGO983063 PQK983049:PQK983063 QAG983049:QAG983063 QKC983049:QKC983063 QTY983049:QTY983063 RDU983049:RDU983063 RNQ983049:RNQ983063 RXM983049:RXM983063 SHI983049:SHI983063 SRE983049:SRE983063 TBA983049:TBA983063 TKW983049:TKW983063 TUS983049:TUS983063 UEO983049:UEO983063 UOK983049:UOK983063 UYG983049:UYG983063 VIC983049:VIC983063 VRY983049:VRY983063 WBU983049:WBU983063 WLQ983049:WLQ983063 WVM983049:WVM983063 K14:L28 JH14:JI28 TD14:TE28 ACZ14:ADA28 AMV14:AMW28 AWR14:AWS28 BGN14:BGO28 BQJ14:BQK28 CAF14:CAG28 CKB14:CKC28 CTX14:CTY28 DDT14:DDU28 DNP14:DNQ28 DXL14:DXM28 EHH14:EHI28 ERD14:ERE28 FAZ14:FBA28 FKV14:FKW28 FUR14:FUS28 GEN14:GEO28 GOJ14:GOK28 GYF14:GYG28 HIB14:HIC28 HRX14:HRY28 IBT14:IBU28 ILP14:ILQ28 IVL14:IVM28 JFH14:JFI28 JPD14:JPE28 JYZ14:JZA28 KIV14:KIW28 KSR14:KSS28 LCN14:LCO28 LMJ14:LMK28 LWF14:LWG28 MGB14:MGC28 MPX14:MPY28 MZT14:MZU28 NJP14:NJQ28 NTL14:NTM28 ODH14:ODI28 OND14:ONE28 OWZ14:OXA28 PGV14:PGW28 PQR14:PQS28 QAN14:QAO28 QKJ14:QKK28 QUF14:QUG28 REB14:REC28 RNX14:RNY28 RXT14:RXU28 SHP14:SHQ28 SRL14:SRM28 TBH14:TBI28 TLD14:TLE28 TUZ14:TVA28 UEV14:UEW28 UOR14:UOS28 UYN14:UYO28 VIJ14:VIK28 VSF14:VSG28 WCB14:WCC28 WLX14:WLY28 WVT14:WVU28 K65545:L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K131081:L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K196617:L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K262153:L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K327689:L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K393225:L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K458761:L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K524297:L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K589833:L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K655369:L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K720905:L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K786441:L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K851977:L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K917513:L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K983049:L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xr:uid="{00000000-0002-0000-3200-000000000000}">
      <formula1>4</formula1>
    </dataValidation>
    <dataValidation type="textLength" operator="equal" allowBlank="1" showInputMessage="1" showErrorMessage="1" errorTitle="Invalid data!" error="Company number must be 4 digits." sqref="B14:B28 IY14:IY28 SU14:SU28 ACQ14:ACQ28 AMM14:AMM28 AWI14:AWI28 BGE14:BGE28 BQA14:BQA28 BZW14:BZW28 CJS14:CJS28 CTO14:CTO28 DDK14:DDK28 DNG14:DNG28 DXC14:DXC28 EGY14:EGY28 EQU14:EQU28 FAQ14:FAQ28 FKM14:FKM28 FUI14:FUI28 GEE14:GEE28 GOA14:GOA28 GXW14:GXW28 HHS14:HHS28 HRO14:HRO28 IBK14:IBK28 ILG14:ILG28 IVC14:IVC28 JEY14:JEY28 JOU14:JOU28 JYQ14:JYQ28 KIM14:KIM28 KSI14:KSI28 LCE14:LCE28 LMA14:LMA28 LVW14:LVW28 MFS14:MFS28 MPO14:MPO28 MZK14:MZK28 NJG14:NJG28 NTC14:NTC28 OCY14:OCY28 OMU14:OMU28 OWQ14:OWQ28 PGM14:PGM28 PQI14:PQI28 QAE14:QAE28 QKA14:QKA28 QTW14:QTW28 RDS14:RDS28 RNO14:RNO28 RXK14:RXK28 SHG14:SHG28 SRC14:SRC28 TAY14:TAY28 TKU14:TKU28 TUQ14:TUQ28 UEM14:UEM28 UOI14:UOI28 UYE14:UYE28 VIA14:VIA28 VRW14:VRW28 WBS14:WBS28 WLO14:WLO28 WVK14:WVK28 B65545:B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B131081:B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B196617:B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B262153:B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B327689:B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B393225:B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B458761:B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B524297:B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B589833:B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B655369:B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B720905:B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B786441:B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B851977:B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B917513:B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B983049:B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J14:J28 JG14:JG28 TC14:TC28 ACY14:ACY28 AMU14:AMU28 AWQ14:AWQ28 BGM14:BGM28 BQI14:BQI28 CAE14:CAE28 CKA14:CKA28 CTW14:CTW28 DDS14:DDS28 DNO14:DNO28 DXK14:DXK28 EHG14:EHG28 ERC14:ERC28 FAY14:FAY28 FKU14:FKU28 FUQ14:FUQ28 GEM14:GEM28 GOI14:GOI28 GYE14:GYE28 HIA14:HIA28 HRW14:HRW28 IBS14:IBS28 ILO14:ILO28 IVK14:IVK28 JFG14:JFG28 JPC14:JPC28 JYY14:JYY28 KIU14:KIU28 KSQ14:KSQ28 LCM14:LCM28 LMI14:LMI28 LWE14:LWE28 MGA14:MGA28 MPW14:MPW28 MZS14:MZS28 NJO14:NJO28 NTK14:NTK28 ODG14:ODG28 ONC14:ONC28 OWY14:OWY28 PGU14:PGU28 PQQ14:PQQ28 QAM14:QAM28 QKI14:QKI28 QUE14:QUE28 REA14:REA28 RNW14:RNW28 RXS14:RXS28 SHO14:SHO28 SRK14:SRK28 TBG14:TBG28 TLC14:TLC28 TUY14:TUY28 UEU14:UEU28 UOQ14:UOQ28 UYM14:UYM28 VII14:VII28 VSE14:VSE28 WCA14:WCA28 WLW14:WLW28 WVS14:WVS28 J65545:J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J131081:J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J196617:J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J262153:J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J327689:J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J393225:J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J458761:J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J524297:J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J589833:J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J655369:J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J720905:J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J786441:J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J851977:J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J917513:J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J983049:J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xr:uid="{00000000-0002-0000-3200-000001000000}">
      <formula1>4</formula1>
    </dataValidation>
  </dataValidations>
  <hyperlinks>
    <hyperlink ref="B1:P1" location="Index!A1" display="Index!A1" xr:uid="{00000000-0004-0000-3200-000000000000}"/>
  </hyperlinks>
  <pageMargins left="0.6" right="0.6" top="0.5" bottom="0.5" header="0.3" footer="0.3"/>
  <pageSetup scale="84" orientation="landscape" r:id="rId1"/>
  <ignoredErrors>
    <ignoredError sqref="O5:V5 P6:V6" unlockedFormula="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pageSetUpPr fitToPage="1"/>
  </sheetPr>
  <dimension ref="A1:Y56"/>
  <sheetViews>
    <sheetView showGridLines="0" topLeftCell="B1" zoomScaleNormal="100" workbookViewId="0">
      <selection activeCell="AA16" sqref="AA16"/>
    </sheetView>
  </sheetViews>
  <sheetFormatPr defaultColWidth="9.42578125" defaultRowHeight="15.75" x14ac:dyDescent="0.25"/>
  <cols>
    <col min="1" max="1" width="0" style="134" hidden="1" customWidth="1"/>
    <col min="2" max="2" width="12.42578125" style="134" customWidth="1"/>
    <col min="3" max="3" width="1.5703125" style="134" customWidth="1"/>
    <col min="4" max="4" width="24.42578125" style="134" customWidth="1"/>
    <col min="5" max="5" width="1.5703125" style="134" customWidth="1"/>
    <col min="6" max="6" width="30.5703125" style="134" customWidth="1"/>
    <col min="7" max="7" width="1.5703125" style="134" customWidth="1"/>
    <col min="8" max="8" width="20.7109375" style="134" customWidth="1"/>
    <col min="9" max="9" width="1.5703125" style="134" customWidth="1"/>
    <col min="10" max="10" width="6.5703125" style="134" customWidth="1"/>
    <col min="11" max="11" width="1.42578125" style="134" customWidth="1"/>
    <col min="12" max="12" width="9" style="134" customWidth="1"/>
    <col min="13" max="13" width="1.5703125" style="134" customWidth="1"/>
    <col min="14" max="14" width="9.5703125" style="134" customWidth="1"/>
    <col min="15" max="15" width="4.5703125" style="43" customWidth="1"/>
    <col min="16" max="16" width="7" style="134" hidden="1" customWidth="1"/>
    <col min="17" max="17" width="2" style="134" hidden="1" customWidth="1"/>
    <col min="18" max="18" width="7" style="134" hidden="1" customWidth="1"/>
    <col min="19" max="20" width="5.5703125" style="134" hidden="1" customWidth="1"/>
    <col min="21" max="21" width="7.42578125" style="134" hidden="1" customWidth="1"/>
    <col min="22" max="23" width="7" style="134" hidden="1" customWidth="1"/>
    <col min="24" max="24" width="8.5703125" style="134" hidden="1" customWidth="1"/>
    <col min="25" max="25" width="9.42578125" style="134" hidden="1" customWidth="1"/>
    <col min="26" max="16384" width="9.42578125" style="134"/>
  </cols>
  <sheetData>
    <row r="1" spans="2:24" s="128" customFormat="1" ht="15" customHeight="1" x14ac:dyDescent="0.25">
      <c r="B1" s="2455" t="str">
        <f>Index!$A$1</f>
        <v xml:space="preserve">                                                               Office of the State Controller                                                                </v>
      </c>
      <c r="C1" s="2455"/>
      <c r="D1" s="2455"/>
      <c r="E1" s="2455"/>
      <c r="F1" s="2455"/>
      <c r="G1" s="2455"/>
      <c r="H1" s="2455"/>
      <c r="I1" s="2455"/>
      <c r="J1" s="2455"/>
      <c r="K1" s="2455"/>
      <c r="L1" s="2455"/>
      <c r="M1" s="2455"/>
      <c r="N1" s="2455"/>
      <c r="O1" s="2520" t="str">
        <f>IF(Index!$B$79="na","NA","")</f>
        <v/>
      </c>
    </row>
    <row r="2" spans="2:24" s="128" customFormat="1" ht="15" customHeight="1" x14ac:dyDescent="0.25">
      <c r="B2" s="2784" t="str">
        <f>Index!$A$2</f>
        <v>2023 ACFR Worksheets</v>
      </c>
      <c r="C2" s="2784"/>
      <c r="D2" s="2784"/>
      <c r="E2" s="2784"/>
      <c r="F2" s="2784"/>
      <c r="G2" s="2784"/>
      <c r="H2" s="2784"/>
      <c r="I2" s="2784"/>
      <c r="J2" s="2784"/>
      <c r="K2" s="2784"/>
      <c r="L2" s="2784"/>
      <c r="M2" s="2784"/>
      <c r="N2" s="2784"/>
      <c r="O2" s="2520"/>
    </row>
    <row r="3" spans="2:24" s="128" customFormat="1" ht="15" customHeight="1" x14ac:dyDescent="0.25">
      <c r="B3" s="2784" t="s">
        <v>1938</v>
      </c>
      <c r="C3" s="2784"/>
      <c r="D3" s="2784"/>
      <c r="E3" s="2784"/>
      <c r="F3" s="2784"/>
      <c r="G3" s="2784"/>
      <c r="H3" s="2784"/>
      <c r="I3" s="2784"/>
      <c r="J3" s="2784"/>
      <c r="K3" s="2784"/>
      <c r="L3" s="2784"/>
      <c r="M3" s="2784"/>
      <c r="N3" s="2784"/>
      <c r="O3" s="2520"/>
    </row>
    <row r="4" spans="2:24" s="129" customFormat="1" ht="15" customHeight="1" x14ac:dyDescent="0.25">
      <c r="B4" s="1332"/>
      <c r="C4" s="1332"/>
      <c r="D4" s="1332"/>
      <c r="E4" s="1332"/>
      <c r="F4" s="1332"/>
      <c r="G4" s="1332"/>
      <c r="H4" s="144" t="s">
        <v>1939</v>
      </c>
      <c r="I4" s="1332"/>
      <c r="J4" s="1332"/>
      <c r="K4" s="1332"/>
      <c r="L4" s="1332"/>
      <c r="M4" s="1332"/>
      <c r="N4" s="1332"/>
      <c r="O4" s="113"/>
      <c r="P4" s="1333"/>
      <c r="Q4" s="1333"/>
      <c r="R4" s="1333"/>
      <c r="S4" s="1333"/>
      <c r="T4" s="1333"/>
      <c r="U4" s="1333"/>
      <c r="V4" s="1333"/>
      <c r="W4" s="1333"/>
      <c r="X4" s="1333"/>
    </row>
    <row r="5" spans="2:24" s="114" customFormat="1" ht="21" customHeight="1" x14ac:dyDescent="0.2">
      <c r="B5" s="1904" t="s">
        <v>317</v>
      </c>
      <c r="C5" s="1905"/>
      <c r="D5" s="2323" t="str">
        <f>Index!$E$10</f>
        <v>01</v>
      </c>
      <c r="E5" s="1905"/>
      <c r="F5" s="2090"/>
      <c r="G5" s="1905"/>
      <c r="H5" s="2091" t="s">
        <v>319</v>
      </c>
      <c r="I5" s="2737" t="str">
        <f>CONCATENATE(Index!$E$12," ",Index!$E$14)</f>
        <v xml:space="preserve"> </v>
      </c>
      <c r="J5" s="2442"/>
      <c r="K5" s="2442"/>
      <c r="L5" s="2442"/>
      <c r="M5" s="2442"/>
      <c r="N5" s="2442"/>
      <c r="O5" s="1905"/>
      <c r="P5" s="1905"/>
      <c r="Q5" s="1905"/>
      <c r="R5" s="1905"/>
      <c r="S5" s="1905"/>
      <c r="T5" s="1905"/>
      <c r="U5" s="1905"/>
      <c r="V5" s="1905"/>
      <c r="W5" s="1905"/>
      <c r="X5" s="1905"/>
    </row>
    <row r="6" spans="2:24" s="114" customFormat="1" ht="15" customHeight="1" x14ac:dyDescent="0.2">
      <c r="B6" s="1904" t="s">
        <v>318</v>
      </c>
      <c r="C6" s="1905"/>
      <c r="D6" s="2783" t="str">
        <f>Index!$E$11</f>
        <v>North Carolina General Assembly</v>
      </c>
      <c r="E6" s="2783"/>
      <c r="F6" s="2783"/>
      <c r="G6" s="2090"/>
      <c r="H6" s="2091" t="s">
        <v>71</v>
      </c>
      <c r="I6" s="2785">
        <f>+Index!$E$13</f>
        <v>0</v>
      </c>
      <c r="J6" s="2785"/>
      <c r="K6" s="2785"/>
      <c r="L6" s="2785"/>
      <c r="M6" s="2785"/>
      <c r="N6" s="2785"/>
      <c r="O6" s="44"/>
      <c r="P6" s="1905"/>
      <c r="Q6" s="1905"/>
      <c r="R6" s="1905"/>
      <c r="S6" s="1905"/>
      <c r="T6" s="1905"/>
      <c r="U6" s="1905"/>
      <c r="V6" s="1905"/>
      <c r="W6" s="1905"/>
      <c r="X6" s="1905"/>
    </row>
    <row r="7" spans="2:24" s="114" customFormat="1" ht="15" customHeight="1" x14ac:dyDescent="0.2">
      <c r="B7" s="1904" t="s">
        <v>1838</v>
      </c>
      <c r="C7" s="1905"/>
      <c r="D7" s="2094" t="s">
        <v>1940</v>
      </c>
      <c r="E7" s="1905"/>
      <c r="F7" s="1906"/>
      <c r="G7" s="1905"/>
      <c r="H7" s="1905"/>
      <c r="I7" s="1905"/>
      <c r="J7" s="1905"/>
      <c r="K7" s="1905"/>
      <c r="L7" s="1905"/>
      <c r="M7" s="1905"/>
      <c r="N7" s="1905"/>
      <c r="O7" s="44"/>
      <c r="P7" s="1905"/>
      <c r="Q7" s="1905"/>
      <c r="R7" s="1905"/>
      <c r="S7" s="1905"/>
      <c r="T7" s="1905"/>
      <c r="U7" s="1905"/>
      <c r="V7" s="1905"/>
      <c r="W7" s="1905"/>
      <c r="X7" s="1905"/>
    </row>
    <row r="8" spans="2:24" s="129" customFormat="1" ht="15" customHeight="1" thickBot="1" x14ac:dyDescent="0.25">
      <c r="B8" s="1907"/>
      <c r="C8" s="1907"/>
      <c r="D8" s="1907"/>
      <c r="E8" s="1907"/>
      <c r="F8" s="1907"/>
      <c r="G8" s="1907"/>
      <c r="H8" s="1907"/>
      <c r="I8" s="1907"/>
      <c r="J8" s="1907"/>
      <c r="K8" s="1908"/>
      <c r="L8" s="1907"/>
      <c r="M8" s="1907"/>
      <c r="N8" s="1907"/>
      <c r="O8" s="44"/>
      <c r="P8" s="1333"/>
      <c r="Q8" s="1333"/>
      <c r="R8" s="1333"/>
      <c r="S8" s="1333"/>
      <c r="T8" s="1333"/>
      <c r="U8" s="1333"/>
      <c r="V8" s="1333"/>
      <c r="W8" s="1333"/>
      <c r="X8" s="1333"/>
    </row>
    <row r="9" spans="2:24" s="129" customFormat="1" ht="15" customHeight="1" thickBot="1" x14ac:dyDescent="0.25">
      <c r="B9" s="130" t="s">
        <v>1823</v>
      </c>
      <c r="C9" s="1333"/>
      <c r="D9" s="1333"/>
      <c r="E9" s="1333"/>
      <c r="F9" s="130"/>
      <c r="G9" s="1333"/>
      <c r="H9" s="1333"/>
      <c r="I9" s="131"/>
      <c r="J9" s="132" t="s">
        <v>1907</v>
      </c>
      <c r="K9" s="1331"/>
      <c r="L9" s="1331"/>
      <c r="M9" s="1331"/>
      <c r="N9" s="1331"/>
      <c r="O9" s="44"/>
      <c r="P9" s="1333"/>
      <c r="Q9" s="1333"/>
      <c r="R9" s="1333"/>
      <c r="S9" s="1333"/>
      <c r="T9" s="1333"/>
      <c r="U9" s="1333"/>
      <c r="V9" s="1333"/>
      <c r="W9" s="1333"/>
      <c r="X9" s="1333"/>
    </row>
    <row r="10" spans="2:24" s="129" customFormat="1" ht="15" customHeight="1" x14ac:dyDescent="0.2">
      <c r="B10" s="130" t="s">
        <v>748</v>
      </c>
      <c r="C10" s="1333"/>
      <c r="D10" s="130" t="s">
        <v>1941</v>
      </c>
      <c r="E10" s="1333"/>
      <c r="F10" s="130" t="s">
        <v>1942</v>
      </c>
      <c r="G10" s="1333"/>
      <c r="H10" s="1333"/>
      <c r="I10" s="131"/>
      <c r="J10" s="1332"/>
      <c r="K10" s="1332"/>
      <c r="L10" s="1332"/>
      <c r="M10" s="1332"/>
      <c r="N10" s="131" t="s">
        <v>498</v>
      </c>
      <c r="O10" s="44"/>
      <c r="P10" s="1333"/>
      <c r="Q10" s="1333"/>
      <c r="R10" s="1333"/>
      <c r="S10" s="1333"/>
      <c r="T10" s="1333"/>
      <c r="U10" s="1333"/>
      <c r="V10" s="1333"/>
      <c r="W10" s="1333"/>
      <c r="X10" s="1333"/>
    </row>
    <row r="11" spans="2:24" s="129" customFormat="1" ht="15" customHeight="1" thickBot="1" x14ac:dyDescent="0.25">
      <c r="B11" s="1909" t="s">
        <v>1943</v>
      </c>
      <c r="C11" s="130"/>
      <c r="D11" s="133" t="s">
        <v>1944</v>
      </c>
      <c r="E11" s="1333"/>
      <c r="F11" s="133" t="s">
        <v>1945</v>
      </c>
      <c r="G11" s="1333"/>
      <c r="H11" s="133" t="s">
        <v>1347</v>
      </c>
      <c r="I11" s="1333"/>
      <c r="J11" s="133" t="s">
        <v>1913</v>
      </c>
      <c r="K11" s="130"/>
      <c r="L11" s="133" t="s">
        <v>1914</v>
      </c>
      <c r="M11" s="1333"/>
      <c r="N11" s="133" t="s">
        <v>1915</v>
      </c>
      <c r="O11" s="44"/>
      <c r="P11" s="1333"/>
      <c r="Q11" s="1333"/>
      <c r="R11" s="1333"/>
      <c r="S11" s="1333"/>
      <c r="T11" s="1333"/>
      <c r="U11" s="1333"/>
      <c r="V11" s="1333"/>
      <c r="W11" s="1333"/>
      <c r="X11" s="1333"/>
    </row>
    <row r="12" spans="2:24" s="129" customFormat="1" ht="15" customHeight="1" x14ac:dyDescent="0.2">
      <c r="B12" s="1910"/>
      <c r="C12" s="2093"/>
      <c r="D12" s="1910"/>
      <c r="E12" s="1912"/>
      <c r="F12" s="1910"/>
      <c r="G12" s="1912"/>
      <c r="H12" s="2077"/>
      <c r="I12" s="2093"/>
      <c r="J12" s="1910"/>
      <c r="K12" s="1912"/>
      <c r="L12" s="1910"/>
      <c r="M12" s="1912"/>
      <c r="N12" s="1910"/>
      <c r="O12" s="313" t="str">
        <f>IF(AND(P12,W12),"","*")</f>
        <v/>
      </c>
      <c r="P12" s="1142" t="b">
        <f>IF(OR(Q12=0,Q12=5),TRUE, FALSE)</f>
        <v>1</v>
      </c>
      <c r="Q12" s="1142">
        <f>COUNTIF(R12:V12,FALSE)</f>
        <v>0</v>
      </c>
      <c r="R12" s="1333" t="b">
        <f>ISBLANK(B12)</f>
        <v>1</v>
      </c>
      <c r="S12" s="1333" t="b">
        <f>ISBLANK(D12)</f>
        <v>1</v>
      </c>
      <c r="T12" s="1333" t="b">
        <f>ISBLANK(F12)</f>
        <v>1</v>
      </c>
      <c r="U12" s="1333" t="b">
        <f>ISBLANK(H12)</f>
        <v>1</v>
      </c>
      <c r="V12" s="1333" t="b">
        <f>AND(ISBLANK(J12),ISBLANK(L12),ISBLANK(N12))</f>
        <v>1</v>
      </c>
      <c r="W12" s="1333" t="b">
        <f>IF(ISBLANK(B12),TRUE,OR(X12=4387,X12=5387))</f>
        <v>1</v>
      </c>
      <c r="X12" s="1333">
        <f>IF(ISBLANK(B12),0,VALUE(LEFT(B12,4)))</f>
        <v>0</v>
      </c>
    </row>
    <row r="13" spans="2:24" s="129" customFormat="1" ht="15" customHeight="1" x14ac:dyDescent="0.2">
      <c r="B13" s="1910"/>
      <c r="C13" s="2093"/>
      <c r="D13" s="1910"/>
      <c r="E13" s="1912"/>
      <c r="F13" s="1910"/>
      <c r="G13" s="1912"/>
      <c r="H13" s="1103"/>
      <c r="I13" s="2093"/>
      <c r="J13" s="1911"/>
      <c r="K13" s="1912"/>
      <c r="L13" s="1911"/>
      <c r="M13" s="1912"/>
      <c r="N13" s="1911"/>
      <c r="O13" s="313" t="str">
        <f t="shared" ref="O13:O28" si="0">IF(AND(P13,W13),"","*")</f>
        <v/>
      </c>
      <c r="P13" s="1142" t="b">
        <f t="shared" ref="P13:P28" si="1">IF(OR(Q13=0,Q13=5),TRUE, FALSE)</f>
        <v>1</v>
      </c>
      <c r="Q13" s="1142">
        <f t="shared" ref="Q13:Q28" si="2">COUNTIF(R13:V13,FALSE)</f>
        <v>0</v>
      </c>
      <c r="R13" s="1333" t="b">
        <f t="shared" ref="R13:R28" si="3">ISBLANK(B13)</f>
        <v>1</v>
      </c>
      <c r="S13" s="1333" t="b">
        <f t="shared" ref="S13:S28" si="4">ISBLANK(D13)</f>
        <v>1</v>
      </c>
      <c r="T13" s="1333" t="b">
        <f t="shared" ref="T13:T28" si="5">ISBLANK(F13)</f>
        <v>1</v>
      </c>
      <c r="U13" s="1333" t="b">
        <f t="shared" ref="U13:U28" si="6">ISBLANK(H13)</f>
        <v>1</v>
      </c>
      <c r="V13" s="1333" t="b">
        <f t="shared" ref="V13:V28" si="7">AND(ISBLANK(J13),ISBLANK(L13),ISBLANK(N13))</f>
        <v>1</v>
      </c>
      <c r="W13" s="1333" t="b">
        <f t="shared" ref="W13:W28" si="8">IF(ISBLANK(B13),TRUE,OR(X13=4387,X13=5387))</f>
        <v>1</v>
      </c>
      <c r="X13" s="1333">
        <f t="shared" ref="X13:X28" si="9">IF(ISBLANK(B13),0,VALUE(LEFT(B13,4)))</f>
        <v>0</v>
      </c>
    </row>
    <row r="14" spans="2:24" s="129" customFormat="1" ht="15" customHeight="1" x14ac:dyDescent="0.2">
      <c r="B14" s="1910"/>
      <c r="C14" s="2093"/>
      <c r="D14" s="1910"/>
      <c r="E14" s="1912"/>
      <c r="F14" s="1910"/>
      <c r="G14" s="1912"/>
      <c r="H14" s="1103"/>
      <c r="I14" s="2093"/>
      <c r="J14" s="1911"/>
      <c r="K14" s="1912"/>
      <c r="L14" s="1910"/>
      <c r="M14" s="1912"/>
      <c r="N14" s="1911"/>
      <c r="O14" s="313" t="str">
        <f t="shared" si="0"/>
        <v/>
      </c>
      <c r="P14" s="1142" t="b">
        <f t="shared" si="1"/>
        <v>1</v>
      </c>
      <c r="Q14" s="1142">
        <f t="shared" si="2"/>
        <v>0</v>
      </c>
      <c r="R14" s="1333" t="b">
        <f t="shared" si="3"/>
        <v>1</v>
      </c>
      <c r="S14" s="1333" t="b">
        <f t="shared" si="4"/>
        <v>1</v>
      </c>
      <c r="T14" s="1333" t="b">
        <f t="shared" si="5"/>
        <v>1</v>
      </c>
      <c r="U14" s="1333" t="b">
        <f t="shared" si="6"/>
        <v>1</v>
      </c>
      <c r="V14" s="1333" t="b">
        <f t="shared" si="7"/>
        <v>1</v>
      </c>
      <c r="W14" s="1333" t="b">
        <f t="shared" si="8"/>
        <v>1</v>
      </c>
      <c r="X14" s="1333">
        <f t="shared" si="9"/>
        <v>0</v>
      </c>
    </row>
    <row r="15" spans="2:24" s="129" customFormat="1" ht="15" customHeight="1" x14ac:dyDescent="0.2">
      <c r="B15" s="1910"/>
      <c r="C15" s="2093"/>
      <c r="D15" s="1910"/>
      <c r="E15" s="1912"/>
      <c r="F15" s="1910"/>
      <c r="G15" s="1912"/>
      <c r="H15" s="1103"/>
      <c r="I15" s="2093"/>
      <c r="J15" s="1911"/>
      <c r="K15" s="1912"/>
      <c r="L15" s="1911"/>
      <c r="M15" s="1912"/>
      <c r="N15" s="1911"/>
      <c r="O15" s="313" t="str">
        <f t="shared" si="0"/>
        <v/>
      </c>
      <c r="P15" s="1142" t="b">
        <f t="shared" si="1"/>
        <v>1</v>
      </c>
      <c r="Q15" s="1142">
        <f t="shared" si="2"/>
        <v>0</v>
      </c>
      <c r="R15" s="1333" t="b">
        <f t="shared" si="3"/>
        <v>1</v>
      </c>
      <c r="S15" s="1333" t="b">
        <f t="shared" si="4"/>
        <v>1</v>
      </c>
      <c r="T15" s="1333" t="b">
        <f t="shared" si="5"/>
        <v>1</v>
      </c>
      <c r="U15" s="1333" t="b">
        <f t="shared" si="6"/>
        <v>1</v>
      </c>
      <c r="V15" s="1333" t="b">
        <f t="shared" si="7"/>
        <v>1</v>
      </c>
      <c r="W15" s="1333" t="b">
        <f t="shared" si="8"/>
        <v>1</v>
      </c>
      <c r="X15" s="1333">
        <f t="shared" si="9"/>
        <v>0</v>
      </c>
    </row>
    <row r="16" spans="2:24" s="129" customFormat="1" ht="15" customHeight="1" x14ac:dyDescent="0.2">
      <c r="B16" s="1910"/>
      <c r="C16" s="2093"/>
      <c r="D16" s="1910"/>
      <c r="E16" s="1912"/>
      <c r="F16" s="1910"/>
      <c r="G16" s="1912"/>
      <c r="H16" s="1103"/>
      <c r="I16" s="2093"/>
      <c r="J16" s="1911"/>
      <c r="K16" s="1912"/>
      <c r="L16" s="1911"/>
      <c r="M16" s="1912"/>
      <c r="N16" s="1911"/>
      <c r="O16" s="313" t="str">
        <f t="shared" si="0"/>
        <v/>
      </c>
      <c r="P16" s="1142" t="b">
        <f t="shared" si="1"/>
        <v>1</v>
      </c>
      <c r="Q16" s="1142">
        <f t="shared" si="2"/>
        <v>0</v>
      </c>
      <c r="R16" s="1333" t="b">
        <f t="shared" si="3"/>
        <v>1</v>
      </c>
      <c r="S16" s="1333" t="b">
        <f t="shared" si="4"/>
        <v>1</v>
      </c>
      <c r="T16" s="1333" t="b">
        <f t="shared" si="5"/>
        <v>1</v>
      </c>
      <c r="U16" s="1333" t="b">
        <f t="shared" si="6"/>
        <v>1</v>
      </c>
      <c r="V16" s="1333" t="b">
        <f t="shared" si="7"/>
        <v>1</v>
      </c>
      <c r="W16" s="1333" t="b">
        <f t="shared" si="8"/>
        <v>1</v>
      </c>
      <c r="X16" s="1333">
        <f t="shared" si="9"/>
        <v>0</v>
      </c>
    </row>
    <row r="17" spans="2:24" s="129" customFormat="1" ht="15" customHeight="1" x14ac:dyDescent="0.2">
      <c r="B17" s="1910"/>
      <c r="C17" s="2093"/>
      <c r="D17" s="1910"/>
      <c r="E17" s="1912"/>
      <c r="F17" s="1910"/>
      <c r="G17" s="1912"/>
      <c r="H17" s="1103"/>
      <c r="I17" s="2093"/>
      <c r="J17" s="1911"/>
      <c r="K17" s="1912"/>
      <c r="L17" s="1911"/>
      <c r="M17" s="1912"/>
      <c r="N17" s="1911"/>
      <c r="O17" s="313" t="str">
        <f t="shared" si="0"/>
        <v/>
      </c>
      <c r="P17" s="1142" t="b">
        <f t="shared" si="1"/>
        <v>1</v>
      </c>
      <c r="Q17" s="1142">
        <f t="shared" si="2"/>
        <v>0</v>
      </c>
      <c r="R17" s="1333" t="b">
        <f t="shared" si="3"/>
        <v>1</v>
      </c>
      <c r="S17" s="1333" t="b">
        <f t="shared" si="4"/>
        <v>1</v>
      </c>
      <c r="T17" s="1333" t="b">
        <f t="shared" si="5"/>
        <v>1</v>
      </c>
      <c r="U17" s="1333" t="b">
        <f t="shared" si="6"/>
        <v>1</v>
      </c>
      <c r="V17" s="1333" t="b">
        <f t="shared" si="7"/>
        <v>1</v>
      </c>
      <c r="W17" s="1333" t="b">
        <f t="shared" si="8"/>
        <v>1</v>
      </c>
      <c r="X17" s="1333">
        <f t="shared" si="9"/>
        <v>0</v>
      </c>
    </row>
    <row r="18" spans="2:24" s="129" customFormat="1" ht="15" customHeight="1" x14ac:dyDescent="0.2">
      <c r="B18" s="1910"/>
      <c r="C18" s="2093"/>
      <c r="D18" s="1910"/>
      <c r="E18" s="1912"/>
      <c r="F18" s="1910"/>
      <c r="G18" s="1912"/>
      <c r="H18" s="1103"/>
      <c r="I18" s="2093"/>
      <c r="J18" s="1911"/>
      <c r="K18" s="1912"/>
      <c r="L18" s="1911"/>
      <c r="M18" s="1912"/>
      <c r="N18" s="1911"/>
      <c r="O18" s="313" t="str">
        <f t="shared" si="0"/>
        <v/>
      </c>
      <c r="P18" s="1142" t="b">
        <f t="shared" si="1"/>
        <v>1</v>
      </c>
      <c r="Q18" s="1142">
        <f t="shared" si="2"/>
        <v>0</v>
      </c>
      <c r="R18" s="1333" t="b">
        <f t="shared" si="3"/>
        <v>1</v>
      </c>
      <c r="S18" s="1333" t="b">
        <f t="shared" si="4"/>
        <v>1</v>
      </c>
      <c r="T18" s="1333" t="b">
        <f t="shared" si="5"/>
        <v>1</v>
      </c>
      <c r="U18" s="1333" t="b">
        <f t="shared" si="6"/>
        <v>1</v>
      </c>
      <c r="V18" s="1333" t="b">
        <f t="shared" si="7"/>
        <v>1</v>
      </c>
      <c r="W18" s="1333" t="b">
        <f t="shared" si="8"/>
        <v>1</v>
      </c>
      <c r="X18" s="1333">
        <f t="shared" si="9"/>
        <v>0</v>
      </c>
    </row>
    <row r="19" spans="2:24" s="129" customFormat="1" ht="15" customHeight="1" x14ac:dyDescent="0.2">
      <c r="B19" s="1910"/>
      <c r="C19" s="2093"/>
      <c r="D19" s="1910"/>
      <c r="E19" s="1912"/>
      <c r="F19" s="1910"/>
      <c r="G19" s="1912"/>
      <c r="H19" s="1103"/>
      <c r="I19" s="2093"/>
      <c r="J19" s="1911"/>
      <c r="K19" s="1912"/>
      <c r="L19" s="1911"/>
      <c r="M19" s="1912"/>
      <c r="N19" s="1911"/>
      <c r="O19" s="313" t="str">
        <f t="shared" si="0"/>
        <v/>
      </c>
      <c r="P19" s="1142" t="b">
        <f t="shared" si="1"/>
        <v>1</v>
      </c>
      <c r="Q19" s="1142">
        <f t="shared" si="2"/>
        <v>0</v>
      </c>
      <c r="R19" s="1333" t="b">
        <f t="shared" si="3"/>
        <v>1</v>
      </c>
      <c r="S19" s="1333" t="b">
        <f t="shared" si="4"/>
        <v>1</v>
      </c>
      <c r="T19" s="1333" t="b">
        <f t="shared" si="5"/>
        <v>1</v>
      </c>
      <c r="U19" s="1333" t="b">
        <f t="shared" si="6"/>
        <v>1</v>
      </c>
      <c r="V19" s="1333" t="b">
        <f t="shared" si="7"/>
        <v>1</v>
      </c>
      <c r="W19" s="1333" t="b">
        <f t="shared" si="8"/>
        <v>1</v>
      </c>
      <c r="X19" s="1333">
        <f t="shared" si="9"/>
        <v>0</v>
      </c>
    </row>
    <row r="20" spans="2:24" s="129" customFormat="1" ht="15" customHeight="1" x14ac:dyDescent="0.2">
      <c r="B20" s="1910"/>
      <c r="C20" s="2093"/>
      <c r="D20" s="1910"/>
      <c r="E20" s="1912"/>
      <c r="F20" s="1910"/>
      <c r="G20" s="1912"/>
      <c r="H20" s="1103"/>
      <c r="I20" s="2093"/>
      <c r="J20" s="1911"/>
      <c r="K20" s="1912"/>
      <c r="L20" s="1911"/>
      <c r="M20" s="1912"/>
      <c r="N20" s="1911"/>
      <c r="O20" s="313" t="str">
        <f t="shared" si="0"/>
        <v/>
      </c>
      <c r="P20" s="1142" t="b">
        <f t="shared" si="1"/>
        <v>1</v>
      </c>
      <c r="Q20" s="1142">
        <f t="shared" si="2"/>
        <v>0</v>
      </c>
      <c r="R20" s="1333" t="b">
        <f t="shared" si="3"/>
        <v>1</v>
      </c>
      <c r="S20" s="1333" t="b">
        <f t="shared" si="4"/>
        <v>1</v>
      </c>
      <c r="T20" s="1333" t="b">
        <f t="shared" si="5"/>
        <v>1</v>
      </c>
      <c r="U20" s="1333" t="b">
        <f t="shared" si="6"/>
        <v>1</v>
      </c>
      <c r="V20" s="1333" t="b">
        <f t="shared" si="7"/>
        <v>1</v>
      </c>
      <c r="W20" s="1333" t="b">
        <f t="shared" si="8"/>
        <v>1</v>
      </c>
      <c r="X20" s="1333">
        <f t="shared" si="9"/>
        <v>0</v>
      </c>
    </row>
    <row r="21" spans="2:24" s="129" customFormat="1" ht="15" customHeight="1" x14ac:dyDescent="0.2">
      <c r="B21" s="1910"/>
      <c r="C21" s="2093"/>
      <c r="D21" s="1910"/>
      <c r="E21" s="1912"/>
      <c r="F21" s="1910"/>
      <c r="G21" s="1912"/>
      <c r="H21" s="1103"/>
      <c r="I21" s="2093"/>
      <c r="J21" s="1911"/>
      <c r="K21" s="1912"/>
      <c r="L21" s="1911"/>
      <c r="M21" s="1912"/>
      <c r="N21" s="1911"/>
      <c r="O21" s="313" t="str">
        <f t="shared" si="0"/>
        <v/>
      </c>
      <c r="P21" s="1142" t="b">
        <f t="shared" si="1"/>
        <v>1</v>
      </c>
      <c r="Q21" s="1142">
        <f t="shared" si="2"/>
        <v>0</v>
      </c>
      <c r="R21" s="1333" t="b">
        <f t="shared" si="3"/>
        <v>1</v>
      </c>
      <c r="S21" s="1333" t="b">
        <f t="shared" si="4"/>
        <v>1</v>
      </c>
      <c r="T21" s="1333" t="b">
        <f t="shared" si="5"/>
        <v>1</v>
      </c>
      <c r="U21" s="1333" t="b">
        <f t="shared" si="6"/>
        <v>1</v>
      </c>
      <c r="V21" s="1333" t="b">
        <f t="shared" si="7"/>
        <v>1</v>
      </c>
      <c r="W21" s="1333" t="b">
        <f t="shared" si="8"/>
        <v>1</v>
      </c>
      <c r="X21" s="1333">
        <f t="shared" si="9"/>
        <v>0</v>
      </c>
    </row>
    <row r="22" spans="2:24" s="129" customFormat="1" ht="15" customHeight="1" x14ac:dyDescent="0.2">
      <c r="B22" s="1910"/>
      <c r="C22" s="2093"/>
      <c r="D22" s="1910"/>
      <c r="E22" s="1912"/>
      <c r="F22" s="1910"/>
      <c r="G22" s="1912"/>
      <c r="H22" s="1103"/>
      <c r="I22" s="2093"/>
      <c r="J22" s="1911"/>
      <c r="K22" s="1912"/>
      <c r="L22" s="1911"/>
      <c r="M22" s="1912"/>
      <c r="N22" s="1911"/>
      <c r="O22" s="313" t="str">
        <f t="shared" si="0"/>
        <v/>
      </c>
      <c r="P22" s="1142" t="b">
        <f t="shared" si="1"/>
        <v>1</v>
      </c>
      <c r="Q22" s="1142">
        <f t="shared" si="2"/>
        <v>0</v>
      </c>
      <c r="R22" s="1333" t="b">
        <f t="shared" si="3"/>
        <v>1</v>
      </c>
      <c r="S22" s="1333" t="b">
        <f t="shared" si="4"/>
        <v>1</v>
      </c>
      <c r="T22" s="1333" t="b">
        <f t="shared" si="5"/>
        <v>1</v>
      </c>
      <c r="U22" s="1333" t="b">
        <f t="shared" si="6"/>
        <v>1</v>
      </c>
      <c r="V22" s="1333" t="b">
        <f t="shared" si="7"/>
        <v>1</v>
      </c>
      <c r="W22" s="1333" t="b">
        <f t="shared" si="8"/>
        <v>1</v>
      </c>
      <c r="X22" s="1333">
        <f t="shared" si="9"/>
        <v>0</v>
      </c>
    </row>
    <row r="23" spans="2:24" s="129" customFormat="1" ht="15" customHeight="1" x14ac:dyDescent="0.2">
      <c r="B23" s="1910"/>
      <c r="C23" s="2093"/>
      <c r="D23" s="1910"/>
      <c r="E23" s="1912"/>
      <c r="F23" s="1910"/>
      <c r="G23" s="1912"/>
      <c r="H23" s="1103"/>
      <c r="I23" s="2093"/>
      <c r="J23" s="1911"/>
      <c r="K23" s="1912"/>
      <c r="L23" s="1911"/>
      <c r="M23" s="1912"/>
      <c r="N23" s="1911"/>
      <c r="O23" s="313" t="str">
        <f t="shared" si="0"/>
        <v/>
      </c>
      <c r="P23" s="1142" t="b">
        <f t="shared" si="1"/>
        <v>1</v>
      </c>
      <c r="Q23" s="1142">
        <f t="shared" si="2"/>
        <v>0</v>
      </c>
      <c r="R23" s="1333" t="b">
        <f t="shared" si="3"/>
        <v>1</v>
      </c>
      <c r="S23" s="1333" t="b">
        <f t="shared" si="4"/>
        <v>1</v>
      </c>
      <c r="T23" s="1333" t="b">
        <f t="shared" si="5"/>
        <v>1</v>
      </c>
      <c r="U23" s="1333" t="b">
        <f t="shared" si="6"/>
        <v>1</v>
      </c>
      <c r="V23" s="1333" t="b">
        <f t="shared" si="7"/>
        <v>1</v>
      </c>
      <c r="W23" s="1333" t="b">
        <f t="shared" si="8"/>
        <v>1</v>
      </c>
      <c r="X23" s="1333">
        <f t="shared" si="9"/>
        <v>0</v>
      </c>
    </row>
    <row r="24" spans="2:24" s="129" customFormat="1" ht="15" customHeight="1" x14ac:dyDescent="0.2">
      <c r="B24" s="1910"/>
      <c r="C24" s="2093"/>
      <c r="D24" s="1910"/>
      <c r="E24" s="1912"/>
      <c r="F24" s="1910"/>
      <c r="G24" s="1912"/>
      <c r="H24" s="1103"/>
      <c r="I24" s="2093"/>
      <c r="J24" s="1912"/>
      <c r="K24" s="1912"/>
      <c r="L24" s="1911"/>
      <c r="M24" s="1912"/>
      <c r="N24" s="1911"/>
      <c r="O24" s="313" t="str">
        <f t="shared" si="0"/>
        <v/>
      </c>
      <c r="P24" s="1142" t="b">
        <f t="shared" si="1"/>
        <v>1</v>
      </c>
      <c r="Q24" s="1142">
        <f t="shared" si="2"/>
        <v>0</v>
      </c>
      <c r="R24" s="1333" t="b">
        <f t="shared" si="3"/>
        <v>1</v>
      </c>
      <c r="S24" s="1333" t="b">
        <f t="shared" si="4"/>
        <v>1</v>
      </c>
      <c r="T24" s="1333" t="b">
        <f t="shared" si="5"/>
        <v>1</v>
      </c>
      <c r="U24" s="1333" t="b">
        <f t="shared" si="6"/>
        <v>1</v>
      </c>
      <c r="V24" s="1333" t="b">
        <f t="shared" si="7"/>
        <v>1</v>
      </c>
      <c r="W24" s="1333" t="b">
        <f t="shared" si="8"/>
        <v>1</v>
      </c>
      <c r="X24" s="1333">
        <f t="shared" si="9"/>
        <v>0</v>
      </c>
    </row>
    <row r="25" spans="2:24" s="129" customFormat="1" ht="15" customHeight="1" x14ac:dyDescent="0.2">
      <c r="B25" s="1910"/>
      <c r="C25" s="2093"/>
      <c r="D25" s="1910"/>
      <c r="E25" s="1912"/>
      <c r="F25" s="1910"/>
      <c r="G25" s="1912"/>
      <c r="H25" s="1103"/>
      <c r="I25" s="2093"/>
      <c r="J25" s="1911"/>
      <c r="K25" s="1912"/>
      <c r="L25" s="1911"/>
      <c r="M25" s="1912"/>
      <c r="N25" s="1911"/>
      <c r="O25" s="313" t="str">
        <f t="shared" si="0"/>
        <v/>
      </c>
      <c r="P25" s="1142" t="b">
        <f t="shared" si="1"/>
        <v>1</v>
      </c>
      <c r="Q25" s="1142">
        <f t="shared" si="2"/>
        <v>0</v>
      </c>
      <c r="R25" s="1333" t="b">
        <f t="shared" si="3"/>
        <v>1</v>
      </c>
      <c r="S25" s="1333" t="b">
        <f t="shared" si="4"/>
        <v>1</v>
      </c>
      <c r="T25" s="1333" t="b">
        <f t="shared" si="5"/>
        <v>1</v>
      </c>
      <c r="U25" s="1333" t="b">
        <f t="shared" si="6"/>
        <v>1</v>
      </c>
      <c r="V25" s="1333" t="b">
        <f t="shared" si="7"/>
        <v>1</v>
      </c>
      <c r="W25" s="1333" t="b">
        <f t="shared" si="8"/>
        <v>1</v>
      </c>
      <c r="X25" s="1333">
        <f t="shared" si="9"/>
        <v>0</v>
      </c>
    </row>
    <row r="26" spans="2:24" s="129" customFormat="1" ht="15" customHeight="1" x14ac:dyDescent="0.2">
      <c r="B26" s="1910"/>
      <c r="C26" s="2093"/>
      <c r="D26" s="1910"/>
      <c r="E26" s="1912"/>
      <c r="F26" s="1910"/>
      <c r="G26" s="1912"/>
      <c r="H26" s="1103"/>
      <c r="I26" s="2093"/>
      <c r="J26" s="1911"/>
      <c r="K26" s="1912"/>
      <c r="L26" s="1911"/>
      <c r="M26" s="1912"/>
      <c r="N26" s="1911"/>
      <c r="O26" s="313" t="str">
        <f t="shared" si="0"/>
        <v/>
      </c>
      <c r="P26" s="1142" t="b">
        <f t="shared" si="1"/>
        <v>1</v>
      </c>
      <c r="Q26" s="1142">
        <f t="shared" si="2"/>
        <v>0</v>
      </c>
      <c r="R26" s="1333" t="b">
        <f t="shared" si="3"/>
        <v>1</v>
      </c>
      <c r="S26" s="1333" t="b">
        <f t="shared" si="4"/>
        <v>1</v>
      </c>
      <c r="T26" s="1333" t="b">
        <f t="shared" si="5"/>
        <v>1</v>
      </c>
      <c r="U26" s="1333" t="b">
        <f t="shared" si="6"/>
        <v>1</v>
      </c>
      <c r="V26" s="1333" t="b">
        <f t="shared" si="7"/>
        <v>1</v>
      </c>
      <c r="W26" s="1333" t="b">
        <f t="shared" si="8"/>
        <v>1</v>
      </c>
      <c r="X26" s="1333">
        <f t="shared" si="9"/>
        <v>0</v>
      </c>
    </row>
    <row r="27" spans="2:24" s="129" customFormat="1" ht="15" customHeight="1" x14ac:dyDescent="0.2">
      <c r="B27" s="1910"/>
      <c r="C27" s="2093"/>
      <c r="D27" s="1910"/>
      <c r="E27" s="1912"/>
      <c r="F27" s="1910"/>
      <c r="G27" s="1912"/>
      <c r="H27" s="1103"/>
      <c r="I27" s="2093"/>
      <c r="J27" s="1911"/>
      <c r="K27" s="1912"/>
      <c r="L27" s="1911"/>
      <c r="M27" s="1912"/>
      <c r="N27" s="1911"/>
      <c r="O27" s="313" t="str">
        <f t="shared" si="0"/>
        <v/>
      </c>
      <c r="P27" s="1142" t="b">
        <f t="shared" si="1"/>
        <v>1</v>
      </c>
      <c r="Q27" s="1142">
        <f t="shared" si="2"/>
        <v>0</v>
      </c>
      <c r="R27" s="1333" t="b">
        <f t="shared" si="3"/>
        <v>1</v>
      </c>
      <c r="S27" s="1333" t="b">
        <f t="shared" si="4"/>
        <v>1</v>
      </c>
      <c r="T27" s="1333" t="b">
        <f t="shared" si="5"/>
        <v>1</v>
      </c>
      <c r="U27" s="1333" t="b">
        <f t="shared" si="6"/>
        <v>1</v>
      </c>
      <c r="V27" s="1333" t="b">
        <f t="shared" si="7"/>
        <v>1</v>
      </c>
      <c r="W27" s="1333" t="b">
        <f t="shared" si="8"/>
        <v>1</v>
      </c>
      <c r="X27" s="1333">
        <f t="shared" si="9"/>
        <v>0</v>
      </c>
    </row>
    <row r="28" spans="2:24" s="129" customFormat="1" ht="15" customHeight="1" x14ac:dyDescent="0.2">
      <c r="B28" s="1910"/>
      <c r="C28" s="2093"/>
      <c r="D28" s="1910"/>
      <c r="E28" s="1912"/>
      <c r="F28" s="1910"/>
      <c r="G28" s="1912"/>
      <c r="H28" s="1103"/>
      <c r="I28" s="2093"/>
      <c r="J28" s="1911"/>
      <c r="K28" s="1912"/>
      <c r="L28" s="1911"/>
      <c r="M28" s="1912"/>
      <c r="N28" s="1911"/>
      <c r="O28" s="313" t="str">
        <f t="shared" si="0"/>
        <v/>
      </c>
      <c r="P28" s="1142" t="b">
        <f t="shared" si="1"/>
        <v>1</v>
      </c>
      <c r="Q28" s="1142">
        <f t="shared" si="2"/>
        <v>0</v>
      </c>
      <c r="R28" s="1333" t="b">
        <f t="shared" si="3"/>
        <v>1</v>
      </c>
      <c r="S28" s="1333" t="b">
        <f t="shared" si="4"/>
        <v>1</v>
      </c>
      <c r="T28" s="1333" t="b">
        <f t="shared" si="5"/>
        <v>1</v>
      </c>
      <c r="U28" s="1333" t="b">
        <f t="shared" si="6"/>
        <v>1</v>
      </c>
      <c r="V28" s="1333" t="b">
        <f t="shared" si="7"/>
        <v>1</v>
      </c>
      <c r="W28" s="1333" t="b">
        <f t="shared" si="8"/>
        <v>1</v>
      </c>
      <c r="X28" s="1333">
        <f t="shared" si="9"/>
        <v>0</v>
      </c>
    </row>
    <row r="29" spans="2:24" s="129" customFormat="1" ht="15" customHeight="1" thickBot="1" x14ac:dyDescent="0.25">
      <c r="B29" s="1333"/>
      <c r="C29" s="1333"/>
      <c r="D29" s="130"/>
      <c r="E29" s="130"/>
      <c r="F29" s="130" t="s">
        <v>1853</v>
      </c>
      <c r="G29" s="130"/>
      <c r="H29" s="2092">
        <f>SUM(H12:H28)</f>
        <v>0</v>
      </c>
      <c r="I29" s="1333"/>
      <c r="J29" s="1333"/>
      <c r="K29" s="1333"/>
      <c r="L29" s="1333"/>
      <c r="M29" s="1333"/>
      <c r="N29" s="1333"/>
      <c r="O29" s="44"/>
      <c r="P29" s="1142">
        <f>COUNTIF(P12:P28,FALSE)</f>
        <v>0</v>
      </c>
      <c r="Q29" s="1333"/>
      <c r="R29" s="1333"/>
      <c r="S29" s="1333"/>
      <c r="T29" s="1333"/>
      <c r="U29" s="1333"/>
      <c r="V29" s="1333"/>
      <c r="W29" s="1142">
        <f>COUNTIF(W12:W28,FALSE)</f>
        <v>0</v>
      </c>
      <c r="X29" s="1333"/>
    </row>
    <row r="30" spans="2:24" s="129" customFormat="1" ht="15" customHeight="1" thickTop="1" x14ac:dyDescent="0.2">
      <c r="B30" s="1333"/>
      <c r="C30" s="1333"/>
      <c r="D30" s="130"/>
      <c r="E30" s="130"/>
      <c r="F30" s="130" t="s">
        <v>1946</v>
      </c>
      <c r="G30" s="130"/>
      <c r="H30" s="1333"/>
      <c r="I30" s="1333"/>
      <c r="J30" s="1333"/>
      <c r="K30" s="1333"/>
      <c r="L30" s="1333"/>
      <c r="M30" s="130"/>
      <c r="N30" s="130"/>
      <c r="O30" s="44"/>
      <c r="P30" s="1333"/>
      <c r="Q30" s="1333"/>
      <c r="R30" s="1333"/>
      <c r="S30" s="1333"/>
      <c r="T30" s="1333"/>
      <c r="U30" s="1333"/>
      <c r="V30" s="1333"/>
      <c r="W30" s="1333"/>
      <c r="X30" s="1333"/>
    </row>
    <row r="31" spans="2:24" ht="15" customHeight="1" x14ac:dyDescent="0.25">
      <c r="O31" s="44"/>
    </row>
    <row r="32" spans="2:24" ht="15" customHeight="1" x14ac:dyDescent="0.25">
      <c r="O32" s="44"/>
    </row>
    <row r="33" spans="1:15" ht="15" customHeight="1" x14ac:dyDescent="0.25">
      <c r="O33" s="44"/>
    </row>
    <row r="34" spans="1:15" ht="15" customHeight="1" x14ac:dyDescent="0.25">
      <c r="A34" s="445" t="str">
        <f ca="1">MID(CELL("filename",A1),FIND("]",CELL("filename",A1))+1,256)</f>
        <v>565</v>
      </c>
      <c r="B34" s="445" t="s">
        <v>1947</v>
      </c>
      <c r="O34" s="44"/>
    </row>
    <row r="35" spans="1:15" x14ac:dyDescent="0.25">
      <c r="A35" s="445" t="s">
        <v>380</v>
      </c>
      <c r="B35" s="445" t="str">
        <f t="shared" ref="B35:B44" ca="1" si="10">IF(ISNA(INDEX(ErrorTable,MATCH($A$34&amp;$A35&amp;FALSE,ErrorKey,0),6)),"",INDEX(ErrorTable,MATCH($A$34&amp;$A35&amp;FALSE,ErrorKey,0),6))</f>
        <v/>
      </c>
    </row>
    <row r="36" spans="1:15" x14ac:dyDescent="0.25">
      <c r="A36" s="445" t="s">
        <v>381</v>
      </c>
      <c r="B36" s="445" t="str">
        <f t="shared" ca="1" si="10"/>
        <v/>
      </c>
    </row>
    <row r="37" spans="1:15" x14ac:dyDescent="0.25">
      <c r="A37" s="445" t="s">
        <v>382</v>
      </c>
      <c r="B37" s="445" t="str">
        <f t="shared" ca="1" si="10"/>
        <v/>
      </c>
    </row>
    <row r="38" spans="1:15" x14ac:dyDescent="0.25">
      <c r="A38" s="445" t="s">
        <v>383</v>
      </c>
      <c r="B38" s="445" t="str">
        <f t="shared" ca="1" si="10"/>
        <v/>
      </c>
    </row>
    <row r="39" spans="1:15" x14ac:dyDescent="0.25">
      <c r="A39" s="445" t="s">
        <v>384</v>
      </c>
      <c r="B39" s="445" t="str">
        <f t="shared" ca="1" si="10"/>
        <v/>
      </c>
    </row>
    <row r="40" spans="1:15" x14ac:dyDescent="0.25">
      <c r="A40" s="445" t="s">
        <v>385</v>
      </c>
      <c r="B40" s="445" t="str">
        <f t="shared" ca="1" si="10"/>
        <v/>
      </c>
    </row>
    <row r="41" spans="1:15" x14ac:dyDescent="0.25">
      <c r="A41" s="445" t="s">
        <v>386</v>
      </c>
      <c r="B41" s="445" t="str">
        <f t="shared" ca="1" si="10"/>
        <v/>
      </c>
    </row>
    <row r="42" spans="1:15" x14ac:dyDescent="0.25">
      <c r="A42" s="445" t="s">
        <v>387</v>
      </c>
      <c r="B42" s="445" t="str">
        <f t="shared" ca="1" si="10"/>
        <v/>
      </c>
    </row>
    <row r="43" spans="1:15" x14ac:dyDescent="0.25">
      <c r="A43" s="445" t="s">
        <v>388</v>
      </c>
      <c r="B43" s="445" t="str">
        <f t="shared" ca="1" si="10"/>
        <v/>
      </c>
    </row>
    <row r="44" spans="1:15" x14ac:dyDescent="0.25">
      <c r="A44" s="445" t="s">
        <v>389</v>
      </c>
      <c r="B44" s="445" t="str">
        <f t="shared" ca="1" si="10"/>
        <v/>
      </c>
    </row>
    <row r="46" spans="1:15" x14ac:dyDescent="0.25">
      <c r="O46" s="45"/>
    </row>
    <row r="56" spans="15:15" x14ac:dyDescent="0.25">
      <c r="O56" s="45"/>
    </row>
  </sheetData>
  <sheetProtection algorithmName="SHA-512" hashValue="FWfdtj+T9lt1hD+c1f4VS1tflnxQB7Gt803+QHmRMbOEdKKNcruwb3fnkeUUgclH6iZ2ueNZNiz5BEGgORSbGQ==" saltValue="TF7Ik8N8L+OcMAqTrlyupA==" spinCount="100000" sheet="1" objects="1" scenarios="1" autoFilter="0"/>
  <dataConsolidate link="1"/>
  <customSheetViews>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7">
    <mergeCell ref="O1:O3"/>
    <mergeCell ref="I5:N5"/>
    <mergeCell ref="D6:F6"/>
    <mergeCell ref="B1:N1"/>
    <mergeCell ref="B2:N2"/>
    <mergeCell ref="B3:N3"/>
    <mergeCell ref="I6:N6"/>
  </mergeCells>
  <phoneticPr fontId="16" type="noConversion"/>
  <conditionalFormatting sqref="O1:O3">
    <cfRule type="cellIs" dxfId="54" priority="1" stopIfTrue="1" operator="equal">
      <formula>"na"</formula>
    </cfRule>
  </conditionalFormatting>
  <dataValidations count="1">
    <dataValidation errorStyle="warning" allowBlank="1" showInputMessage="1" showErrorMessage="1" errorTitle="Incomplete data" error="One or more lines are incomplete." sqref="O12" xr:uid="{3BD71A6C-67C6-4D6E-AD59-A6801A26976E}"/>
  </dataValidations>
  <hyperlinks>
    <hyperlink ref="B1:N1" location="Index!A1" display="Index!A1" xr:uid="{00000000-0004-0000-3300-000000000000}"/>
  </hyperlinks>
  <pageMargins left="0.6" right="0.6" top="0.5" bottom="0.5" header="0.3" footer="0.3"/>
  <pageSetup orientation="landscape" r:id="rId5"/>
  <ignoredErrors>
    <ignoredError sqref="I5:I6" unlockedFormula="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9">
    <pageSetUpPr fitToPage="1"/>
  </sheetPr>
  <dimension ref="A1:M41"/>
  <sheetViews>
    <sheetView showGridLines="0" topLeftCell="B1" zoomScaleNormal="100" zoomScaleSheetLayoutView="100" workbookViewId="0">
      <selection activeCell="A2" sqref="A2"/>
    </sheetView>
  </sheetViews>
  <sheetFormatPr defaultRowHeight="12.75" x14ac:dyDescent="0.2"/>
  <cols>
    <col min="1" max="1" width="0" hidden="1" customWidth="1"/>
    <col min="5" max="5" width="1.5703125" customWidth="1"/>
    <col min="8" max="8" width="1.5703125" customWidth="1"/>
    <col min="12" max="12" width="10.5703125" customWidth="1"/>
    <col min="13" max="13" width="4.5703125" customWidth="1"/>
  </cols>
  <sheetData>
    <row r="1" spans="2:13" s="16" customFormat="1" ht="15" customHeight="1" x14ac:dyDescent="0.25">
      <c r="B1" s="2455" t="str">
        <f>+Index!$A$1</f>
        <v xml:space="preserve">                                                               Office of the State Controller                                                                </v>
      </c>
      <c r="C1" s="2455"/>
      <c r="D1" s="2455"/>
      <c r="E1" s="2455"/>
      <c r="F1" s="2455"/>
      <c r="G1" s="2455"/>
      <c r="H1" s="2455"/>
      <c r="I1" s="2455"/>
      <c r="J1" s="2455"/>
      <c r="K1" s="2455"/>
      <c r="L1" s="2455"/>
      <c r="M1" s="2456" t="str">
        <f>IF(Index!$B$80="na","NA","")</f>
        <v/>
      </c>
    </row>
    <row r="2" spans="2:13" s="16" customFormat="1" ht="15" customHeight="1" x14ac:dyDescent="0.25">
      <c r="B2" s="2718" t="str">
        <f>+Index!$A$2</f>
        <v>2023 ACFR Worksheets</v>
      </c>
      <c r="C2" s="2718"/>
      <c r="D2" s="2718"/>
      <c r="E2" s="2718"/>
      <c r="F2" s="2718"/>
      <c r="G2" s="2718"/>
      <c r="H2" s="2718"/>
      <c r="I2" s="2718"/>
      <c r="J2" s="2718"/>
      <c r="K2" s="2718"/>
      <c r="L2" s="2718"/>
      <c r="M2" s="2456"/>
    </row>
    <row r="3" spans="2:13" s="16" customFormat="1" ht="15" customHeight="1" x14ac:dyDescent="0.25">
      <c r="B3" s="2634" t="s">
        <v>1948</v>
      </c>
      <c r="C3" s="2634"/>
      <c r="D3" s="2634"/>
      <c r="E3" s="2634"/>
      <c r="F3" s="2634"/>
      <c r="G3" s="2634"/>
      <c r="H3" s="2634"/>
      <c r="I3" s="2634"/>
      <c r="J3" s="2634"/>
      <c r="K3" s="2634"/>
      <c r="L3" s="2634"/>
      <c r="M3" s="2456"/>
    </row>
    <row r="4" spans="2:13" s="18" customFormat="1" ht="15" customHeight="1" x14ac:dyDescent="0.2">
      <c r="J4" s="148"/>
      <c r="L4" s="974" t="s">
        <v>1949</v>
      </c>
    </row>
    <row r="5" spans="2:13" s="18" customFormat="1" ht="15" customHeight="1" x14ac:dyDescent="0.2">
      <c r="B5" s="2792" t="s">
        <v>317</v>
      </c>
      <c r="C5" s="2792"/>
      <c r="D5" s="2791" t="str">
        <f>+Index!$E$10</f>
        <v>01</v>
      </c>
      <c r="E5" s="2791"/>
      <c r="F5" s="2791"/>
      <c r="I5" s="19" t="s">
        <v>318</v>
      </c>
      <c r="J5" s="2492" t="str">
        <f>+Index!$E$11</f>
        <v>North Carolina General Assembly</v>
      </c>
      <c r="K5" s="2492"/>
      <c r="L5" s="2492"/>
    </row>
    <row r="6" spans="2:13" s="18" customFormat="1" ht="15" customHeight="1" x14ac:dyDescent="0.2">
      <c r="I6" s="19" t="s">
        <v>319</v>
      </c>
      <c r="J6" s="2546" t="str">
        <f>CONCATENATE(Index!$E$12," ",Index!$E$14)</f>
        <v xml:space="preserve"> </v>
      </c>
      <c r="K6" s="2546"/>
      <c r="L6" s="2546"/>
    </row>
    <row r="7" spans="2:13" s="18" customFormat="1" ht="15" customHeight="1" x14ac:dyDescent="0.2">
      <c r="B7" s="18" t="s">
        <v>568</v>
      </c>
      <c r="D7" s="2790"/>
      <c r="E7" s="2790"/>
      <c r="F7" s="2790"/>
      <c r="I7" s="19" t="s">
        <v>71</v>
      </c>
      <c r="J7" s="2494">
        <f>+Index!$E$13</f>
        <v>0</v>
      </c>
      <c r="K7" s="2494"/>
      <c r="L7" s="2494"/>
    </row>
    <row r="8" spans="2:13" s="18" customFormat="1" ht="15" customHeight="1" thickBot="1" x14ac:dyDescent="0.25">
      <c r="B8" s="84"/>
      <c r="C8" s="84"/>
      <c r="D8" s="84"/>
      <c r="E8" s="84"/>
      <c r="F8" s="84"/>
      <c r="G8" s="84"/>
      <c r="H8" s="84"/>
      <c r="I8" s="84"/>
      <c r="J8" s="84"/>
      <c r="K8" s="84"/>
      <c r="L8" s="84"/>
    </row>
    <row r="10" spans="2:13" s="18" customFormat="1" x14ac:dyDescent="0.2">
      <c r="B10" s="148" t="s">
        <v>1950</v>
      </c>
    </row>
    <row r="11" spans="2:13" s="18" customFormat="1" x14ac:dyDescent="0.2">
      <c r="B11" s="148" t="s">
        <v>1951</v>
      </c>
    </row>
    <row r="12" spans="2:13" s="18" customFormat="1" x14ac:dyDescent="0.2">
      <c r="B12" s="148" t="s">
        <v>1952</v>
      </c>
    </row>
    <row r="13" spans="2:13" s="18" customFormat="1" ht="9" customHeight="1" x14ac:dyDescent="0.2">
      <c r="B13" s="148"/>
    </row>
    <row r="14" spans="2:13" s="18" customFormat="1" x14ac:dyDescent="0.2">
      <c r="B14" s="2789" t="s">
        <v>1953</v>
      </c>
      <c r="C14" s="2789"/>
      <c r="D14" s="2789"/>
      <c r="E14" s="2324"/>
      <c r="F14" s="2789" t="s">
        <v>1347</v>
      </c>
      <c r="G14" s="2789"/>
      <c r="H14" s="2324"/>
      <c r="I14" s="2789" t="s">
        <v>580</v>
      </c>
      <c r="J14" s="2789"/>
      <c r="K14" s="2789"/>
      <c r="L14" s="2789"/>
    </row>
    <row r="15" spans="2:13" s="18" customFormat="1" ht="18" customHeight="1" x14ac:dyDescent="0.2">
      <c r="B15" s="2786"/>
      <c r="C15" s="2786"/>
      <c r="D15" s="2786"/>
      <c r="E15" s="149"/>
      <c r="F15" s="2787"/>
      <c r="G15" s="2787"/>
      <c r="H15" s="149"/>
      <c r="I15" s="2788"/>
      <c r="J15" s="2788"/>
      <c r="K15" s="2788"/>
      <c r="L15" s="2788"/>
    </row>
    <row r="16" spans="2:13" s="18" customFormat="1" ht="18" customHeight="1" x14ac:dyDescent="0.2">
      <c r="B16" s="2786"/>
      <c r="C16" s="2786"/>
      <c r="D16" s="2786"/>
      <c r="E16" s="149"/>
      <c r="F16" s="2787"/>
      <c r="G16" s="2787"/>
      <c r="H16" s="149"/>
      <c r="I16" s="2788"/>
      <c r="J16" s="2788"/>
      <c r="K16" s="2788"/>
      <c r="L16" s="2788"/>
    </row>
    <row r="17" spans="1:12" s="18" customFormat="1" ht="18" customHeight="1" x14ac:dyDescent="0.2">
      <c r="B17" s="2786"/>
      <c r="C17" s="2786"/>
      <c r="D17" s="2786"/>
      <c r="E17" s="149"/>
      <c r="F17" s="2787"/>
      <c r="G17" s="2787"/>
      <c r="H17" s="149"/>
      <c r="I17" s="2788"/>
      <c r="J17" s="2788"/>
      <c r="K17" s="2788"/>
      <c r="L17" s="2788"/>
    </row>
    <row r="18" spans="1:12" s="18" customFormat="1" ht="18" customHeight="1" x14ac:dyDescent="0.2">
      <c r="B18" s="2786"/>
      <c r="C18" s="2786"/>
      <c r="D18" s="2786"/>
      <c r="E18" s="149"/>
      <c r="F18" s="2787"/>
      <c r="G18" s="2787"/>
      <c r="H18" s="149"/>
      <c r="I18" s="2788"/>
      <c r="J18" s="2788"/>
      <c r="K18" s="2788"/>
      <c r="L18" s="2788"/>
    </row>
    <row r="19" spans="1:12" s="18" customFormat="1" ht="18" customHeight="1" x14ac:dyDescent="0.2">
      <c r="B19" s="2786"/>
      <c r="C19" s="2786"/>
      <c r="D19" s="2786"/>
      <c r="E19" s="149"/>
      <c r="F19" s="2787"/>
      <c r="G19" s="2787"/>
      <c r="H19" s="149"/>
      <c r="I19" s="2788"/>
      <c r="J19" s="2788"/>
      <c r="K19" s="2788"/>
      <c r="L19" s="2788"/>
    </row>
    <row r="20" spans="1:12" s="18" customFormat="1" ht="18" customHeight="1" x14ac:dyDescent="0.2">
      <c r="B20" s="2786"/>
      <c r="C20" s="2786"/>
      <c r="D20" s="2786"/>
      <c r="E20" s="149"/>
      <c r="F20" s="2787"/>
      <c r="G20" s="2787"/>
      <c r="H20" s="149"/>
      <c r="I20" s="2788"/>
      <c r="J20" s="2788"/>
      <c r="K20" s="2788"/>
      <c r="L20" s="2788"/>
    </row>
    <row r="21" spans="1:12" s="18" customFormat="1" ht="18" customHeight="1" x14ac:dyDescent="0.2">
      <c r="B21" s="2786"/>
      <c r="C21" s="2786"/>
      <c r="D21" s="2786"/>
      <c r="E21" s="149"/>
      <c r="F21" s="2787"/>
      <c r="G21" s="2787"/>
      <c r="H21" s="149"/>
      <c r="I21" s="2788"/>
      <c r="J21" s="2788"/>
      <c r="K21" s="2788"/>
      <c r="L21" s="2788"/>
    </row>
    <row r="22" spans="1:12" s="18" customFormat="1" ht="18" customHeight="1" x14ac:dyDescent="0.2">
      <c r="B22" s="2786"/>
      <c r="C22" s="2786"/>
      <c r="D22" s="2786"/>
      <c r="E22" s="149"/>
      <c r="F22" s="2787"/>
      <c r="G22" s="2787"/>
      <c r="H22" s="149"/>
      <c r="I22" s="2788"/>
      <c r="J22" s="2788"/>
      <c r="K22" s="2788"/>
      <c r="L22" s="2788"/>
    </row>
    <row r="23" spans="1:12" s="18" customFormat="1" ht="18" customHeight="1" x14ac:dyDescent="0.2">
      <c r="B23" s="2786"/>
      <c r="C23" s="2786"/>
      <c r="D23" s="2786"/>
      <c r="E23" s="149"/>
      <c r="F23" s="2787"/>
      <c r="G23" s="2787"/>
      <c r="H23" s="149"/>
      <c r="I23" s="2788"/>
      <c r="J23" s="2788"/>
      <c r="K23" s="2788"/>
      <c r="L23" s="2788"/>
    </row>
    <row r="24" spans="1:12" s="18" customFormat="1" ht="18" customHeight="1" x14ac:dyDescent="0.2">
      <c r="B24" s="2786"/>
      <c r="C24" s="2786"/>
      <c r="D24" s="2786"/>
      <c r="E24" s="149"/>
      <c r="F24" s="2787"/>
      <c r="G24" s="2787"/>
      <c r="H24" s="149"/>
      <c r="I24" s="2788"/>
      <c r="J24" s="2788"/>
      <c r="K24" s="2788"/>
      <c r="L24" s="2788"/>
    </row>
    <row r="25" spans="1:12" s="18" customFormat="1" ht="18" customHeight="1" x14ac:dyDescent="0.2">
      <c r="B25" s="2786"/>
      <c r="C25" s="2786"/>
      <c r="D25" s="2786"/>
      <c r="E25" s="149"/>
      <c r="F25" s="2787"/>
      <c r="G25" s="2787"/>
      <c r="H25" s="149"/>
      <c r="I25" s="2788"/>
      <c r="J25" s="2788"/>
      <c r="K25" s="2788"/>
      <c r="L25" s="2788"/>
    </row>
    <row r="26" spans="1:12" s="18" customFormat="1" ht="18" customHeight="1" x14ac:dyDescent="0.2">
      <c r="B26" s="2786"/>
      <c r="C26" s="2786"/>
      <c r="D26" s="2786"/>
      <c r="E26" s="149"/>
      <c r="F26" s="2787"/>
      <c r="G26" s="2787"/>
      <c r="H26" s="149"/>
      <c r="I26" s="2788"/>
      <c r="J26" s="2788"/>
      <c r="K26" s="2788"/>
      <c r="L26" s="2788"/>
    </row>
    <row r="27" spans="1:12" s="18" customFormat="1" ht="18" customHeight="1" x14ac:dyDescent="0.2">
      <c r="B27" s="2786"/>
      <c r="C27" s="2786"/>
      <c r="D27" s="2786"/>
      <c r="E27" s="149"/>
      <c r="F27" s="2787"/>
      <c r="G27" s="2787"/>
      <c r="H27" s="149"/>
      <c r="I27" s="2788"/>
      <c r="J27" s="2788"/>
      <c r="K27" s="2788"/>
      <c r="L27" s="2788"/>
    </row>
    <row r="31" spans="1:12" ht="15" x14ac:dyDescent="0.2">
      <c r="A31" s="445" t="str">
        <f ca="1">MID(CELL("filename",A1),FIND("]",CELL("filename",A1))+1,256)</f>
        <v>570</v>
      </c>
      <c r="B31" s="445" t="s">
        <v>636</v>
      </c>
    </row>
    <row r="32" spans="1:12" ht="15" x14ac:dyDescent="0.2">
      <c r="A32" s="445" t="s">
        <v>380</v>
      </c>
      <c r="B32" s="445" t="str">
        <f t="shared" ref="B32:B41" ca="1" si="0">IF(ISNA(INDEX(ErrorTable,MATCH($A$31&amp;$A32&amp;FALSE,ErrorKey,0),6)),"",INDEX(ErrorTable,MATCH($A$31&amp;$A32&amp;FALSE,ErrorKey,0),6))</f>
        <v>GASB number is blank.</v>
      </c>
    </row>
    <row r="33" spans="1:2" ht="15" x14ac:dyDescent="0.2">
      <c r="A33" s="445" t="s">
        <v>381</v>
      </c>
      <c r="B33" s="445" t="str">
        <f t="shared" ca="1" si="0"/>
        <v/>
      </c>
    </row>
    <row r="34" spans="1:2" ht="15" x14ac:dyDescent="0.2">
      <c r="A34" s="445" t="s">
        <v>382</v>
      </c>
      <c r="B34" s="445" t="str">
        <f t="shared" ca="1" si="0"/>
        <v/>
      </c>
    </row>
    <row r="35" spans="1:2" ht="15" x14ac:dyDescent="0.2">
      <c r="A35" s="445" t="s">
        <v>383</v>
      </c>
      <c r="B35" s="445" t="str">
        <f t="shared" ca="1" si="0"/>
        <v/>
      </c>
    </row>
    <row r="36" spans="1:2" ht="15" x14ac:dyDescent="0.2">
      <c r="A36" s="445" t="s">
        <v>384</v>
      </c>
      <c r="B36" s="445" t="str">
        <f t="shared" ca="1" si="0"/>
        <v/>
      </c>
    </row>
    <row r="37" spans="1:2" ht="15" x14ac:dyDescent="0.2">
      <c r="A37" s="445" t="s">
        <v>385</v>
      </c>
      <c r="B37" s="445" t="str">
        <f t="shared" ca="1" si="0"/>
        <v/>
      </c>
    </row>
    <row r="38" spans="1:2" ht="15" x14ac:dyDescent="0.2">
      <c r="A38" s="445" t="s">
        <v>386</v>
      </c>
      <c r="B38" s="445" t="str">
        <f t="shared" ca="1" si="0"/>
        <v/>
      </c>
    </row>
    <row r="39" spans="1:2" ht="15" x14ac:dyDescent="0.2">
      <c r="A39" s="445" t="s">
        <v>387</v>
      </c>
      <c r="B39" s="445" t="str">
        <f t="shared" ca="1" si="0"/>
        <v/>
      </c>
    </row>
    <row r="40" spans="1:2" ht="15" x14ac:dyDescent="0.2">
      <c r="A40" s="445" t="s">
        <v>388</v>
      </c>
      <c r="B40" s="445" t="str">
        <f t="shared" ca="1" si="0"/>
        <v/>
      </c>
    </row>
    <row r="41" spans="1:2" ht="15" x14ac:dyDescent="0.2">
      <c r="A41" s="445" t="s">
        <v>389</v>
      </c>
      <c r="B41" s="445" t="str">
        <f t="shared" ca="1" si="0"/>
        <v/>
      </c>
    </row>
  </sheetData>
  <sheetProtection algorithmName="SHA-512" hashValue="WgCpnBGwob00hkDa0j3QDEgln0MxIBab7/D0JikJVyi/6F3AuC7z2Wpl7fKMreyyZ7c8WQ51hP3ElOo+Go/MUw==" saltValue="0lvPsuOYQ7OLECdzzDXTbw==" spinCount="100000" sheet="1" objects="1" scenarios="1" autoFilter="0"/>
  <customSheetViews>
    <customSheetView guid="{9FCFC836-1CA5-48BF-958D-24D2EA94B219}" showGridLines="0" fitToPage="1" hiddenColumns="1" topLeftCell="B1">
      <selection activeCell="B12" sqref="B12"/>
      <pageMargins left="0" right="0" top="0" bottom="0" header="0" footer="0"/>
      <printOptions horizontalCentered="1"/>
      <pageSetup orientation="portrait" r:id="rId1"/>
      <headerFooter alignWithMargins="0">
        <oddFooter>&amp;R&amp;A</oddFooter>
      </headerFooter>
    </customSheetView>
    <customSheetView guid="{BEA4BE86-04D1-4C96-9358-7A260B9D2B2D}" showGridLines="0" fitToPage="1" showRuler="0">
      <selection sqref="A1:K1"/>
      <pageMargins left="0" right="0" top="0" bottom="0" header="0" footer="0"/>
      <printOptions horizontalCentered="1"/>
      <pageSetup orientation="portrait" r:id="rId2"/>
      <headerFooter alignWithMargins="0">
        <oddFooter>&amp;R&amp;A</oddFooter>
      </headerFooter>
    </customSheetView>
    <customSheetView guid="{1250FD07-FF56-4A9D-AF9E-C27124A7EBE9}" showGridLines="0" fitToPage="1" showRuler="0">
      <selection sqref="A1:K1"/>
      <pageMargins left="0" right="0" top="0" bottom="0" header="0" footer="0"/>
      <printOptions horizontalCentered="1"/>
      <pageSetup orientation="portrait"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rintOptions horizontalCentered="1"/>
      <pageSetup orientation="portrait" r:id="rId4"/>
      <headerFooter alignWithMargins="0">
        <oddFooter>&amp;R&amp;A</oddFooter>
      </headerFooter>
    </customSheetView>
  </customSheetViews>
  <mergeCells count="52">
    <mergeCell ref="B18:D18"/>
    <mergeCell ref="J7:L7"/>
    <mergeCell ref="F14:G14"/>
    <mergeCell ref="B15:D15"/>
    <mergeCell ref="F17:G17"/>
    <mergeCell ref="M1:M3"/>
    <mergeCell ref="B2:L2"/>
    <mergeCell ref="B3:L3"/>
    <mergeCell ref="I14:L14"/>
    <mergeCell ref="B14:D14"/>
    <mergeCell ref="J5:L5"/>
    <mergeCell ref="J6:L6"/>
    <mergeCell ref="D7:F7"/>
    <mergeCell ref="B1:L1"/>
    <mergeCell ref="D5:F5"/>
    <mergeCell ref="B5:C5"/>
    <mergeCell ref="B19:D19"/>
    <mergeCell ref="F19:G19"/>
    <mergeCell ref="I24:L24"/>
    <mergeCell ref="I15:L15"/>
    <mergeCell ref="F15:G15"/>
    <mergeCell ref="B16:D16"/>
    <mergeCell ref="B17:D17"/>
    <mergeCell ref="B22:D22"/>
    <mergeCell ref="B20:D20"/>
    <mergeCell ref="F16:G16"/>
    <mergeCell ref="I16:L16"/>
    <mergeCell ref="B21:D21"/>
    <mergeCell ref="B23:D23"/>
    <mergeCell ref="I17:L17"/>
    <mergeCell ref="F18:G18"/>
    <mergeCell ref="I18:L18"/>
    <mergeCell ref="I19:L19"/>
    <mergeCell ref="I20:L20"/>
    <mergeCell ref="I21:L21"/>
    <mergeCell ref="F22:G22"/>
    <mergeCell ref="F23:G23"/>
    <mergeCell ref="I23:L23"/>
    <mergeCell ref="I22:L22"/>
    <mergeCell ref="F20:G20"/>
    <mergeCell ref="F21:G21"/>
    <mergeCell ref="B24:D24"/>
    <mergeCell ref="F24:G24"/>
    <mergeCell ref="B27:D27"/>
    <mergeCell ref="F27:G27"/>
    <mergeCell ref="I27:L27"/>
    <mergeCell ref="F25:G25"/>
    <mergeCell ref="I25:L25"/>
    <mergeCell ref="B25:D25"/>
    <mergeCell ref="B26:D26"/>
    <mergeCell ref="F26:G26"/>
    <mergeCell ref="I26:L26"/>
  </mergeCells>
  <phoneticPr fontId="16" type="noConversion"/>
  <conditionalFormatting sqref="M1:M3">
    <cfRule type="cellIs" dxfId="53" priority="1" stopIfTrue="1" operator="equal">
      <formula>"na"</formula>
    </cfRule>
  </conditionalFormatting>
  <dataValidations disablePrompts="1" count="1">
    <dataValidation type="textLength" operator="equal" allowBlank="1" showInputMessage="1" showErrorMessage="1" errorTitle="Invalid data!" error="GASB number must be 4 digits." sqref="D7:F7" xr:uid="{00000000-0002-0000-3400-000000000000}">
      <formula1>4</formula1>
    </dataValidation>
  </dataValidations>
  <hyperlinks>
    <hyperlink ref="B1:L1" location="Index!A1" display="Index!A1" xr:uid="{00000000-0004-0000-3400-000000000000}"/>
  </hyperlinks>
  <pageMargins left="0.6" right="0.6" top="0.5" bottom="0.5" header="0.3" footer="0.3"/>
  <pageSetup orientation="portrait"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294E-1694-4943-8CA8-EFC302A2E068}">
  <sheetPr codeName="Sheet96"/>
  <dimension ref="A1:AC84"/>
  <sheetViews>
    <sheetView showGridLines="0" topLeftCell="B1" zoomScaleNormal="100" zoomScaleSheetLayoutView="100" workbookViewId="0">
      <selection activeCell="A2" sqref="A2"/>
    </sheetView>
  </sheetViews>
  <sheetFormatPr defaultColWidth="9.42578125" defaultRowHeight="11.25" x14ac:dyDescent="0.2"/>
  <cols>
    <col min="1" max="1" width="0" style="256" hidden="1" customWidth="1"/>
    <col min="2" max="2" width="3.5703125" style="256" customWidth="1"/>
    <col min="3" max="3" width="12.5703125" style="256" customWidth="1"/>
    <col min="4" max="9" width="3.5703125" style="256" customWidth="1"/>
    <col min="10" max="10" width="1.5703125" style="256" customWidth="1"/>
    <col min="11" max="11" width="11.5703125" style="256" customWidth="1"/>
    <col min="12" max="12" width="1.5703125" style="256" customWidth="1"/>
    <col min="13" max="13" width="12.5703125" style="256" customWidth="1"/>
    <col min="14" max="14" width="3.42578125" style="256" bestFit="1" customWidth="1"/>
    <col min="15" max="15" width="19.5703125" style="256" customWidth="1"/>
    <col min="16" max="16" width="4.5703125" style="256" customWidth="1"/>
    <col min="17" max="17" width="9.42578125" style="256" hidden="1" customWidth="1"/>
    <col min="18" max="16384" width="9.42578125" style="256"/>
  </cols>
  <sheetData>
    <row r="1" spans="2:29" s="251" customFormat="1" ht="25.15" customHeight="1" x14ac:dyDescent="0.25">
      <c r="B1" s="2455" t="str">
        <f>+Index!$A$1</f>
        <v xml:space="preserve">                                                               Office of the State Controller                                                                </v>
      </c>
      <c r="C1" s="2455"/>
      <c r="D1" s="2455"/>
      <c r="E1" s="2455"/>
      <c r="F1" s="2455"/>
      <c r="G1" s="2455"/>
      <c r="H1" s="2455"/>
      <c r="I1" s="2455"/>
      <c r="J1" s="2455"/>
      <c r="K1" s="2455"/>
      <c r="L1" s="2455"/>
      <c r="M1" s="2455"/>
      <c r="N1" s="2455"/>
      <c r="O1" s="2455"/>
      <c r="P1" s="881" t="str">
        <f>IF(Index!$B$82="na","NA","")</f>
        <v/>
      </c>
      <c r="AC1" s="252"/>
    </row>
    <row r="2" spans="2:29" s="251" customFormat="1" ht="15" customHeight="1" x14ac:dyDescent="0.25">
      <c r="B2" s="2793" t="str">
        <f>+Index!$A$2</f>
        <v>2023 ACFR Worksheets</v>
      </c>
      <c r="C2" s="2793"/>
      <c r="D2" s="2793"/>
      <c r="E2" s="2793"/>
      <c r="F2" s="2793"/>
      <c r="G2" s="2793"/>
      <c r="H2" s="2793"/>
      <c r="I2" s="2793"/>
      <c r="J2" s="2793"/>
      <c r="K2" s="2793"/>
      <c r="L2" s="2793"/>
      <c r="M2" s="2793"/>
      <c r="N2" s="2793"/>
      <c r="O2" s="2793"/>
      <c r="P2" s="881"/>
    </row>
    <row r="3" spans="2:29" s="251" customFormat="1" ht="15" customHeight="1" x14ac:dyDescent="0.25">
      <c r="B3" s="2793" t="s">
        <v>1954</v>
      </c>
      <c r="C3" s="2793"/>
      <c r="D3" s="2793"/>
      <c r="E3" s="2793"/>
      <c r="F3" s="2793"/>
      <c r="G3" s="2793"/>
      <c r="H3" s="2793"/>
      <c r="I3" s="2793"/>
      <c r="J3" s="2793"/>
      <c r="K3" s="2793"/>
      <c r="L3" s="2793"/>
      <c r="M3" s="2793"/>
      <c r="N3" s="2793"/>
      <c r="O3" s="2793"/>
      <c r="P3" s="881"/>
    </row>
    <row r="4" spans="2:29" s="253" customFormat="1" ht="15" customHeight="1" x14ac:dyDescent="0.2">
      <c r="B4" s="2327"/>
      <c r="C4" s="2327"/>
      <c r="D4" s="2327"/>
      <c r="E4" s="2327"/>
      <c r="F4" s="2327"/>
      <c r="G4" s="2327"/>
      <c r="H4" s="2327"/>
      <c r="I4" s="2327"/>
      <c r="J4" s="2327"/>
      <c r="K4" s="2329" t="s">
        <v>1955</v>
      </c>
      <c r="L4" s="2327"/>
      <c r="M4" s="2327"/>
      <c r="N4" s="2327"/>
      <c r="O4" s="2327"/>
      <c r="P4" s="2327"/>
      <c r="Q4" s="2327"/>
      <c r="R4" s="2327"/>
      <c r="S4" s="2327"/>
      <c r="T4" s="2327"/>
      <c r="U4" s="2327"/>
      <c r="V4" s="2327"/>
      <c r="W4" s="2327"/>
      <c r="X4" s="2327"/>
      <c r="Y4" s="2327"/>
      <c r="Z4" s="2327"/>
      <c r="AA4" s="2327"/>
      <c r="AB4" s="2327"/>
      <c r="AC4" s="2327"/>
    </row>
    <row r="5" spans="2:29" s="253" customFormat="1" ht="15" customHeight="1" x14ac:dyDescent="0.2">
      <c r="B5" s="1913" t="s">
        <v>1956</v>
      </c>
      <c r="C5" s="2327"/>
      <c r="D5" s="2327"/>
      <c r="E5" s="2794" t="str">
        <f>+Index!$E$10</f>
        <v>01</v>
      </c>
      <c r="F5" s="2794"/>
      <c r="G5" s="2794"/>
      <c r="H5" s="2794"/>
      <c r="I5" s="2327"/>
      <c r="J5" s="2327"/>
      <c r="K5" s="1914" t="s">
        <v>1957</v>
      </c>
      <c r="L5" s="2327"/>
      <c r="M5" s="2492" t="str">
        <f>+Index!$E$11</f>
        <v>North Carolina General Assembly</v>
      </c>
      <c r="N5" s="2492"/>
      <c r="O5" s="2492"/>
      <c r="P5" s="2327"/>
      <c r="Q5" s="2327"/>
      <c r="R5" s="2327"/>
      <c r="S5" s="2327"/>
      <c r="T5" s="2327"/>
      <c r="U5" s="2327"/>
      <c r="V5" s="2327"/>
      <c r="W5" s="2327"/>
      <c r="X5" s="2327"/>
      <c r="Y5" s="2327"/>
      <c r="Z5" s="2327"/>
      <c r="AA5" s="2327"/>
      <c r="AB5" s="2327"/>
      <c r="AC5" s="2327"/>
    </row>
    <row r="6" spans="2:29" s="253" customFormat="1" ht="15" customHeight="1" x14ac:dyDescent="0.2">
      <c r="B6" s="2327" t="s">
        <v>568</v>
      </c>
      <c r="C6" s="2327"/>
      <c r="D6" s="2327"/>
      <c r="E6" s="2794" t="s">
        <v>698</v>
      </c>
      <c r="F6" s="2794"/>
      <c r="G6" s="2794"/>
      <c r="H6" s="2794"/>
      <c r="I6" s="2327"/>
      <c r="J6" s="2327"/>
      <c r="K6" s="1914" t="s">
        <v>319</v>
      </c>
      <c r="L6" s="2327"/>
      <c r="M6" s="2546" t="str">
        <f>CONCATENATE(Index!$E$12," ",Index!$E$14)</f>
        <v xml:space="preserve"> </v>
      </c>
      <c r="N6" s="2546"/>
      <c r="O6" s="2546"/>
      <c r="P6" s="2327"/>
      <c r="Q6" s="2327"/>
      <c r="R6" s="2327"/>
      <c r="S6" s="2327"/>
      <c r="T6" s="2327"/>
      <c r="U6" s="2327"/>
      <c r="V6" s="2327"/>
      <c r="W6" s="2327"/>
      <c r="X6" s="2327"/>
      <c r="Y6" s="2327"/>
      <c r="Z6" s="2327"/>
      <c r="AA6" s="2327"/>
      <c r="AB6" s="2327"/>
      <c r="AC6" s="2327"/>
    </row>
    <row r="7" spans="2:29" s="253" customFormat="1" ht="15" customHeight="1" x14ac:dyDescent="0.2">
      <c r="B7" s="2327"/>
      <c r="C7" s="2327"/>
      <c r="D7" s="2327"/>
      <c r="E7" s="2796"/>
      <c r="F7" s="2796"/>
      <c r="G7" s="2796"/>
      <c r="H7" s="2796"/>
      <c r="I7" s="2327"/>
      <c r="J7" s="2327"/>
      <c r="K7" s="1914" t="s">
        <v>71</v>
      </c>
      <c r="L7" s="2327"/>
      <c r="M7" s="2494">
        <f>+Index!$E$13</f>
        <v>0</v>
      </c>
      <c r="N7" s="2494"/>
      <c r="O7" s="2494"/>
      <c r="P7" s="2327"/>
      <c r="Q7" s="2327"/>
      <c r="R7" s="2327"/>
      <c r="S7" s="2327"/>
      <c r="T7" s="2327"/>
      <c r="U7" s="2327"/>
      <c r="V7" s="2327"/>
      <c r="W7" s="2327"/>
      <c r="X7" s="2327"/>
      <c r="Y7" s="2327"/>
      <c r="Z7" s="2327"/>
      <c r="AA7" s="2327"/>
      <c r="AB7" s="2327"/>
      <c r="AC7" s="2327"/>
    </row>
    <row r="8" spans="2:29" s="253" customFormat="1" ht="15" customHeight="1" thickBot="1" x14ac:dyDescent="0.25">
      <c r="B8" s="1915"/>
      <c r="C8" s="1915"/>
      <c r="D8" s="1915"/>
      <c r="E8" s="1915"/>
      <c r="F8" s="1915"/>
      <c r="G8" s="1915"/>
      <c r="H8" s="1915"/>
      <c r="I8" s="1915"/>
      <c r="J8" s="1915"/>
      <c r="K8" s="1915"/>
      <c r="L8" s="1915"/>
      <c r="M8" s="1915"/>
      <c r="N8" s="1915"/>
      <c r="O8" s="1915"/>
      <c r="P8" s="2327"/>
      <c r="Q8" s="2327"/>
      <c r="R8" s="2327"/>
      <c r="S8" s="2327"/>
      <c r="T8" s="2327"/>
      <c r="U8" s="2327"/>
      <c r="V8" s="2327"/>
      <c r="W8" s="2327"/>
      <c r="X8" s="2327"/>
      <c r="Y8" s="2327"/>
      <c r="Z8" s="2327"/>
      <c r="AA8" s="2327"/>
      <c r="AB8" s="2327"/>
      <c r="AC8" s="2327"/>
    </row>
    <row r="9" spans="2:29" s="253" customFormat="1" ht="15" customHeight="1" x14ac:dyDescent="0.2">
      <c r="B9" s="2327"/>
      <c r="C9" s="2327"/>
      <c r="D9" s="2327"/>
      <c r="E9" s="2327"/>
      <c r="F9" s="2327"/>
      <c r="G9" s="2327"/>
      <c r="H9" s="2327"/>
      <c r="I9" s="2327"/>
      <c r="J9" s="2327"/>
      <c r="K9" s="2327"/>
      <c r="L9" s="2327"/>
      <c r="M9" s="2327"/>
      <c r="N9" s="2327"/>
      <c r="O9" s="2327"/>
      <c r="P9" s="2327"/>
      <c r="Q9" s="2327"/>
      <c r="R9" s="2327"/>
      <c r="S9" s="2327"/>
      <c r="T9" s="2327"/>
      <c r="U9" s="2327"/>
      <c r="V9" s="2327"/>
      <c r="W9" s="2327"/>
      <c r="X9" s="2327"/>
      <c r="Y9" s="2327"/>
      <c r="Z9" s="2327"/>
      <c r="AA9" s="2327"/>
      <c r="AB9" s="2327"/>
      <c r="AC9" s="2327"/>
    </row>
    <row r="10" spans="2:29" s="253" customFormat="1" ht="15" customHeight="1" x14ac:dyDescent="0.2">
      <c r="B10" s="1365" t="s">
        <v>1958</v>
      </c>
      <c r="C10" s="1365"/>
      <c r="D10" s="1365"/>
      <c r="E10" s="1365"/>
      <c r="F10" s="1365"/>
      <c r="G10" s="1365"/>
      <c r="H10" s="1365"/>
      <c r="I10" s="2328"/>
      <c r="J10" s="2328"/>
      <c r="K10" s="2328"/>
      <c r="L10" s="2328"/>
      <c r="M10" s="2328"/>
      <c r="N10" s="2328"/>
      <c r="O10" s="2328"/>
      <c r="P10" s="2327"/>
      <c r="Q10" s="2327"/>
      <c r="R10" s="2327"/>
      <c r="S10" s="2327"/>
      <c r="T10" s="2327"/>
      <c r="U10" s="2327"/>
      <c r="V10" s="2327"/>
      <c r="W10" s="2327"/>
      <c r="X10" s="2327"/>
      <c r="Y10" s="2327"/>
      <c r="Z10" s="2327"/>
      <c r="AA10" s="2327"/>
      <c r="AB10" s="2327"/>
      <c r="AC10" s="2327"/>
    </row>
    <row r="11" spans="2:29" s="253" customFormat="1" ht="15" customHeight="1" x14ac:dyDescent="0.2">
      <c r="B11" s="1365" t="s">
        <v>1959</v>
      </c>
      <c r="C11" s="1365"/>
      <c r="D11" s="1365"/>
      <c r="E11" s="1365"/>
      <c r="F11" s="1365"/>
      <c r="G11" s="1365"/>
      <c r="H11" s="1365"/>
      <c r="I11" s="2328"/>
      <c r="J11" s="2328"/>
      <c r="K11" s="2328"/>
      <c r="L11" s="2328"/>
      <c r="M11" s="2328"/>
      <c r="N11" s="2328"/>
      <c r="O11" s="2328"/>
      <c r="P11" s="2327"/>
      <c r="Q11" s="2327"/>
      <c r="R11" s="2327"/>
      <c r="S11" s="2327"/>
      <c r="T11" s="2327"/>
      <c r="U11" s="2327"/>
      <c r="V11" s="2327"/>
      <c r="W11" s="2327"/>
      <c r="X11" s="2327"/>
      <c r="Y11" s="2327"/>
      <c r="Z11" s="2327"/>
      <c r="AA11" s="2327"/>
      <c r="AB11" s="2327"/>
      <c r="AC11" s="2327"/>
    </row>
    <row r="12" spans="2:29" s="253" customFormat="1" ht="15" customHeight="1" x14ac:dyDescent="0.2">
      <c r="B12" s="1365" t="s">
        <v>1960</v>
      </c>
      <c r="C12" s="1365"/>
      <c r="D12" s="1365"/>
      <c r="E12" s="1365"/>
      <c r="F12" s="1365"/>
      <c r="G12" s="1365"/>
      <c r="H12" s="1365"/>
      <c r="I12" s="2328"/>
      <c r="J12" s="2328"/>
      <c r="K12" s="2328"/>
      <c r="L12" s="2328"/>
      <c r="M12" s="2328"/>
      <c r="N12" s="2328"/>
      <c r="O12" s="2328"/>
      <c r="P12" s="2327"/>
      <c r="Q12" s="2327"/>
      <c r="R12" s="2327"/>
      <c r="S12" s="2327"/>
      <c r="T12" s="2327"/>
      <c r="U12" s="2327"/>
      <c r="V12" s="2327"/>
      <c r="W12" s="2327"/>
      <c r="X12" s="2327"/>
      <c r="Y12" s="2327"/>
      <c r="Z12" s="2327"/>
      <c r="AA12" s="2327"/>
      <c r="AB12" s="2327"/>
      <c r="AC12" s="2327"/>
    </row>
    <row r="13" spans="2:29" s="253" customFormat="1" ht="15" customHeight="1" x14ac:dyDescent="0.2">
      <c r="B13" s="1365"/>
      <c r="C13" s="1365"/>
      <c r="D13" s="1365"/>
      <c r="E13" s="1365"/>
      <c r="F13" s="1365"/>
      <c r="G13" s="1365"/>
      <c r="H13" s="1365"/>
      <c r="I13" s="2327"/>
      <c r="J13" s="2327"/>
      <c r="K13" s="2327"/>
      <c r="L13" s="2327"/>
      <c r="M13" s="1916"/>
      <c r="N13" s="2327"/>
      <c r="O13" s="2327"/>
      <c r="P13" s="2327"/>
      <c r="Q13" s="2327"/>
      <c r="R13" s="2327"/>
      <c r="S13" s="2327"/>
      <c r="T13" s="2327"/>
      <c r="U13" s="2327"/>
      <c r="V13" s="2327"/>
      <c r="W13" s="2327"/>
      <c r="X13" s="2327"/>
      <c r="Y13" s="2327"/>
      <c r="Z13" s="2327"/>
      <c r="AA13" s="2327"/>
      <c r="AB13" s="2327"/>
      <c r="AC13" s="2327"/>
    </row>
    <row r="14" spans="2:29" s="253" customFormat="1" ht="15" customHeight="1" x14ac:dyDescent="0.2">
      <c r="B14" s="1366" t="s">
        <v>1961</v>
      </c>
      <c r="C14" s="1365"/>
      <c r="D14" s="1365"/>
      <c r="E14" s="1365"/>
      <c r="F14" s="1365"/>
      <c r="G14" s="1422"/>
      <c r="H14" s="1365"/>
      <c r="I14" s="2329"/>
      <c r="J14" s="2329"/>
      <c r="K14" s="2795"/>
      <c r="L14" s="2795"/>
      <c r="M14" s="2795"/>
      <c r="N14" s="2795"/>
      <c r="O14" s="2327"/>
      <c r="P14" s="2327"/>
      <c r="Q14" s="2327"/>
      <c r="R14" s="2327"/>
      <c r="S14" s="2327"/>
      <c r="T14" s="2327"/>
      <c r="U14" s="2327"/>
      <c r="V14" s="2327"/>
      <c r="W14" s="2327"/>
      <c r="X14" s="2327"/>
      <c r="Y14" s="2327"/>
      <c r="Z14" s="2327"/>
      <c r="AA14" s="2327"/>
      <c r="AB14" s="2327"/>
      <c r="AC14" s="2327"/>
    </row>
    <row r="15" spans="2:29" s="253" customFormat="1" ht="15" customHeight="1" x14ac:dyDescent="0.2">
      <c r="B15" s="1365" t="s">
        <v>1962</v>
      </c>
      <c r="C15" s="1365"/>
      <c r="D15" s="1365"/>
      <c r="E15" s="1365"/>
      <c r="F15" s="1365"/>
      <c r="G15" s="1365"/>
      <c r="H15" s="1365"/>
      <c r="I15" s="2330"/>
      <c r="J15" s="2330"/>
      <c r="K15" s="2327"/>
      <c r="L15" s="2327"/>
      <c r="M15" s="1916"/>
      <c r="N15" s="2327"/>
      <c r="O15" s="2327"/>
      <c r="P15" s="2327"/>
      <c r="Q15" s="2327"/>
      <c r="R15" s="2327"/>
      <c r="S15" s="2327"/>
      <c r="T15" s="2327"/>
      <c r="U15" s="2327"/>
      <c r="V15" s="2327"/>
      <c r="W15" s="2327"/>
      <c r="X15" s="2327"/>
      <c r="Y15" s="2327"/>
      <c r="Z15" s="2327"/>
      <c r="AA15" s="2327"/>
      <c r="AB15" s="2327"/>
      <c r="AC15" s="2327"/>
    </row>
    <row r="16" spans="2:29" s="253" customFormat="1" ht="15" customHeight="1" x14ac:dyDescent="0.2">
      <c r="B16" s="1365" t="s">
        <v>1963</v>
      </c>
      <c r="C16" s="1365"/>
      <c r="D16" s="1365"/>
      <c r="E16" s="1365"/>
      <c r="F16" s="1365"/>
      <c r="G16" s="1365"/>
      <c r="H16" s="1365"/>
      <c r="I16" s="2329"/>
      <c r="J16" s="2329"/>
      <c r="K16" s="2327"/>
      <c r="L16" s="2327"/>
      <c r="M16" s="1916"/>
      <c r="N16" s="2327"/>
      <c r="O16" s="2327"/>
      <c r="P16" s="2327"/>
      <c r="Q16" s="2327"/>
      <c r="R16" s="2327"/>
      <c r="S16" s="2327"/>
      <c r="T16" s="2327"/>
      <c r="U16" s="2327"/>
      <c r="V16" s="2327"/>
      <c r="W16" s="2327"/>
      <c r="X16" s="2327"/>
      <c r="Y16" s="2327"/>
      <c r="Z16" s="2327"/>
      <c r="AA16" s="2327"/>
      <c r="AB16" s="2327"/>
      <c r="AC16" s="2327"/>
    </row>
    <row r="17" spans="2:17" s="253" customFormat="1" ht="15" customHeight="1" x14ac:dyDescent="0.2">
      <c r="B17" s="1367"/>
      <c r="C17" s="1367"/>
      <c r="D17" s="1367"/>
      <c r="E17" s="1367"/>
      <c r="F17" s="1367"/>
      <c r="G17" s="1367"/>
      <c r="H17" s="1367"/>
      <c r="I17" s="2327"/>
      <c r="J17" s="2327"/>
      <c r="K17" s="2328"/>
      <c r="L17" s="2328"/>
      <c r="M17" s="2328"/>
      <c r="N17" s="2328"/>
      <c r="O17" s="2328"/>
      <c r="P17" s="2327"/>
      <c r="Q17" s="2327"/>
    </row>
    <row r="18" spans="2:17" s="253" customFormat="1" ht="15" customHeight="1" x14ac:dyDescent="0.2">
      <c r="B18" s="1367"/>
      <c r="C18" s="1367"/>
      <c r="D18" s="1367"/>
      <c r="E18" s="1367"/>
      <c r="F18" s="1367"/>
      <c r="G18" s="1367"/>
      <c r="H18" s="1367"/>
      <c r="I18" s="1917"/>
      <c r="J18" s="1918"/>
      <c r="K18" s="2328"/>
      <c r="L18" s="2328"/>
      <c r="M18" s="2328"/>
      <c r="N18" s="2328"/>
      <c r="O18" s="2328"/>
      <c r="P18" s="2327"/>
      <c r="Q18" s="2327"/>
    </row>
    <row r="19" spans="2:17" s="253" customFormat="1" ht="15" customHeight="1" x14ac:dyDescent="0.2">
      <c r="B19" s="1367"/>
      <c r="C19" s="1367"/>
      <c r="D19" s="1367"/>
      <c r="E19" s="1367"/>
      <c r="F19" s="1367"/>
      <c r="G19" s="1367"/>
      <c r="H19" s="1367"/>
      <c r="I19" s="2327"/>
      <c r="J19" s="2327"/>
      <c r="K19" s="2328"/>
      <c r="L19" s="2328"/>
      <c r="M19" s="2328"/>
      <c r="N19" s="2328"/>
      <c r="O19" s="2328"/>
      <c r="P19" s="2327"/>
      <c r="Q19" s="2327"/>
    </row>
    <row r="20" spans="2:17" s="253" customFormat="1" ht="15" customHeight="1" x14ac:dyDescent="0.2">
      <c r="B20" s="1367"/>
      <c r="C20" s="1367"/>
      <c r="D20" s="1367"/>
      <c r="E20" s="1367"/>
      <c r="F20" s="1367"/>
      <c r="G20" s="1367"/>
      <c r="H20" s="1367"/>
      <c r="I20" s="2327"/>
      <c r="J20" s="2327"/>
      <c r="K20" s="2327"/>
      <c r="L20" s="2327"/>
      <c r="M20" s="2327"/>
      <c r="N20" s="2327"/>
      <c r="O20" s="2327"/>
      <c r="P20" s="2327"/>
      <c r="Q20" s="2327"/>
    </row>
    <row r="21" spans="2:17" s="253" customFormat="1" ht="15" customHeight="1" x14ac:dyDescent="0.2">
      <c r="B21" s="1367"/>
      <c r="C21" s="1367"/>
      <c r="D21" s="1367"/>
      <c r="E21" s="1367"/>
      <c r="F21" s="1367"/>
      <c r="G21" s="1367"/>
      <c r="H21" s="1367"/>
      <c r="I21" s="1918"/>
      <c r="J21" s="1918"/>
      <c r="K21" s="2327"/>
      <c r="L21" s="1918"/>
      <c r="M21" s="2327"/>
      <c r="N21" s="2327"/>
      <c r="O21" s="2327"/>
      <c r="P21" s="2327"/>
      <c r="Q21" s="1919">
        <v>0.06</v>
      </c>
    </row>
    <row r="22" spans="2:17" s="253" customFormat="1" ht="15" customHeight="1" x14ac:dyDescent="0.2">
      <c r="B22" s="1367"/>
      <c r="C22" s="1367"/>
      <c r="D22" s="1367"/>
      <c r="E22" s="1367"/>
      <c r="F22" s="1367"/>
      <c r="G22" s="1367"/>
      <c r="H22" s="1367"/>
      <c r="I22" s="1920"/>
      <c r="J22" s="2327"/>
      <c r="K22" s="2327"/>
      <c r="L22" s="2327"/>
      <c r="M22" s="2327"/>
      <c r="N22" s="254"/>
      <c r="O22" s="2327"/>
      <c r="P22" s="2327"/>
      <c r="Q22" s="1919"/>
    </row>
    <row r="23" spans="2:17" s="253" customFormat="1" ht="15" customHeight="1" x14ac:dyDescent="0.2">
      <c r="B23" s="1367"/>
      <c r="C23" s="1367"/>
      <c r="D23" s="1367"/>
      <c r="E23" s="1367"/>
      <c r="F23" s="1367"/>
      <c r="G23" s="1367"/>
      <c r="H23" s="1367"/>
      <c r="I23" s="1918"/>
      <c r="J23" s="1918"/>
      <c r="K23" s="2327"/>
      <c r="L23" s="1918"/>
      <c r="M23" s="2327"/>
      <c r="N23" s="2327"/>
      <c r="O23" s="2327"/>
      <c r="P23" s="2327"/>
      <c r="Q23" s="1919">
        <v>6.8400000000000002E-2</v>
      </c>
    </row>
    <row r="24" spans="2:17" s="253" customFormat="1" ht="15" customHeight="1" x14ac:dyDescent="0.2">
      <c r="B24" s="1367"/>
      <c r="C24" s="1367"/>
      <c r="D24" s="1367"/>
      <c r="E24" s="1367"/>
      <c r="F24" s="1367"/>
      <c r="G24" s="1367"/>
      <c r="H24" s="1367"/>
      <c r="I24" s="1920"/>
      <c r="J24" s="2327"/>
      <c r="K24" s="2327"/>
      <c r="L24" s="2327"/>
      <c r="M24" s="2327"/>
      <c r="N24" s="2327"/>
      <c r="O24" s="2327"/>
      <c r="P24" s="2327"/>
      <c r="Q24" s="2327"/>
    </row>
    <row r="25" spans="2:17" s="253" customFormat="1" ht="15" customHeight="1" thickBot="1" x14ac:dyDescent="0.25">
      <c r="B25" s="1362"/>
      <c r="C25" s="1362"/>
      <c r="D25" s="1362"/>
      <c r="E25" s="1363"/>
      <c r="F25" s="1363"/>
      <c r="G25" s="1362"/>
      <c r="H25" s="1364"/>
      <c r="I25" s="1918"/>
      <c r="J25" s="1918"/>
      <c r="K25" s="2327"/>
      <c r="L25" s="1918"/>
      <c r="M25" s="2328"/>
      <c r="N25" s="2328"/>
      <c r="O25" s="2328"/>
      <c r="P25" s="2327"/>
      <c r="Q25" s="2327"/>
    </row>
    <row r="26" spans="2:17" s="253" customFormat="1" ht="15" customHeight="1" x14ac:dyDescent="0.2">
      <c r="B26" s="1361"/>
      <c r="C26" s="1361"/>
      <c r="D26" s="1361"/>
      <c r="E26" s="1361"/>
      <c r="F26" s="1361"/>
      <c r="G26" s="1361"/>
      <c r="H26" s="1361"/>
      <c r="I26" s="2327"/>
      <c r="J26" s="2327"/>
      <c r="K26" s="2327"/>
      <c r="L26" s="2327"/>
      <c r="M26" s="2328"/>
      <c r="N26" s="2328"/>
      <c r="O26" s="2328"/>
      <c r="P26" s="2327"/>
      <c r="Q26" s="2327"/>
    </row>
    <row r="27" spans="2:17" s="253" customFormat="1" ht="15" customHeight="1" x14ac:dyDescent="0.2">
      <c r="B27" s="1365" t="s">
        <v>1964</v>
      </c>
      <c r="C27" s="1365"/>
      <c r="D27" s="1365"/>
      <c r="E27" s="1365"/>
      <c r="F27" s="1365"/>
      <c r="G27" s="1365"/>
      <c r="H27" s="1365"/>
      <c r="I27" s="2327"/>
      <c r="J27" s="2327"/>
      <c r="K27" s="2327"/>
      <c r="L27" s="2327"/>
      <c r="M27" s="2328"/>
      <c r="N27" s="2328"/>
      <c r="O27" s="2328"/>
      <c r="P27" s="2327"/>
      <c r="Q27" s="2327"/>
    </row>
    <row r="28" spans="2:17" s="253" customFormat="1" ht="15" customHeight="1" x14ac:dyDescent="0.2">
      <c r="B28" s="1365" t="s">
        <v>1959</v>
      </c>
      <c r="C28" s="1365"/>
      <c r="D28" s="1365"/>
      <c r="E28" s="1365"/>
      <c r="F28" s="1365"/>
      <c r="G28" s="1365"/>
      <c r="H28" s="1365"/>
      <c r="I28" s="2327"/>
      <c r="J28" s="2327"/>
      <c r="K28" s="2327"/>
      <c r="L28" s="2327"/>
      <c r="M28" s="2328"/>
      <c r="N28" s="2328"/>
      <c r="O28" s="2328"/>
      <c r="P28" s="2327"/>
      <c r="Q28" s="2327"/>
    </row>
    <row r="29" spans="2:17" s="253" customFormat="1" ht="15" customHeight="1" x14ac:dyDescent="0.2">
      <c r="B29" s="1365" t="s">
        <v>1965</v>
      </c>
      <c r="C29" s="1365"/>
      <c r="D29" s="1365"/>
      <c r="E29" s="1365"/>
      <c r="F29" s="1365"/>
      <c r="G29" s="1365"/>
      <c r="H29" s="1365"/>
      <c r="I29" s="2327"/>
      <c r="J29" s="2327"/>
      <c r="K29" s="2327"/>
      <c r="L29" s="2327"/>
      <c r="M29" s="2328"/>
      <c r="N29" s="2328"/>
      <c r="O29" s="2328"/>
      <c r="P29" s="2327"/>
      <c r="Q29" s="2327"/>
    </row>
    <row r="30" spans="2:17" s="253" customFormat="1" ht="15" customHeight="1" x14ac:dyDescent="0.2">
      <c r="B30" s="1367"/>
      <c r="C30" s="1367"/>
      <c r="D30" s="1367"/>
      <c r="E30" s="1367"/>
      <c r="F30" s="1367"/>
      <c r="G30" s="1367"/>
      <c r="H30" s="1367"/>
      <c r="I30" s="2327"/>
      <c r="J30" s="2327"/>
      <c r="K30" s="2327"/>
      <c r="L30" s="2327"/>
      <c r="M30" s="2328"/>
      <c r="N30" s="2328"/>
      <c r="O30" s="2328"/>
      <c r="P30" s="2327"/>
      <c r="Q30" s="2327"/>
    </row>
    <row r="31" spans="2:17" s="253" customFormat="1" ht="15" customHeight="1" x14ac:dyDescent="0.2">
      <c r="B31" s="1366" t="s">
        <v>1966</v>
      </c>
      <c r="C31" s="1365"/>
      <c r="D31" s="1365"/>
      <c r="E31" s="1365"/>
      <c r="F31" s="1365"/>
      <c r="G31" s="1422"/>
      <c r="H31" s="1365"/>
      <c r="I31" s="2327"/>
      <c r="J31" s="2327"/>
      <c r="K31" s="2795"/>
      <c r="L31" s="2795"/>
      <c r="M31" s="2795"/>
      <c r="N31" s="2795"/>
      <c r="O31" s="2328"/>
      <c r="P31" s="2327"/>
      <c r="Q31" s="2327"/>
    </row>
    <row r="32" spans="2:17" s="253" customFormat="1" ht="15" customHeight="1" x14ac:dyDescent="0.2">
      <c r="B32" s="1365" t="s">
        <v>1967</v>
      </c>
      <c r="C32" s="1365"/>
      <c r="D32" s="1365"/>
      <c r="E32" s="1365"/>
      <c r="F32" s="1365"/>
      <c r="G32" s="1365"/>
      <c r="H32" s="1365"/>
      <c r="I32" s="2327"/>
      <c r="J32" s="2327"/>
      <c r="K32" s="2327"/>
      <c r="L32" s="2327"/>
      <c r="M32" s="2328"/>
      <c r="N32" s="2328"/>
      <c r="O32" s="2328"/>
      <c r="P32" s="2327"/>
      <c r="Q32" s="2327"/>
    </row>
    <row r="33" spans="1:15" s="253" customFormat="1" ht="15" customHeight="1" x14ac:dyDescent="0.2">
      <c r="A33" s="2327"/>
      <c r="B33" s="1365" t="s">
        <v>1963</v>
      </c>
      <c r="C33" s="1365"/>
      <c r="D33" s="1365"/>
      <c r="E33" s="1365"/>
      <c r="F33" s="1365"/>
      <c r="G33" s="1365"/>
      <c r="H33" s="1365"/>
      <c r="I33" s="2327"/>
      <c r="J33" s="2327"/>
      <c r="K33" s="2327"/>
      <c r="L33" s="2327"/>
      <c r="M33" s="2328"/>
      <c r="N33" s="2328"/>
      <c r="O33" s="2328"/>
    </row>
    <row r="34" spans="1:15" s="253" customFormat="1" ht="15" customHeight="1" x14ac:dyDescent="0.2">
      <c r="A34" s="2327"/>
      <c r="B34" s="1367"/>
      <c r="C34" s="1367"/>
      <c r="D34" s="1367"/>
      <c r="E34" s="1367"/>
      <c r="F34" s="1367"/>
      <c r="G34" s="1367"/>
      <c r="H34" s="1367"/>
      <c r="I34" s="2327"/>
      <c r="J34" s="2327"/>
      <c r="K34" s="2327"/>
      <c r="L34" s="2327"/>
      <c r="M34" s="2328"/>
      <c r="N34" s="2328"/>
      <c r="O34" s="2328"/>
    </row>
    <row r="35" spans="1:15" s="253" customFormat="1" ht="15" customHeight="1" x14ac:dyDescent="0.2">
      <c r="A35" s="2327"/>
      <c r="B35" s="1367"/>
      <c r="C35" s="1367"/>
      <c r="D35" s="1367"/>
      <c r="E35" s="1367"/>
      <c r="F35" s="1367"/>
      <c r="G35" s="1367"/>
      <c r="H35" s="1367"/>
      <c r="I35" s="254"/>
      <c r="J35" s="254"/>
      <c r="K35" s="254"/>
      <c r="L35" s="2327"/>
      <c r="M35" s="1368"/>
      <c r="N35" s="2327"/>
      <c r="O35" s="894"/>
    </row>
    <row r="36" spans="1:15" s="253" customFormat="1" ht="15" customHeight="1" x14ac:dyDescent="0.2">
      <c r="A36" s="2327"/>
      <c r="B36" s="1367"/>
      <c r="C36" s="1367"/>
      <c r="D36" s="1367"/>
      <c r="E36" s="1367"/>
      <c r="F36" s="1367"/>
      <c r="G36" s="1367"/>
      <c r="H36" s="1367"/>
      <c r="I36" s="2327"/>
      <c r="J36" s="2327"/>
      <c r="K36" s="2327"/>
      <c r="L36" s="2327"/>
      <c r="M36" s="2328"/>
      <c r="N36" s="2328"/>
      <c r="O36" s="2328"/>
    </row>
    <row r="37" spans="1:15" s="253" customFormat="1" ht="15" customHeight="1" x14ac:dyDescent="0.2">
      <c r="A37" s="2327"/>
      <c r="B37" s="1367"/>
      <c r="C37" s="1367"/>
      <c r="D37" s="1367"/>
      <c r="E37" s="1367"/>
      <c r="F37" s="1367"/>
      <c r="G37" s="1367"/>
      <c r="H37" s="1367"/>
      <c r="I37" s="2327"/>
      <c r="J37" s="2327"/>
      <c r="K37" s="2327"/>
      <c r="L37" s="2327"/>
      <c r="M37" s="2328"/>
      <c r="N37" s="2328"/>
      <c r="O37" s="2328"/>
    </row>
    <row r="38" spans="1:15" s="253" customFormat="1" ht="15" customHeight="1" x14ac:dyDescent="0.2">
      <c r="A38" s="2327"/>
      <c r="B38" s="1367"/>
      <c r="C38" s="1367"/>
      <c r="D38" s="1367"/>
      <c r="E38" s="1367"/>
      <c r="F38" s="1367"/>
      <c r="G38" s="1367"/>
      <c r="H38" s="1367"/>
      <c r="I38" s="2327"/>
      <c r="J38" s="2327"/>
      <c r="K38" s="2327"/>
      <c r="L38" s="2327"/>
      <c r="M38" s="2328"/>
      <c r="N38" s="2328"/>
      <c r="O38" s="2328"/>
    </row>
    <row r="39" spans="1:15" s="253" customFormat="1" ht="15" customHeight="1" x14ac:dyDescent="0.2">
      <c r="A39" s="2327"/>
      <c r="B39" s="1367"/>
      <c r="C39" s="1367"/>
      <c r="D39" s="1367"/>
      <c r="E39" s="1367"/>
      <c r="F39" s="1367"/>
      <c r="G39" s="1367"/>
      <c r="H39" s="1367"/>
      <c r="I39" s="2327"/>
      <c r="J39" s="2327"/>
      <c r="K39" s="2327"/>
      <c r="L39" s="2327"/>
      <c r="M39" s="2328"/>
      <c r="N39" s="2328"/>
      <c r="O39" s="2328"/>
    </row>
    <row r="40" spans="1:15" s="253" customFormat="1" ht="15" customHeight="1" x14ac:dyDescent="0.2">
      <c r="A40" s="2327"/>
      <c r="B40" s="1367"/>
      <c r="C40" s="1367"/>
      <c r="D40" s="1367"/>
      <c r="E40" s="1367"/>
      <c r="F40" s="1367"/>
      <c r="G40" s="1367"/>
      <c r="H40" s="1367"/>
      <c r="I40" s="2327"/>
      <c r="J40" s="2327"/>
      <c r="K40" s="2327"/>
      <c r="L40" s="2327"/>
      <c r="M40" s="2328"/>
      <c r="N40" s="2328"/>
      <c r="O40" s="1369"/>
    </row>
    <row r="41" spans="1:15" s="253" customFormat="1" ht="6" customHeight="1" x14ac:dyDescent="0.2">
      <c r="A41" s="2327"/>
      <c r="B41" s="1367"/>
      <c r="C41" s="1367"/>
      <c r="D41" s="1367"/>
      <c r="E41" s="1367"/>
      <c r="F41" s="1367"/>
      <c r="G41" s="1367"/>
      <c r="H41" s="1367"/>
      <c r="I41" s="2327"/>
      <c r="J41" s="2327"/>
      <c r="K41" s="2327"/>
      <c r="L41" s="2327"/>
      <c r="M41" s="2327"/>
      <c r="N41" s="2327"/>
      <c r="O41" s="2327"/>
    </row>
    <row r="42" spans="1:15" s="253" customFormat="1" ht="15" customHeight="1" thickBot="1" x14ac:dyDescent="0.25">
      <c r="A42" s="2327"/>
      <c r="B42" s="1362"/>
      <c r="C42" s="1362"/>
      <c r="D42" s="1362"/>
      <c r="E42" s="1363"/>
      <c r="F42" s="1363"/>
      <c r="G42" s="1362"/>
      <c r="H42" s="1364"/>
      <c r="I42" s="2327"/>
      <c r="J42" s="2327"/>
      <c r="K42" s="2327"/>
      <c r="L42" s="2327"/>
      <c r="M42" s="2328"/>
      <c r="N42" s="2328"/>
      <c r="O42" s="1369"/>
    </row>
    <row r="43" spans="1:15" s="253" customFormat="1" ht="6" customHeight="1" x14ac:dyDescent="0.2">
      <c r="A43" s="2327"/>
      <c r="B43" s="1361"/>
      <c r="C43" s="1361"/>
      <c r="D43" s="1361"/>
      <c r="E43" s="1361"/>
      <c r="F43" s="1361"/>
      <c r="G43" s="1361"/>
      <c r="H43" s="1361"/>
      <c r="I43" s="2327"/>
      <c r="J43" s="2327"/>
      <c r="K43" s="2327"/>
      <c r="L43" s="2327"/>
      <c r="M43" s="2328"/>
      <c r="N43" s="2328"/>
      <c r="O43" s="1369"/>
    </row>
    <row r="44" spans="1:15" s="253" customFormat="1" ht="15" customHeight="1" x14ac:dyDescent="0.2">
      <c r="A44" s="2327"/>
      <c r="B44" s="1365" t="s">
        <v>1968</v>
      </c>
      <c r="C44" s="1365"/>
      <c r="D44" s="1365"/>
      <c r="E44" s="1365"/>
      <c r="F44" s="1365"/>
      <c r="G44" s="1365"/>
      <c r="H44" s="1365"/>
      <c r="I44" s="2327"/>
      <c r="J44" s="2327"/>
      <c r="K44" s="2327"/>
      <c r="L44" s="2327"/>
      <c r="M44" s="2328"/>
      <c r="N44" s="2328"/>
      <c r="O44" s="1369"/>
    </row>
    <row r="45" spans="1:15" s="253" customFormat="1" ht="15" customHeight="1" x14ac:dyDescent="0.2">
      <c r="A45" s="2327"/>
      <c r="B45" s="1365" t="s">
        <v>1959</v>
      </c>
      <c r="C45" s="1365"/>
      <c r="D45" s="1365"/>
      <c r="E45" s="1365"/>
      <c r="F45" s="1365"/>
      <c r="G45" s="1365"/>
      <c r="H45" s="1365"/>
      <c r="I45" s="2327"/>
      <c r="J45" s="2327"/>
      <c r="K45" s="2327"/>
      <c r="L45" s="2327"/>
      <c r="M45" s="2327"/>
      <c r="N45" s="2327"/>
      <c r="O45" s="2327"/>
    </row>
    <row r="46" spans="1:15" s="253" customFormat="1" ht="15" customHeight="1" x14ac:dyDescent="0.2">
      <c r="A46" s="2327"/>
      <c r="B46" s="1365" t="s">
        <v>1969</v>
      </c>
      <c r="C46" s="1365"/>
      <c r="D46" s="1365"/>
      <c r="E46" s="1365"/>
      <c r="F46" s="1365"/>
      <c r="G46" s="1365"/>
      <c r="H46" s="1365"/>
      <c r="I46" s="2327"/>
      <c r="J46" s="2327"/>
      <c r="K46" s="2327"/>
      <c r="L46" s="2327"/>
      <c r="M46" s="2327"/>
      <c r="N46" s="2327"/>
      <c r="O46" s="2327"/>
    </row>
    <row r="47" spans="1:15" s="253" customFormat="1" ht="15" customHeight="1" x14ac:dyDescent="0.2">
      <c r="A47" s="2327"/>
      <c r="B47" s="1367"/>
      <c r="C47" s="1367"/>
      <c r="D47" s="1367"/>
      <c r="E47" s="1367"/>
      <c r="F47" s="1367"/>
      <c r="G47" s="1367"/>
      <c r="H47" s="1367"/>
      <c r="I47" s="2327"/>
      <c r="J47" s="2327"/>
      <c r="K47" s="2327"/>
      <c r="L47" s="2327"/>
      <c r="M47" s="2327"/>
      <c r="N47" s="2327"/>
      <c r="O47" s="2327"/>
    </row>
    <row r="48" spans="1:15" s="253" customFormat="1" ht="15" customHeight="1" x14ac:dyDescent="0.2">
      <c r="A48" s="445" t="str">
        <f ca="1">MID(CELL("filename",A7),FIND("]",CELL("filename",A7))+1,256)</f>
        <v>602</v>
      </c>
      <c r="B48" s="1366" t="s">
        <v>1970</v>
      </c>
      <c r="C48" s="1365"/>
      <c r="D48" s="1365"/>
      <c r="E48" s="1365"/>
      <c r="F48" s="1365"/>
      <c r="G48" s="1422"/>
      <c r="H48" s="1365"/>
      <c r="I48" s="2327"/>
      <c r="J48" s="2327"/>
      <c r="K48" s="2795"/>
      <c r="L48" s="2795"/>
      <c r="M48" s="2795"/>
      <c r="N48" s="2795"/>
      <c r="O48" s="2327"/>
    </row>
    <row r="49" spans="1:8" s="253" customFormat="1" ht="15" customHeight="1" x14ac:dyDescent="0.2">
      <c r="A49" s="445" t="s">
        <v>380</v>
      </c>
      <c r="B49" s="1365" t="s">
        <v>1967</v>
      </c>
      <c r="C49" s="1365"/>
      <c r="D49" s="1365"/>
      <c r="E49" s="1365"/>
      <c r="F49" s="1365"/>
      <c r="G49" s="1365"/>
      <c r="H49" s="1365"/>
    </row>
    <row r="50" spans="1:8" s="253" customFormat="1" ht="15" customHeight="1" x14ac:dyDescent="0.2">
      <c r="A50" s="445" t="s">
        <v>381</v>
      </c>
      <c r="B50" s="1365" t="s">
        <v>1963</v>
      </c>
      <c r="C50" s="1365"/>
      <c r="D50" s="1365"/>
      <c r="E50" s="1365"/>
      <c r="F50" s="1365"/>
      <c r="G50" s="1365"/>
      <c r="H50" s="1365"/>
    </row>
    <row r="51" spans="1:8" s="253" customFormat="1" ht="15" customHeight="1" x14ac:dyDescent="0.2">
      <c r="A51" s="445" t="s">
        <v>382</v>
      </c>
      <c r="B51" s="1367"/>
      <c r="C51" s="1367"/>
      <c r="D51" s="1367"/>
      <c r="E51" s="1367"/>
      <c r="F51" s="1367"/>
      <c r="G51" s="1367"/>
      <c r="H51" s="1367"/>
    </row>
    <row r="52" spans="1:8" s="253" customFormat="1" ht="15" customHeight="1" x14ac:dyDescent="0.2">
      <c r="A52" s="445" t="s">
        <v>383</v>
      </c>
      <c r="B52" s="1367"/>
      <c r="C52" s="1367"/>
      <c r="D52" s="1367"/>
      <c r="E52" s="1367"/>
      <c r="F52" s="1367"/>
      <c r="G52" s="1367"/>
      <c r="H52" s="1367"/>
    </row>
    <row r="53" spans="1:8" s="253" customFormat="1" ht="15" x14ac:dyDescent="0.2">
      <c r="A53" s="445" t="s">
        <v>384</v>
      </c>
      <c r="B53" s="1367"/>
      <c r="C53" s="1367"/>
      <c r="D53" s="1367"/>
      <c r="E53" s="1367"/>
      <c r="F53" s="1367"/>
      <c r="G53" s="1367"/>
      <c r="H53" s="1367"/>
    </row>
    <row r="54" spans="1:8" s="253" customFormat="1" ht="15" x14ac:dyDescent="0.2">
      <c r="A54" s="445" t="s">
        <v>385</v>
      </c>
      <c r="B54" s="1367"/>
      <c r="C54" s="1367"/>
      <c r="D54" s="1367"/>
      <c r="E54" s="1367"/>
      <c r="F54" s="1367"/>
      <c r="G54" s="1367"/>
      <c r="H54" s="1367"/>
    </row>
    <row r="55" spans="1:8" s="253" customFormat="1" ht="15" x14ac:dyDescent="0.2">
      <c r="A55" s="445" t="s">
        <v>386</v>
      </c>
      <c r="B55" s="1367"/>
      <c r="C55" s="1367"/>
      <c r="D55" s="1367"/>
      <c r="E55" s="1367"/>
      <c r="F55" s="1367"/>
      <c r="G55" s="1367"/>
      <c r="H55" s="1367"/>
    </row>
    <row r="56" spans="1:8" s="253" customFormat="1" ht="15" x14ac:dyDescent="0.2">
      <c r="A56" s="445" t="s">
        <v>387</v>
      </c>
      <c r="B56" s="1367"/>
      <c r="C56" s="1367"/>
      <c r="D56" s="1367"/>
      <c r="E56" s="1367"/>
      <c r="F56" s="1367"/>
      <c r="G56" s="1367"/>
      <c r="H56" s="1367"/>
    </row>
    <row r="57" spans="1:8" s="253" customFormat="1" ht="15" x14ac:dyDescent="0.2">
      <c r="A57" s="445" t="s">
        <v>388</v>
      </c>
      <c r="B57" s="1367"/>
      <c r="C57" s="1367"/>
      <c r="D57" s="1367"/>
      <c r="E57" s="1367"/>
      <c r="F57" s="1367"/>
      <c r="G57" s="1367"/>
      <c r="H57" s="1367"/>
    </row>
    <row r="58" spans="1:8" s="253" customFormat="1" ht="15" x14ac:dyDescent="0.2">
      <c r="A58" s="445" t="s">
        <v>389</v>
      </c>
      <c r="B58" s="1367"/>
      <c r="C58" s="1367"/>
      <c r="D58" s="1367"/>
      <c r="E58" s="1367"/>
      <c r="F58" s="1367"/>
      <c r="G58" s="1367"/>
      <c r="H58" s="1367"/>
    </row>
    <row r="59" spans="1:8" s="253" customFormat="1" ht="12.75" x14ac:dyDescent="0.2">
      <c r="A59" s="2327"/>
      <c r="B59" s="2327"/>
      <c r="C59" s="2327"/>
      <c r="D59" s="2327"/>
      <c r="E59" s="2327"/>
      <c r="F59" s="2327"/>
      <c r="G59" s="2327"/>
      <c r="H59" s="2327"/>
    </row>
    <row r="60" spans="1:8" s="253" customFormat="1" ht="12.75" x14ac:dyDescent="0.2">
      <c r="A60" s="2327"/>
      <c r="B60" s="2327"/>
      <c r="C60" s="2327"/>
      <c r="D60" s="2327"/>
      <c r="E60" s="2327"/>
      <c r="F60" s="2327"/>
      <c r="G60" s="2327"/>
      <c r="H60" s="2327"/>
    </row>
    <row r="61" spans="1:8" s="255" customFormat="1" ht="12" x14ac:dyDescent="0.2"/>
    <row r="62" spans="1:8" s="255" customFormat="1" ht="12" x14ac:dyDescent="0.2"/>
    <row r="63" spans="1:8" s="255" customFormat="1" ht="12" x14ac:dyDescent="0.2"/>
    <row r="64" spans="1:8" s="255" customFormat="1" ht="12" x14ac:dyDescent="0.2"/>
    <row r="65" s="255" customFormat="1" ht="12" x14ac:dyDescent="0.2"/>
    <row r="66" s="255" customFormat="1" ht="12" x14ac:dyDescent="0.2"/>
    <row r="67" s="255" customFormat="1" ht="12" x14ac:dyDescent="0.2"/>
    <row r="68" s="255" customFormat="1" ht="12" x14ac:dyDescent="0.2"/>
    <row r="69" s="255" customFormat="1" ht="12" x14ac:dyDescent="0.2"/>
    <row r="70" s="255" customFormat="1" ht="12" x14ac:dyDescent="0.2"/>
    <row r="71" s="255" customFormat="1" ht="12" x14ac:dyDescent="0.2"/>
    <row r="72" s="255" customFormat="1" ht="12" x14ac:dyDescent="0.2"/>
    <row r="73" s="255" customFormat="1" ht="12" x14ac:dyDescent="0.2"/>
    <row r="74" s="255" customFormat="1" ht="12" x14ac:dyDescent="0.2"/>
    <row r="75" s="255" customFormat="1" ht="12" x14ac:dyDescent="0.2"/>
    <row r="76" s="255" customFormat="1" ht="12" x14ac:dyDescent="0.2"/>
    <row r="77" s="255" customFormat="1" ht="12" x14ac:dyDescent="0.2"/>
    <row r="78" s="255" customFormat="1" ht="12" x14ac:dyDescent="0.2"/>
    <row r="79" s="255" customFormat="1" ht="12" x14ac:dyDescent="0.2"/>
    <row r="80" s="255" customFormat="1" ht="12" x14ac:dyDescent="0.2"/>
    <row r="81" s="255" customFormat="1" ht="12" x14ac:dyDescent="0.2"/>
    <row r="82" s="255" customFormat="1" ht="12" x14ac:dyDescent="0.2"/>
    <row r="83" s="255" customFormat="1" ht="12" x14ac:dyDescent="0.2"/>
    <row r="84" s="255" customFormat="1" ht="12" x14ac:dyDescent="0.2"/>
  </sheetData>
  <sheetProtection algorithmName="SHA-512" hashValue="QszUo31eOCYza5SZfHVK8Z35Jd24Uq/+KFUH6ghiJ+ZM/3VYmoQ2ayw9dz+InDYZTi0MziuYyLiplO1W5XQZzg==" saltValue="zjEcugQpPjaIEVJ/a/NQjQ==" spinCount="100000" sheet="1" objects="1" scenarios="1" autoFilter="0"/>
  <mergeCells count="12">
    <mergeCell ref="K48:N48"/>
    <mergeCell ref="K31:N31"/>
    <mergeCell ref="E6:H6"/>
    <mergeCell ref="M6:O6"/>
    <mergeCell ref="E7:H7"/>
    <mergeCell ref="M7:O7"/>
    <mergeCell ref="K14:N14"/>
    <mergeCell ref="B1:O1"/>
    <mergeCell ref="B2:O2"/>
    <mergeCell ref="B3:O3"/>
    <mergeCell ref="E5:H5"/>
    <mergeCell ref="M5:O5"/>
  </mergeCells>
  <conditionalFormatting sqref="O35">
    <cfRule type="containsText" dxfId="52" priority="1" stopIfTrue="1" operator="containsText" text="Answer Missing">
      <formula>NOT(ISERROR(SEARCH("Answer Missing",O35)))</formula>
    </cfRule>
  </conditionalFormatting>
  <conditionalFormatting sqref="P1:P3">
    <cfRule type="cellIs" dxfId="51" priority="2" stopIfTrue="1" operator="equal">
      <formula>"na"</formula>
    </cfRule>
  </conditionalFormatting>
  <hyperlinks>
    <hyperlink ref="B1:O1" location="Index!A1" display="Index!A1" xr:uid="{1C8D7A2C-8446-4F4E-8B0E-F6E05528FD5B}"/>
  </hyperlinks>
  <pageMargins left="0.6" right="0.6" top="0.5" bottom="0.5" header="0.3" footer="0.3"/>
  <pageSetup scale="85"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7">
    <pageSetUpPr fitToPage="1"/>
  </sheetPr>
  <dimension ref="A1:AC84"/>
  <sheetViews>
    <sheetView showGridLines="0" topLeftCell="B1" zoomScaleNormal="100" workbookViewId="0">
      <selection activeCell="A2" sqref="A2"/>
    </sheetView>
  </sheetViews>
  <sheetFormatPr defaultColWidth="9.42578125" defaultRowHeight="11.25" x14ac:dyDescent="0.2"/>
  <cols>
    <col min="1" max="1" width="0" style="256" hidden="1" customWidth="1"/>
    <col min="2" max="2" width="3.5703125" style="256" customWidth="1"/>
    <col min="3" max="3" width="12.5703125" style="256" customWidth="1"/>
    <col min="4" max="9" width="3.5703125" style="256" customWidth="1"/>
    <col min="10" max="10" width="1.5703125" style="256" customWidth="1"/>
    <col min="11" max="11" width="11.5703125" style="256" customWidth="1"/>
    <col min="12" max="12" width="1.5703125" style="256" customWidth="1"/>
    <col min="13" max="13" width="12.5703125" style="256" customWidth="1"/>
    <col min="14" max="14" width="3.42578125" style="256" bestFit="1" customWidth="1"/>
    <col min="15" max="15" width="19.5703125" style="256" customWidth="1"/>
    <col min="16" max="16" width="4.5703125" style="256" customWidth="1"/>
    <col min="17" max="17" width="9.42578125" style="256" hidden="1" customWidth="1"/>
    <col min="18" max="16384" width="9.42578125" style="256"/>
  </cols>
  <sheetData>
    <row r="1" spans="2:29" s="251" customFormat="1" ht="25.15" customHeight="1" x14ac:dyDescent="0.25">
      <c r="B1" s="2455" t="str">
        <f>+Index!$A$1</f>
        <v xml:space="preserve">                                                               Office of the State Controller                                                                </v>
      </c>
      <c r="C1" s="2455"/>
      <c r="D1" s="2455"/>
      <c r="E1" s="2455"/>
      <c r="F1" s="2455"/>
      <c r="G1" s="2455"/>
      <c r="H1" s="2455"/>
      <c r="I1" s="2455"/>
      <c r="J1" s="2455"/>
      <c r="K1" s="2455"/>
      <c r="L1" s="2455"/>
      <c r="M1" s="2455"/>
      <c r="N1" s="2455"/>
      <c r="O1" s="2455"/>
      <c r="P1" s="881" t="str">
        <f>IF(Index!$B$82="na","NA","")</f>
        <v/>
      </c>
      <c r="AC1" s="252"/>
    </row>
    <row r="2" spans="2:29" s="251" customFormat="1" ht="15" customHeight="1" x14ac:dyDescent="0.25">
      <c r="B2" s="2793" t="str">
        <f>+Index!$A$2</f>
        <v>2023 ACFR Worksheets</v>
      </c>
      <c r="C2" s="2793"/>
      <c r="D2" s="2793"/>
      <c r="E2" s="2793"/>
      <c r="F2" s="2793"/>
      <c r="G2" s="2793"/>
      <c r="H2" s="2793"/>
      <c r="I2" s="2793"/>
      <c r="J2" s="2793"/>
      <c r="K2" s="2793"/>
      <c r="L2" s="2793"/>
      <c r="M2" s="2793"/>
      <c r="N2" s="2793"/>
      <c r="O2" s="2793"/>
      <c r="P2" s="881"/>
    </row>
    <row r="3" spans="2:29" s="251" customFormat="1" ht="15" customHeight="1" x14ac:dyDescent="0.25">
      <c r="B3" s="2793" t="s">
        <v>1971</v>
      </c>
      <c r="C3" s="2793"/>
      <c r="D3" s="2793"/>
      <c r="E3" s="2793"/>
      <c r="F3" s="2793"/>
      <c r="G3" s="2793"/>
      <c r="H3" s="2793"/>
      <c r="I3" s="2793"/>
      <c r="J3" s="2793"/>
      <c r="K3" s="2793"/>
      <c r="L3" s="2793"/>
      <c r="M3" s="2793"/>
      <c r="N3" s="2793"/>
      <c r="O3" s="2793"/>
      <c r="P3" s="881"/>
    </row>
    <row r="4" spans="2:29" s="253" customFormat="1" ht="15" customHeight="1" x14ac:dyDescent="0.2">
      <c r="B4" s="2327"/>
      <c r="C4" s="2327"/>
      <c r="D4" s="2327"/>
      <c r="E4" s="2327"/>
      <c r="F4" s="2327"/>
      <c r="G4" s="2327"/>
      <c r="H4" s="2327"/>
      <c r="I4" s="2327"/>
      <c r="J4" s="2327"/>
      <c r="K4" s="2329"/>
      <c r="L4" s="2327"/>
      <c r="M4" s="2327"/>
      <c r="N4" s="2327"/>
      <c r="O4" s="2327"/>
      <c r="P4" s="2327"/>
      <c r="Q4" s="2327"/>
      <c r="R4" s="2327"/>
      <c r="S4" s="2327"/>
      <c r="T4" s="2327"/>
      <c r="U4" s="2327"/>
      <c r="V4" s="2327"/>
      <c r="W4" s="2327"/>
      <c r="X4" s="2327"/>
      <c r="Y4" s="2327"/>
      <c r="Z4" s="2327"/>
      <c r="AA4" s="2327"/>
      <c r="AB4" s="2327"/>
      <c r="AC4" s="2327"/>
    </row>
    <row r="5" spans="2:29" s="253" customFormat="1" ht="15" customHeight="1" x14ac:dyDescent="0.2">
      <c r="B5" s="1913" t="s">
        <v>1956</v>
      </c>
      <c r="C5" s="2327"/>
      <c r="D5" s="2327"/>
      <c r="E5" s="2794" t="str">
        <f>+Index!$E$10</f>
        <v>01</v>
      </c>
      <c r="F5" s="2794"/>
      <c r="G5" s="2794"/>
      <c r="H5" s="2794"/>
      <c r="I5" s="2327"/>
      <c r="J5" s="2327"/>
      <c r="K5" s="1914" t="s">
        <v>1957</v>
      </c>
      <c r="L5" s="2327"/>
      <c r="M5" s="2492" t="str">
        <f>+Index!$E$11</f>
        <v>North Carolina General Assembly</v>
      </c>
      <c r="N5" s="2492"/>
      <c r="O5" s="2492"/>
      <c r="P5" s="2327"/>
      <c r="Q5" s="2327"/>
      <c r="R5" s="2327"/>
      <c r="S5" s="2327"/>
      <c r="T5" s="2327"/>
      <c r="U5" s="2327"/>
      <c r="V5" s="2327"/>
      <c r="W5" s="2327"/>
      <c r="X5" s="2327"/>
      <c r="Y5" s="2327"/>
      <c r="Z5" s="2327"/>
      <c r="AA5" s="2327"/>
      <c r="AB5" s="2327"/>
      <c r="AC5" s="2327"/>
    </row>
    <row r="6" spans="2:29" s="253" customFormat="1" ht="15" customHeight="1" x14ac:dyDescent="0.2">
      <c r="B6" s="2327" t="s">
        <v>568</v>
      </c>
      <c r="C6" s="2327"/>
      <c r="D6" s="2327"/>
      <c r="E6" s="2794" t="s">
        <v>698</v>
      </c>
      <c r="F6" s="2794"/>
      <c r="G6" s="2794"/>
      <c r="H6" s="2794"/>
      <c r="I6" s="2327"/>
      <c r="J6" s="2327"/>
      <c r="K6" s="1914" t="s">
        <v>319</v>
      </c>
      <c r="L6" s="2327"/>
      <c r="M6" s="2546" t="str">
        <f>CONCATENATE(Index!$E$12," ",Index!$E$14)</f>
        <v xml:space="preserve"> </v>
      </c>
      <c r="N6" s="2546"/>
      <c r="O6" s="2546"/>
      <c r="P6" s="2327"/>
      <c r="Q6" s="2327"/>
      <c r="R6" s="2327"/>
      <c r="S6" s="2327"/>
      <c r="T6" s="2327"/>
      <c r="U6" s="2327"/>
      <c r="V6" s="2327"/>
      <c r="W6" s="2327"/>
      <c r="X6" s="2327"/>
      <c r="Y6" s="2327"/>
      <c r="Z6" s="2327"/>
      <c r="AA6" s="2327"/>
      <c r="AB6" s="2327"/>
      <c r="AC6" s="2327"/>
    </row>
    <row r="7" spans="2:29" s="253" customFormat="1" ht="15" customHeight="1" x14ac:dyDescent="0.2">
      <c r="B7" s="2327"/>
      <c r="C7" s="2327"/>
      <c r="D7" s="2327"/>
      <c r="E7" s="2796"/>
      <c r="F7" s="2796"/>
      <c r="G7" s="2796"/>
      <c r="H7" s="2796"/>
      <c r="I7" s="2327"/>
      <c r="J7" s="2327"/>
      <c r="K7" s="1914" t="s">
        <v>71</v>
      </c>
      <c r="L7" s="2327"/>
      <c r="M7" s="2494">
        <f>+Index!$E$13</f>
        <v>0</v>
      </c>
      <c r="N7" s="2494"/>
      <c r="O7" s="2494"/>
      <c r="P7" s="2327"/>
      <c r="Q7" s="2327"/>
      <c r="R7" s="2327"/>
      <c r="S7" s="2327"/>
      <c r="T7" s="2327"/>
      <c r="U7" s="2327"/>
      <c r="V7" s="2327"/>
      <c r="W7" s="2327"/>
      <c r="X7" s="2327"/>
      <c r="Y7" s="2327"/>
      <c r="Z7" s="2327"/>
      <c r="AA7" s="2327"/>
      <c r="AB7" s="2327"/>
      <c r="AC7" s="2327"/>
    </row>
    <row r="8" spans="2:29" s="253" customFormat="1" ht="15" customHeight="1" thickBot="1" x14ac:dyDescent="0.25">
      <c r="B8" s="1915"/>
      <c r="C8" s="1915"/>
      <c r="D8" s="1915"/>
      <c r="E8" s="1915"/>
      <c r="F8" s="1915"/>
      <c r="G8" s="1915"/>
      <c r="H8" s="1915"/>
      <c r="I8" s="1915"/>
      <c r="J8" s="1915"/>
      <c r="K8" s="1915"/>
      <c r="L8" s="1915"/>
      <c r="M8" s="1915"/>
      <c r="N8" s="1915"/>
      <c r="O8" s="1915"/>
      <c r="P8" s="2327"/>
      <c r="Q8" s="2327"/>
      <c r="R8" s="2327"/>
      <c r="S8" s="2327"/>
      <c r="T8" s="2327"/>
      <c r="U8" s="2327"/>
      <c r="V8" s="2327"/>
      <c r="W8" s="2327"/>
      <c r="X8" s="2327"/>
      <c r="Y8" s="2327"/>
      <c r="Z8" s="2327"/>
      <c r="AA8" s="2327"/>
      <c r="AB8" s="2327"/>
      <c r="AC8" s="2327"/>
    </row>
    <row r="9" spans="2:29" s="253" customFormat="1" ht="15" customHeight="1" x14ac:dyDescent="0.2">
      <c r="B9" s="2327"/>
      <c r="C9" s="2327"/>
      <c r="D9" s="2327"/>
      <c r="E9" s="2327"/>
      <c r="F9" s="2327"/>
      <c r="G9" s="2327"/>
      <c r="H9" s="2327"/>
      <c r="I9" s="2327"/>
      <c r="J9" s="2327"/>
      <c r="K9" s="2327"/>
      <c r="L9" s="2327"/>
      <c r="M9" s="2327"/>
      <c r="N9" s="2327"/>
      <c r="O9" s="2327"/>
      <c r="P9" s="2327"/>
      <c r="Q9" s="2327"/>
      <c r="R9" s="2327"/>
      <c r="S9" s="2327"/>
      <c r="T9" s="2327"/>
      <c r="U9" s="2327"/>
      <c r="V9" s="2327"/>
      <c r="W9" s="2327"/>
      <c r="X9" s="2327"/>
      <c r="Y9" s="2327"/>
      <c r="Z9" s="2327"/>
      <c r="AA9" s="2327"/>
      <c r="AB9" s="2327"/>
      <c r="AC9" s="2327"/>
    </row>
    <row r="10" spans="2:29" s="253" customFormat="1" ht="15" customHeight="1" x14ac:dyDescent="0.2">
      <c r="B10" s="2799" t="s">
        <v>1972</v>
      </c>
      <c r="C10" s="2799"/>
      <c r="D10" s="2799"/>
      <c r="E10" s="2799"/>
      <c r="F10" s="2799"/>
      <c r="G10" s="2799"/>
      <c r="H10" s="2799"/>
      <c r="I10" s="2799"/>
      <c r="J10" s="2799"/>
      <c r="K10" s="2799"/>
      <c r="L10" s="2799"/>
      <c r="M10" s="2799"/>
      <c r="N10" s="2799"/>
      <c r="O10" s="2799"/>
      <c r="P10" s="2327"/>
      <c r="Q10" s="2327"/>
      <c r="R10" s="2327"/>
      <c r="S10" s="2327"/>
      <c r="T10" s="2327"/>
      <c r="U10" s="2327"/>
      <c r="V10" s="2327"/>
      <c r="W10" s="2327"/>
      <c r="X10" s="2327"/>
      <c r="Y10" s="2327"/>
      <c r="Z10" s="2327"/>
      <c r="AA10" s="2327"/>
      <c r="AB10" s="2327"/>
      <c r="AC10" s="2327"/>
    </row>
    <row r="11" spans="2:29" s="253" customFormat="1" ht="15" customHeight="1" x14ac:dyDescent="0.2">
      <c r="B11" s="2799"/>
      <c r="C11" s="2799"/>
      <c r="D11" s="2799"/>
      <c r="E11" s="2799"/>
      <c r="F11" s="2799"/>
      <c r="G11" s="2799"/>
      <c r="H11" s="2799"/>
      <c r="I11" s="2799"/>
      <c r="J11" s="2799"/>
      <c r="K11" s="2799"/>
      <c r="L11" s="2799"/>
      <c r="M11" s="2799"/>
      <c r="N11" s="2799"/>
      <c r="O11" s="2799"/>
      <c r="P11" s="2327"/>
      <c r="Q11" s="2327"/>
      <c r="R11" s="2327"/>
      <c r="S11" s="2327"/>
      <c r="T11" s="2327"/>
      <c r="U11" s="2327"/>
      <c r="V11" s="2327"/>
      <c r="W11" s="2327"/>
      <c r="X11" s="2327"/>
      <c r="Y11" s="2327"/>
      <c r="Z11" s="2327"/>
      <c r="AA11" s="2327"/>
      <c r="AB11" s="2327"/>
      <c r="AC11" s="2327"/>
    </row>
    <row r="12" spans="2:29" s="253" customFormat="1" ht="15" customHeight="1" x14ac:dyDescent="0.2">
      <c r="B12" s="2799"/>
      <c r="C12" s="2799"/>
      <c r="D12" s="2799"/>
      <c r="E12" s="2799"/>
      <c r="F12" s="2799"/>
      <c r="G12" s="2799"/>
      <c r="H12" s="2799"/>
      <c r="I12" s="2799"/>
      <c r="J12" s="2799"/>
      <c r="K12" s="2799"/>
      <c r="L12" s="2799"/>
      <c r="M12" s="2799"/>
      <c r="N12" s="2799"/>
      <c r="O12" s="2799"/>
      <c r="P12" s="2327"/>
      <c r="Q12" s="2327"/>
      <c r="R12" s="2327"/>
      <c r="S12" s="2327"/>
      <c r="T12" s="2327"/>
      <c r="U12" s="2327"/>
      <c r="V12" s="2327"/>
      <c r="W12" s="2327"/>
      <c r="X12" s="2327"/>
      <c r="Y12" s="2327"/>
      <c r="Z12" s="2327"/>
      <c r="AA12" s="2327"/>
      <c r="AB12" s="2327"/>
      <c r="AC12" s="2327"/>
    </row>
    <row r="13" spans="2:29" s="253" customFormat="1" ht="15" customHeight="1" x14ac:dyDescent="0.2">
      <c r="B13" s="2327"/>
      <c r="C13" s="2327"/>
      <c r="D13" s="2327"/>
      <c r="E13" s="2327"/>
      <c r="F13" s="2327"/>
      <c r="G13" s="2327"/>
      <c r="H13" s="2327"/>
      <c r="I13" s="2327"/>
      <c r="J13" s="2327"/>
      <c r="K13" s="2327"/>
      <c r="L13" s="2327"/>
      <c r="M13" s="1916"/>
      <c r="N13" s="2327"/>
      <c r="O13" s="2327"/>
      <c r="P13" s="2327"/>
      <c r="Q13" s="2327"/>
      <c r="R13" s="2327"/>
      <c r="S13" s="2327"/>
      <c r="T13" s="2327"/>
      <c r="U13" s="2327"/>
      <c r="V13" s="2327"/>
      <c r="W13" s="2327"/>
      <c r="X13" s="2327"/>
      <c r="Y13" s="2327"/>
      <c r="Z13" s="2327"/>
      <c r="AA13" s="2327"/>
      <c r="AB13" s="2327"/>
      <c r="AC13" s="2327"/>
    </row>
    <row r="14" spans="2:29" s="253" customFormat="1" ht="15" customHeight="1" x14ac:dyDescent="0.2">
      <c r="B14" s="2327"/>
      <c r="C14" s="2327"/>
      <c r="D14" s="2327"/>
      <c r="E14" s="2812" t="s">
        <v>1973</v>
      </c>
      <c r="F14" s="2812"/>
      <c r="G14" s="2812"/>
      <c r="H14" s="2812"/>
      <c r="I14" s="2812"/>
      <c r="J14" s="2329"/>
      <c r="K14" s="2327"/>
      <c r="L14" s="2327"/>
      <c r="M14" s="1916"/>
      <c r="N14" s="2327"/>
      <c r="O14" s="2327"/>
      <c r="P14" s="2327"/>
      <c r="Q14" s="2327"/>
      <c r="R14" s="2327"/>
      <c r="S14" s="2327"/>
      <c r="T14" s="2327"/>
      <c r="U14" s="2327"/>
      <c r="V14" s="2327"/>
      <c r="W14" s="2327"/>
      <c r="X14" s="2327"/>
      <c r="Y14" s="2327"/>
      <c r="Z14" s="2327"/>
      <c r="AA14" s="2327"/>
      <c r="AB14" s="2327"/>
      <c r="AC14" s="2327"/>
    </row>
    <row r="15" spans="2:29" s="253" customFormat="1" ht="15" customHeight="1" x14ac:dyDescent="0.2">
      <c r="B15" s="2327"/>
      <c r="C15" s="2327"/>
      <c r="D15" s="2327"/>
      <c r="E15" s="2813">
        <f>+Data!$A$2</f>
        <v>45107</v>
      </c>
      <c r="F15" s="2813"/>
      <c r="G15" s="2813"/>
      <c r="H15" s="2813"/>
      <c r="I15" s="2813"/>
      <c r="J15" s="2330"/>
      <c r="K15" s="2327"/>
      <c r="L15" s="2327"/>
      <c r="M15" s="1916"/>
      <c r="N15" s="2327"/>
      <c r="O15" s="2327"/>
      <c r="P15" s="2327"/>
      <c r="Q15" s="2327"/>
      <c r="R15" s="2327"/>
      <c r="S15" s="2327"/>
      <c r="T15" s="2327"/>
      <c r="U15" s="2327"/>
      <c r="V15" s="2327"/>
      <c r="W15" s="2327"/>
      <c r="X15" s="2327"/>
      <c r="Y15" s="2327"/>
      <c r="Z15" s="2327"/>
      <c r="AA15" s="2327"/>
      <c r="AB15" s="2327"/>
      <c r="AC15" s="2327"/>
    </row>
    <row r="16" spans="2:29" s="253" customFormat="1" ht="15" customHeight="1" x14ac:dyDescent="0.2">
      <c r="B16" s="2327"/>
      <c r="C16" s="2327"/>
      <c r="D16" s="2327"/>
      <c r="E16" s="2810" t="s">
        <v>1974</v>
      </c>
      <c r="F16" s="2810"/>
      <c r="G16" s="2810"/>
      <c r="H16" s="2810"/>
      <c r="I16" s="2810"/>
      <c r="J16" s="2329"/>
      <c r="K16" s="2327"/>
      <c r="L16" s="2327"/>
      <c r="M16" s="1916"/>
      <c r="N16" s="2327"/>
      <c r="O16" s="2327"/>
      <c r="P16" s="2327"/>
      <c r="Q16" s="2327"/>
      <c r="R16" s="2327"/>
      <c r="S16" s="2327"/>
      <c r="T16" s="2327"/>
      <c r="U16" s="2327"/>
      <c r="V16" s="2327"/>
      <c r="W16" s="2327"/>
      <c r="X16" s="2327"/>
      <c r="Y16" s="2327"/>
      <c r="Z16" s="2327"/>
      <c r="AA16" s="2327"/>
      <c r="AB16" s="2327"/>
      <c r="AC16" s="2327"/>
    </row>
    <row r="17" spans="2:17" s="253" customFormat="1" ht="15" customHeight="1" x14ac:dyDescent="0.2">
      <c r="B17" s="2327"/>
      <c r="C17" s="2327"/>
      <c r="D17" s="2327"/>
      <c r="E17" s="2327"/>
      <c r="F17" s="2327"/>
      <c r="G17" s="2327"/>
      <c r="H17" s="2327"/>
      <c r="I17" s="2327"/>
      <c r="J17" s="2327"/>
      <c r="K17" s="2799" t="s">
        <v>1975</v>
      </c>
      <c r="L17" s="2799"/>
      <c r="M17" s="2799"/>
      <c r="N17" s="2799"/>
      <c r="O17" s="2799"/>
      <c r="P17" s="2327"/>
      <c r="Q17" s="2327"/>
    </row>
    <row r="18" spans="2:17" s="253" customFormat="1" ht="15" customHeight="1" thickBot="1" x14ac:dyDescent="0.25">
      <c r="B18" s="254" t="s">
        <v>1976</v>
      </c>
      <c r="C18" s="2327"/>
      <c r="D18" s="2327"/>
      <c r="E18" s="2811"/>
      <c r="F18" s="2811"/>
      <c r="G18" s="2811"/>
      <c r="H18" s="2811"/>
      <c r="I18" s="2811"/>
      <c r="J18" s="1918"/>
      <c r="K18" s="2799"/>
      <c r="L18" s="2799"/>
      <c r="M18" s="2799"/>
      <c r="N18" s="2799"/>
      <c r="O18" s="2799"/>
      <c r="P18" s="2327"/>
      <c r="Q18" s="2327"/>
    </row>
    <row r="19" spans="2:17" s="253" customFormat="1" ht="15" customHeight="1" x14ac:dyDescent="0.2">
      <c r="B19" s="2327"/>
      <c r="C19" s="2327"/>
      <c r="D19" s="2327"/>
      <c r="E19" s="1918"/>
      <c r="F19" s="2327"/>
      <c r="G19" s="2327"/>
      <c r="H19" s="2327"/>
      <c r="I19" s="2327"/>
      <c r="J19" s="2327"/>
      <c r="K19" s="2799"/>
      <c r="L19" s="2799"/>
      <c r="M19" s="2799"/>
      <c r="N19" s="2799"/>
      <c r="O19" s="2799"/>
      <c r="P19" s="2327"/>
      <c r="Q19" s="2327"/>
    </row>
    <row r="20" spans="2:17" s="253" customFormat="1" ht="15" customHeight="1" x14ac:dyDescent="0.2">
      <c r="B20" s="254" t="s">
        <v>1977</v>
      </c>
      <c r="C20" s="2327"/>
      <c r="D20" s="2327"/>
      <c r="E20" s="1918"/>
      <c r="F20" s="2327"/>
      <c r="G20" s="2327"/>
      <c r="H20" s="2327"/>
      <c r="I20" s="2327"/>
      <c r="J20" s="2327"/>
      <c r="K20" s="2327"/>
      <c r="L20" s="2327"/>
      <c r="M20" s="2327"/>
      <c r="N20" s="2327"/>
      <c r="O20" s="2327"/>
      <c r="P20" s="2327"/>
      <c r="Q20" s="2327"/>
    </row>
    <row r="21" spans="2:17" s="253" customFormat="1" ht="15" customHeight="1" thickBot="1" x14ac:dyDescent="0.25">
      <c r="B21" s="2327"/>
      <c r="C21" s="2327" t="s">
        <v>1978</v>
      </c>
      <c r="D21" s="2327"/>
      <c r="E21" s="2807">
        <f>+$E$18*Q21</f>
        <v>0</v>
      </c>
      <c r="F21" s="2807"/>
      <c r="G21" s="2807"/>
      <c r="H21" s="2807"/>
      <c r="I21" s="2807"/>
      <c r="J21" s="1918"/>
      <c r="K21" s="2327"/>
      <c r="L21" s="1918"/>
      <c r="M21" s="2327"/>
      <c r="N21" s="2327"/>
      <c r="O21" s="2327"/>
      <c r="P21" s="2327"/>
      <c r="Q21" s="1919">
        <v>0.06</v>
      </c>
    </row>
    <row r="22" spans="2:17" s="253" customFormat="1" ht="15" customHeight="1" x14ac:dyDescent="0.2">
      <c r="B22" s="2327"/>
      <c r="C22" s="2327"/>
      <c r="D22" s="2327"/>
      <c r="E22" s="2809" t="s">
        <v>1979</v>
      </c>
      <c r="F22" s="2809"/>
      <c r="G22" s="2809"/>
      <c r="H22" s="2809"/>
      <c r="I22" s="2809"/>
      <c r="J22" s="2327"/>
      <c r="K22" s="2327"/>
      <c r="L22" s="2327"/>
      <c r="M22" s="2327"/>
      <c r="N22" s="254"/>
      <c r="O22" s="2327"/>
      <c r="P22" s="2327"/>
      <c r="Q22" s="1919"/>
    </row>
    <row r="23" spans="2:17" s="253" customFormat="1" ht="15" customHeight="1" thickBot="1" x14ac:dyDescent="0.25">
      <c r="B23" s="2327"/>
      <c r="C23" s="2327" t="s">
        <v>1980</v>
      </c>
      <c r="D23" s="2327"/>
      <c r="E23" s="2807">
        <f>+$E$18*Q23</f>
        <v>0</v>
      </c>
      <c r="F23" s="2807"/>
      <c r="G23" s="2807"/>
      <c r="H23" s="2807"/>
      <c r="I23" s="2807"/>
      <c r="J23" s="1918"/>
      <c r="K23" s="2327"/>
      <c r="L23" s="1918"/>
      <c r="M23" s="2327"/>
      <c r="N23" s="2327"/>
      <c r="O23" s="2327"/>
      <c r="P23" s="2327"/>
      <c r="Q23" s="1919">
        <v>6.8400000000000002E-2</v>
      </c>
    </row>
    <row r="24" spans="2:17" s="253" customFormat="1" ht="15" customHeight="1" x14ac:dyDescent="0.2">
      <c r="B24" s="2327"/>
      <c r="C24" s="2327"/>
      <c r="D24" s="2327"/>
      <c r="E24" s="2809" t="s">
        <v>1981</v>
      </c>
      <c r="F24" s="2809"/>
      <c r="G24" s="2809"/>
      <c r="H24" s="2809"/>
      <c r="I24" s="2809"/>
      <c r="J24" s="2327"/>
      <c r="K24" s="2327"/>
      <c r="L24" s="2327"/>
      <c r="M24" s="2327"/>
      <c r="N24" s="2327"/>
      <c r="O24" s="2327"/>
      <c r="P24" s="2327"/>
      <c r="Q24" s="2327"/>
    </row>
    <row r="25" spans="2:17" s="253" customFormat="1" ht="15" customHeight="1" thickBot="1" x14ac:dyDescent="0.25">
      <c r="B25" s="254" t="s">
        <v>1982</v>
      </c>
      <c r="C25" s="2327"/>
      <c r="D25" s="2327"/>
      <c r="E25" s="2808">
        <f>+E21+E23</f>
        <v>0</v>
      </c>
      <c r="F25" s="2808"/>
      <c r="G25" s="2808"/>
      <c r="H25" s="2808"/>
      <c r="I25" s="2808"/>
      <c r="J25" s="1918"/>
      <c r="K25" s="2327"/>
      <c r="L25" s="1918"/>
      <c r="M25" s="2804" t="str">
        <f>CONCATENATE("Should agree to total amount remitted to all ORP carriers for payrolls incurred during the fiscal year ended ",+TEXT(Data!$A$2,"mmmm d, yyyy"),", on the accrual basis.")</f>
        <v>Should agree to total amount remitted to all ORP carriers for payrolls incurred during the fiscal year ended June 30, 2023, on the accrual basis.</v>
      </c>
      <c r="N25" s="2805"/>
      <c r="O25" s="2806"/>
      <c r="P25" s="2327"/>
      <c r="Q25" s="2327"/>
    </row>
    <row r="26" spans="2:17" s="253" customFormat="1" ht="15" customHeight="1" thickTop="1" x14ac:dyDescent="0.2">
      <c r="B26" s="2327"/>
      <c r="C26" s="2327"/>
      <c r="D26" s="2327"/>
      <c r="E26" s="2327"/>
      <c r="F26" s="2327"/>
      <c r="G26" s="2327"/>
      <c r="H26" s="2327"/>
      <c r="I26" s="2327"/>
      <c r="J26" s="2327"/>
      <c r="K26" s="2327"/>
      <c r="L26" s="2327"/>
      <c r="M26" s="2798"/>
      <c r="N26" s="2799"/>
      <c r="O26" s="2800"/>
      <c r="P26" s="2327"/>
      <c r="Q26" s="2327"/>
    </row>
    <row r="27" spans="2:17" s="253" customFormat="1" ht="15" customHeight="1" x14ac:dyDescent="0.2">
      <c r="B27" s="254" t="s">
        <v>1983</v>
      </c>
      <c r="C27" s="2327"/>
      <c r="D27" s="2327" t="s">
        <v>1984</v>
      </c>
      <c r="E27" s="2327"/>
      <c r="F27" s="2327"/>
      <c r="G27" s="2327"/>
      <c r="H27" s="2327"/>
      <c r="I27" s="2327"/>
      <c r="J27" s="2327"/>
      <c r="K27" s="2327"/>
      <c r="L27" s="2327"/>
      <c r="M27" s="2798"/>
      <c r="N27" s="2799"/>
      <c r="O27" s="2800"/>
      <c r="P27" s="2327"/>
      <c r="Q27" s="2327"/>
    </row>
    <row r="28" spans="2:17" s="253" customFormat="1" ht="15" customHeight="1" x14ac:dyDescent="0.2">
      <c r="B28" s="2327"/>
      <c r="C28" s="2327"/>
      <c r="D28" s="2327" t="s">
        <v>1985</v>
      </c>
      <c r="E28" s="2327"/>
      <c r="F28" s="2327"/>
      <c r="G28" s="2327"/>
      <c r="H28" s="2327"/>
      <c r="I28" s="2327"/>
      <c r="J28" s="2327"/>
      <c r="K28" s="2327"/>
      <c r="L28" s="2327"/>
      <c r="M28" s="2798"/>
      <c r="N28" s="2799"/>
      <c r="O28" s="2800"/>
      <c r="P28" s="2327"/>
      <c r="Q28" s="2327"/>
    </row>
    <row r="29" spans="2:17" s="253" customFormat="1" ht="15" customHeight="1" x14ac:dyDescent="0.2">
      <c r="B29" s="2327"/>
      <c r="C29" s="2327"/>
      <c r="D29" s="2327" t="s">
        <v>1986</v>
      </c>
      <c r="E29" s="2327"/>
      <c r="F29" s="2327"/>
      <c r="G29" s="2327"/>
      <c r="H29" s="2327"/>
      <c r="I29" s="2327"/>
      <c r="J29" s="2327"/>
      <c r="K29" s="2327"/>
      <c r="L29" s="2327"/>
      <c r="M29" s="2798" t="str">
        <f>CONCATENATE("Note: Include the contributions related to payrolls incurred during ",+TEXT(Data!$A$2,"mmmm yyyy"),", but not paid until ",+TEXT(Data!$A$5,"mmmm yyyy")," and exclude the contributions related to payrolls incurred during ",+TEXT(Data!$A$4,"mmmm yyyy"),", but not  paid until ",+TEXT(Data!$A$3,"mmmm yyyy"),".")</f>
        <v>Note: Include the contributions related to payrolls incurred during June 2023, but not paid until July 2023 and exclude the contributions related to payrolls incurred during June 2022, but not  paid until July 2022.</v>
      </c>
      <c r="N29" s="2799"/>
      <c r="O29" s="2800"/>
      <c r="P29" s="2327"/>
      <c r="Q29" s="2327"/>
    </row>
    <row r="30" spans="2:17" s="253" customFormat="1" ht="15" customHeight="1" x14ac:dyDescent="0.2">
      <c r="B30" s="2327"/>
      <c r="C30" s="2327"/>
      <c r="D30" s="2327" t="s">
        <v>50</v>
      </c>
      <c r="E30" s="2327"/>
      <c r="F30" s="2327"/>
      <c r="G30" s="2327"/>
      <c r="H30" s="2327"/>
      <c r="I30" s="2327"/>
      <c r="J30" s="2327"/>
      <c r="K30" s="2327"/>
      <c r="L30" s="2327"/>
      <c r="M30" s="2798"/>
      <c r="N30" s="2799"/>
      <c r="O30" s="2800"/>
      <c r="P30" s="2327"/>
      <c r="Q30" s="2327"/>
    </row>
    <row r="31" spans="2:17" s="253" customFormat="1" ht="15" customHeight="1" x14ac:dyDescent="0.2">
      <c r="B31" s="2327"/>
      <c r="C31" s="2327"/>
      <c r="D31" s="2327"/>
      <c r="E31" s="2327"/>
      <c r="F31" s="2327"/>
      <c r="G31" s="2327"/>
      <c r="H31" s="2327"/>
      <c r="I31" s="2327"/>
      <c r="J31" s="2327"/>
      <c r="K31" s="2327"/>
      <c r="L31" s="2327"/>
      <c r="M31" s="2798"/>
      <c r="N31" s="2799"/>
      <c r="O31" s="2800"/>
      <c r="P31" s="2327"/>
      <c r="Q31" s="2327"/>
    </row>
    <row r="32" spans="2:17" s="253" customFormat="1" ht="15" customHeight="1" x14ac:dyDescent="0.2">
      <c r="B32" s="2327"/>
      <c r="C32" s="2327"/>
      <c r="D32" s="2327"/>
      <c r="E32" s="2327"/>
      <c r="F32" s="2327"/>
      <c r="G32" s="2327"/>
      <c r="H32" s="2327"/>
      <c r="I32" s="2327"/>
      <c r="J32" s="2327"/>
      <c r="K32" s="2327"/>
      <c r="L32" s="2327"/>
      <c r="M32" s="2798"/>
      <c r="N32" s="2799"/>
      <c r="O32" s="2800"/>
      <c r="P32" s="2327"/>
      <c r="Q32" s="2327"/>
    </row>
    <row r="33" spans="1:15" s="253" customFormat="1" ht="15" customHeight="1" x14ac:dyDescent="0.2">
      <c r="A33" s="2327"/>
      <c r="B33" s="2327"/>
      <c r="C33" s="2327"/>
      <c r="D33" s="2327"/>
      <c r="E33" s="2327"/>
      <c r="F33" s="2327"/>
      <c r="G33" s="2327"/>
      <c r="H33" s="2327"/>
      <c r="I33" s="2327"/>
      <c r="J33" s="2327"/>
      <c r="K33" s="2327"/>
      <c r="L33" s="2327"/>
      <c r="M33" s="2801"/>
      <c r="N33" s="2802"/>
      <c r="O33" s="2803"/>
    </row>
    <row r="34" spans="1:15" s="253" customFormat="1" ht="15" customHeight="1" x14ac:dyDescent="0.2">
      <c r="A34" s="2327"/>
      <c r="B34" s="2327"/>
      <c r="C34" s="2327"/>
      <c r="D34" s="2327"/>
      <c r="E34" s="2327"/>
      <c r="F34" s="2327"/>
      <c r="G34" s="2327"/>
      <c r="H34" s="2327"/>
      <c r="I34" s="2327"/>
      <c r="J34" s="2327"/>
      <c r="K34" s="2327"/>
      <c r="L34" s="2327"/>
      <c r="M34" s="2328"/>
      <c r="N34" s="2328"/>
      <c r="O34" s="2328"/>
    </row>
    <row r="35" spans="1:15" s="253" customFormat="1" ht="15" customHeight="1" thickBot="1" x14ac:dyDescent="0.25">
      <c r="A35" s="2327"/>
      <c r="B35" s="254" t="s">
        <v>1987</v>
      </c>
      <c r="C35" s="254"/>
      <c r="D35" s="254"/>
      <c r="E35" s="254"/>
      <c r="F35" s="254"/>
      <c r="G35" s="254"/>
      <c r="H35" s="254"/>
      <c r="I35" s="254"/>
      <c r="J35" s="254"/>
      <c r="K35" s="254"/>
      <c r="L35" s="2327"/>
      <c r="M35" s="914"/>
      <c r="N35" s="2327"/>
      <c r="O35" s="894" t="str">
        <f>IF(AND(ISBLANK($M$35))=TRUE,"Answer Missing"," ")</f>
        <v>Answer Missing</v>
      </c>
    </row>
    <row r="36" spans="1:15" s="253" customFormat="1" ht="15" customHeight="1" x14ac:dyDescent="0.2">
      <c r="A36" s="2327"/>
      <c r="B36" s="2327"/>
      <c r="C36" s="2327"/>
      <c r="D36" s="2327"/>
      <c r="E36" s="2327"/>
      <c r="F36" s="2327"/>
      <c r="G36" s="2327"/>
      <c r="H36" s="2327"/>
      <c r="I36" s="2327"/>
      <c r="J36" s="2327"/>
      <c r="K36" s="2327"/>
      <c r="L36" s="2327"/>
      <c r="M36" s="2328"/>
      <c r="N36" s="2328"/>
      <c r="O36" s="2328"/>
    </row>
    <row r="37" spans="1:15" s="253" customFormat="1" ht="15" customHeight="1" x14ac:dyDescent="0.2">
      <c r="A37" s="2327"/>
      <c r="B37" s="2327"/>
      <c r="C37" s="2327"/>
      <c r="D37" s="2327"/>
      <c r="E37" s="2327"/>
      <c r="F37" s="2327"/>
      <c r="G37" s="2327"/>
      <c r="H37" s="2327"/>
      <c r="I37" s="2327"/>
      <c r="J37" s="2327"/>
      <c r="K37" s="2327"/>
      <c r="L37" s="2327"/>
      <c r="M37" s="2328"/>
      <c r="N37" s="2328"/>
      <c r="O37" s="2328"/>
    </row>
    <row r="38" spans="1:15" s="253" customFormat="1" ht="15" customHeight="1" x14ac:dyDescent="0.2">
      <c r="A38" s="2327"/>
      <c r="B38" s="254" t="s">
        <v>1988</v>
      </c>
      <c r="C38" s="2327"/>
      <c r="D38" s="2327"/>
      <c r="E38" s="2327"/>
      <c r="F38" s="2327"/>
      <c r="G38" s="2327"/>
      <c r="H38" s="2327"/>
      <c r="I38" s="2327"/>
      <c r="J38" s="2327"/>
      <c r="K38" s="2327"/>
      <c r="L38" s="2327"/>
      <c r="M38" s="2328"/>
      <c r="N38" s="2328"/>
      <c r="O38" s="2328"/>
    </row>
    <row r="39" spans="1:15" s="253" customFormat="1" ht="15" customHeight="1" x14ac:dyDescent="0.2">
      <c r="A39" s="2327"/>
      <c r="B39" s="2327" t="s">
        <v>1989</v>
      </c>
      <c r="C39" s="2327"/>
      <c r="D39" s="2327"/>
      <c r="E39" s="2327"/>
      <c r="F39" s="2327"/>
      <c r="G39" s="2327"/>
      <c r="H39" s="2327"/>
      <c r="I39" s="2327"/>
      <c r="J39" s="2327"/>
      <c r="K39" s="2327"/>
      <c r="L39" s="2327"/>
      <c r="M39" s="2328"/>
      <c r="N39" s="2328"/>
      <c r="O39" s="2328"/>
    </row>
    <row r="40" spans="1:15" s="253" customFormat="1" ht="15" customHeight="1" thickBot="1" x14ac:dyDescent="0.25">
      <c r="A40" s="2327"/>
      <c r="B40" s="2327" t="s">
        <v>1990</v>
      </c>
      <c r="C40" s="2327"/>
      <c r="D40" s="2327"/>
      <c r="E40" s="2327"/>
      <c r="F40" s="2327"/>
      <c r="G40" s="2327"/>
      <c r="H40" s="2327"/>
      <c r="I40" s="2327"/>
      <c r="J40" s="2327"/>
      <c r="K40" s="2327"/>
      <c r="L40" s="2327"/>
      <c r="M40" s="2328"/>
      <c r="N40" s="2328"/>
      <c r="O40" s="980"/>
    </row>
    <row r="41" spans="1:15" s="253" customFormat="1" ht="6" customHeight="1" x14ac:dyDescent="0.2">
      <c r="A41" s="2327"/>
      <c r="B41" s="2327"/>
      <c r="C41" s="2327"/>
      <c r="D41" s="2327"/>
      <c r="E41" s="2327"/>
      <c r="F41" s="2327"/>
      <c r="G41" s="2327"/>
      <c r="H41" s="2327"/>
      <c r="I41" s="2327"/>
      <c r="J41" s="2327"/>
      <c r="K41" s="2327"/>
      <c r="L41" s="2327"/>
      <c r="M41" s="2327"/>
      <c r="N41" s="2327"/>
      <c r="O41" s="2327"/>
    </row>
    <row r="42" spans="1:15" s="253" customFormat="1" ht="15" customHeight="1" thickBot="1" x14ac:dyDescent="0.25">
      <c r="A42" s="2327"/>
      <c r="B42" s="2327" t="s">
        <v>1991</v>
      </c>
      <c r="C42" s="2327"/>
      <c r="D42" s="2327"/>
      <c r="E42" s="2327"/>
      <c r="F42" s="2327"/>
      <c r="G42" s="2327"/>
      <c r="H42" s="2327"/>
      <c r="I42" s="2327"/>
      <c r="J42" s="2327"/>
      <c r="K42" s="2327"/>
      <c r="L42" s="2327"/>
      <c r="M42" s="2328"/>
      <c r="N42" s="2328"/>
      <c r="O42" s="980">
        <f>SUM(E23-O40)</f>
        <v>0</v>
      </c>
    </row>
    <row r="43" spans="1:15" s="253" customFormat="1" ht="6" customHeight="1" x14ac:dyDescent="0.2">
      <c r="A43" s="2327"/>
      <c r="B43" s="2327"/>
      <c r="C43" s="2327"/>
      <c r="D43" s="2327"/>
      <c r="E43" s="2327"/>
      <c r="F43" s="2327"/>
      <c r="G43" s="2327"/>
      <c r="H43" s="2327"/>
      <c r="I43" s="2327"/>
      <c r="J43" s="2327"/>
      <c r="K43" s="2327"/>
      <c r="L43" s="2327"/>
      <c r="M43" s="2328"/>
      <c r="N43" s="2328"/>
      <c r="O43" s="1369"/>
    </row>
    <row r="44" spans="1:15" s="253" customFormat="1" ht="15" customHeight="1" thickBot="1" x14ac:dyDescent="0.25">
      <c r="A44" s="2327"/>
      <c r="B44" s="2327" t="s">
        <v>1992</v>
      </c>
      <c r="C44" s="2327"/>
      <c r="D44" s="2327"/>
      <c r="E44" s="2327"/>
      <c r="F44" s="2327"/>
      <c r="G44" s="2327"/>
      <c r="H44" s="2327"/>
      <c r="I44" s="2327"/>
      <c r="J44" s="2327"/>
      <c r="K44" s="2327"/>
      <c r="L44" s="2327"/>
      <c r="M44" s="2328"/>
      <c r="N44" s="2328"/>
      <c r="O44" s="980"/>
    </row>
    <row r="45" spans="1:15" s="253" customFormat="1" ht="15" customHeight="1" x14ac:dyDescent="0.2">
      <c r="A45" s="2327"/>
      <c r="B45" s="2327"/>
      <c r="C45" s="2327"/>
      <c r="D45" s="2327"/>
      <c r="E45" s="2327"/>
      <c r="F45" s="2327"/>
      <c r="G45" s="2327"/>
      <c r="H45" s="2327"/>
      <c r="I45" s="2327"/>
      <c r="J45" s="2327"/>
      <c r="K45" s="2327"/>
      <c r="L45" s="2327"/>
      <c r="M45" s="2797"/>
      <c r="N45" s="2797"/>
      <c r="O45" s="2797"/>
    </row>
    <row r="46" spans="1:15" s="253" customFormat="1" ht="15" customHeight="1" x14ac:dyDescent="0.2">
      <c r="A46" s="2327"/>
      <c r="B46" s="2327"/>
      <c r="C46" s="2327"/>
      <c r="D46" s="2327"/>
      <c r="E46" s="2327"/>
      <c r="F46" s="2327"/>
      <c r="G46" s="2327"/>
      <c r="H46" s="2327"/>
      <c r="I46" s="2327"/>
      <c r="J46" s="2327"/>
      <c r="K46" s="2327"/>
      <c r="L46" s="2327"/>
      <c r="M46" s="2327"/>
      <c r="N46" s="2327"/>
      <c r="O46" s="2327"/>
    </row>
    <row r="47" spans="1:15" s="253" customFormat="1" ht="15" customHeight="1" x14ac:dyDescent="0.2">
      <c r="A47" s="2327"/>
      <c r="B47" s="2327"/>
      <c r="C47" s="2327"/>
      <c r="D47" s="2327"/>
      <c r="E47" s="2327"/>
      <c r="F47" s="2327"/>
      <c r="G47" s="2327"/>
      <c r="H47" s="2327"/>
      <c r="I47" s="2327"/>
      <c r="J47" s="2327"/>
      <c r="K47" s="2327"/>
      <c r="L47" s="2327"/>
      <c r="M47" s="2327"/>
      <c r="N47" s="2327"/>
      <c r="O47" s="2327"/>
    </row>
    <row r="48" spans="1:15" s="253" customFormat="1" ht="15" customHeight="1" x14ac:dyDescent="0.2">
      <c r="A48" s="445" t="str">
        <f ca="1">MID(CELL("filename",A7),FIND("]",CELL("filename",A7))+1,256)</f>
        <v>605</v>
      </c>
      <c r="B48" s="445" t="s">
        <v>636</v>
      </c>
      <c r="C48" s="2327"/>
      <c r="D48" s="2327"/>
      <c r="E48" s="2327"/>
      <c r="F48" s="2327"/>
      <c r="G48" s="2327"/>
      <c r="H48" s="2327"/>
      <c r="I48" s="2327"/>
      <c r="J48" s="2327"/>
      <c r="K48" s="2327"/>
      <c r="L48" s="2327"/>
      <c r="M48" s="2327"/>
      <c r="N48" s="2327"/>
      <c r="O48" s="2327"/>
    </row>
    <row r="49" spans="1:2" s="253" customFormat="1" ht="15" customHeight="1" x14ac:dyDescent="0.2">
      <c r="A49" s="445" t="s">
        <v>380</v>
      </c>
      <c r="B49" s="445" t="str">
        <f t="shared" ref="B49:B58" ca="1" si="0">IF(ISNA(INDEX(ErrorTable,MATCH($A$48&amp;$A49&amp;FALSE,ErrorKey,0),6)),"",INDEX(ErrorTable,MATCH($A$48&amp;$A49&amp;FALSE,ErrorKey,0),6))</f>
        <v>Worksheet is incomplete.</v>
      </c>
    </row>
    <row r="50" spans="1:2" s="253" customFormat="1" ht="15" customHeight="1" x14ac:dyDescent="0.2">
      <c r="A50" s="445" t="s">
        <v>381</v>
      </c>
      <c r="B50" s="445" t="str">
        <f t="shared" ca="1" si="0"/>
        <v/>
      </c>
    </row>
    <row r="51" spans="1:2" s="253" customFormat="1" ht="15" customHeight="1" x14ac:dyDescent="0.2">
      <c r="A51" s="445" t="s">
        <v>382</v>
      </c>
      <c r="B51" s="445" t="str">
        <f t="shared" ca="1" si="0"/>
        <v/>
      </c>
    </row>
    <row r="52" spans="1:2" s="253" customFormat="1" ht="15" customHeight="1" x14ac:dyDescent="0.2">
      <c r="A52" s="445" t="s">
        <v>383</v>
      </c>
      <c r="B52" s="445" t="str">
        <f t="shared" ca="1" si="0"/>
        <v/>
      </c>
    </row>
    <row r="53" spans="1:2" s="253" customFormat="1" ht="15" x14ac:dyDescent="0.2">
      <c r="A53" s="445" t="s">
        <v>384</v>
      </c>
      <c r="B53" s="445" t="str">
        <f t="shared" ca="1" si="0"/>
        <v/>
      </c>
    </row>
    <row r="54" spans="1:2" s="253" customFormat="1" ht="15" x14ac:dyDescent="0.2">
      <c r="A54" s="445" t="s">
        <v>385</v>
      </c>
      <c r="B54" s="445" t="str">
        <f t="shared" ca="1" si="0"/>
        <v/>
      </c>
    </row>
    <row r="55" spans="1:2" s="253" customFormat="1" ht="15" x14ac:dyDescent="0.2">
      <c r="A55" s="445" t="s">
        <v>386</v>
      </c>
      <c r="B55" s="445" t="str">
        <f t="shared" ca="1" si="0"/>
        <v/>
      </c>
    </row>
    <row r="56" spans="1:2" s="253" customFormat="1" ht="15" x14ac:dyDescent="0.2">
      <c r="A56" s="445" t="s">
        <v>387</v>
      </c>
      <c r="B56" s="445" t="str">
        <f t="shared" ca="1" si="0"/>
        <v/>
      </c>
    </row>
    <row r="57" spans="1:2" s="253" customFormat="1" ht="15" x14ac:dyDescent="0.2">
      <c r="A57" s="445" t="s">
        <v>388</v>
      </c>
      <c r="B57" s="445" t="str">
        <f t="shared" ca="1" si="0"/>
        <v/>
      </c>
    </row>
    <row r="58" spans="1:2" s="253" customFormat="1" ht="15" x14ac:dyDescent="0.2">
      <c r="A58" s="445" t="s">
        <v>389</v>
      </c>
      <c r="B58" s="445" t="str">
        <f t="shared" ca="1" si="0"/>
        <v/>
      </c>
    </row>
    <row r="59" spans="1:2" s="253" customFormat="1" ht="12.75" x14ac:dyDescent="0.2">
      <c r="A59" s="2327"/>
      <c r="B59" s="2327"/>
    </row>
    <row r="60" spans="1:2" s="253" customFormat="1" ht="12.75" x14ac:dyDescent="0.2">
      <c r="A60" s="2327"/>
      <c r="B60" s="2327"/>
    </row>
    <row r="61" spans="1:2" s="255" customFormat="1" ht="12" x14ac:dyDescent="0.2"/>
    <row r="62" spans="1:2" s="255" customFormat="1" ht="12" x14ac:dyDescent="0.2"/>
    <row r="63" spans="1:2" s="255" customFormat="1" ht="12" x14ac:dyDescent="0.2"/>
    <row r="64" spans="1:2" s="255" customFormat="1" ht="12" x14ac:dyDescent="0.2"/>
    <row r="65" s="255" customFormat="1" ht="12" x14ac:dyDescent="0.2"/>
    <row r="66" s="255" customFormat="1" ht="12" x14ac:dyDescent="0.2"/>
    <row r="67" s="255" customFormat="1" ht="12" x14ac:dyDescent="0.2"/>
    <row r="68" s="255" customFormat="1" ht="12" x14ac:dyDescent="0.2"/>
    <row r="69" s="255" customFormat="1" ht="12" x14ac:dyDescent="0.2"/>
    <row r="70" s="255" customFormat="1" ht="12" x14ac:dyDescent="0.2"/>
    <row r="71" s="255" customFormat="1" ht="12" x14ac:dyDescent="0.2"/>
    <row r="72" s="255" customFormat="1" ht="12" x14ac:dyDescent="0.2"/>
    <row r="73" s="255" customFormat="1" ht="12" x14ac:dyDescent="0.2"/>
    <row r="74" s="255" customFormat="1" ht="12" x14ac:dyDescent="0.2"/>
    <row r="75" s="255" customFormat="1" ht="12" x14ac:dyDescent="0.2"/>
    <row r="76" s="255" customFormat="1" ht="12" x14ac:dyDescent="0.2"/>
    <row r="77" s="255" customFormat="1" ht="12" x14ac:dyDescent="0.2"/>
    <row r="78" s="255" customFormat="1" ht="12" x14ac:dyDescent="0.2"/>
    <row r="79" s="255" customFormat="1" ht="12" x14ac:dyDescent="0.2"/>
    <row r="80" s="255" customFormat="1" ht="12" x14ac:dyDescent="0.2"/>
    <row r="81" s="255" customFormat="1" ht="12" x14ac:dyDescent="0.2"/>
    <row r="82" s="255" customFormat="1" ht="12" x14ac:dyDescent="0.2"/>
    <row r="83" s="255" customFormat="1" ht="12" x14ac:dyDescent="0.2"/>
    <row r="84" s="255" customFormat="1" ht="12" x14ac:dyDescent="0.2"/>
  </sheetData>
  <sheetProtection algorithmName="SHA-512" hashValue="7QLxOd88WKCfTZg7QWLdGQHvEP0M4uv1bCUYh4s2/WnakqMYphf/0IHyrZH5apMd6C3dy/k6kWID8l5IDITdLA==" saltValue="XBPQPTJXIx1Z8GY390v8mA==" spinCount="100000" sheet="1" objects="1" scenarios="1" autoFilter="0"/>
  <customSheetViews>
    <customSheetView guid="{9FCFC836-1CA5-48BF-958D-24D2EA94B219}" showGridLines="0" fitToPage="1" hiddenColumns="1" topLeftCell="B1">
      <pageMargins left="0" right="0" top="0" bottom="0" header="0" footer="0"/>
      <pageSetup scale="99" orientation="portrait" horizontalDpi="1200" verticalDpi="1200" r:id="rId1"/>
      <headerFooter alignWithMargins="0">
        <oddFooter>&amp;R&amp;A</oddFooter>
      </headerFooter>
    </customSheetView>
    <customSheetView guid="{BEA4BE86-04D1-4C96-9358-7A260B9D2B2D}" showGridLines="0" fitToPage="1" showRuler="0">
      <selection sqref="A1:N1"/>
      <pageMargins left="0" right="0" top="0" bottom="0" header="0" footer="0"/>
      <pageSetup scale="99" orientation="portrait" horizontalDpi="4294967292" verticalDpi="4294967292" r:id="rId2"/>
      <headerFooter alignWithMargins="0">
        <oddFooter>&amp;R&amp;A</oddFooter>
      </headerFooter>
    </customSheetView>
    <customSheetView guid="{1250FD07-FF56-4A9D-AF9E-C27124A7EBE9}" showGridLines="0" fitToPage="1" showRuler="0">
      <selection sqref="A1:N1"/>
      <pageMargins left="0" right="0" top="0" bottom="0" header="0" footer="0"/>
      <pageSetup scale="99" orientation="portrait" horizontalDpi="4294967292" verticalDpi="4294967292" r:id="rId3"/>
      <headerFooter alignWithMargins="0">
        <oddFooter>&amp;R&amp;A</oddFooter>
      </headerFooter>
    </customSheetView>
    <customSheetView guid="{B08879A4-635B-4C39-9937-AC7883D562FC}" showGridLines="0" fitToPage="1" hiddenColumns="1" topLeftCell="B1">
      <pageMargins left="0" right="0" top="0" bottom="0" header="0" footer="0"/>
      <pageSetup scale="99" orientation="portrait" horizontalDpi="1200" verticalDpi="1200" r:id="rId4"/>
      <headerFooter alignWithMargins="0">
        <oddFooter>&amp;R&amp;A</oddFooter>
      </headerFooter>
    </customSheetView>
  </customSheetViews>
  <mergeCells count="23">
    <mergeCell ref="E16:I16"/>
    <mergeCell ref="E18:I18"/>
    <mergeCell ref="B10:O12"/>
    <mergeCell ref="K17:O19"/>
    <mergeCell ref="E14:I14"/>
    <mergeCell ref="E15:I15"/>
    <mergeCell ref="E5:H5"/>
    <mergeCell ref="E6:H6"/>
    <mergeCell ref="E7:H7"/>
    <mergeCell ref="B1:O1"/>
    <mergeCell ref="B2:O2"/>
    <mergeCell ref="B3:O3"/>
    <mergeCell ref="M5:O5"/>
    <mergeCell ref="M6:O6"/>
    <mergeCell ref="M7:O7"/>
    <mergeCell ref="M45:O45"/>
    <mergeCell ref="M29:O33"/>
    <mergeCell ref="M25:O28"/>
    <mergeCell ref="E21:I21"/>
    <mergeCell ref="E23:I23"/>
    <mergeCell ref="E25:I25"/>
    <mergeCell ref="E22:I22"/>
    <mergeCell ref="E24:I24"/>
  </mergeCells>
  <phoneticPr fontId="16" type="noConversion"/>
  <conditionalFormatting sqref="O35">
    <cfRule type="containsText" dxfId="50" priority="1" stopIfTrue="1" operator="containsText" text="Answer Missing">
      <formula>NOT(ISERROR(SEARCH("Answer Missing",O35)))</formula>
    </cfRule>
  </conditionalFormatting>
  <conditionalFormatting sqref="P1:P3">
    <cfRule type="cellIs" dxfId="49" priority="2" stopIfTrue="1" operator="equal">
      <formula>"na"</formula>
    </cfRule>
  </conditionalFormatting>
  <hyperlinks>
    <hyperlink ref="B1:O1" location="Index!A1" display="Index!A1" xr:uid="{00000000-0004-0000-3500-000000000000}"/>
  </hyperlinks>
  <pageMargins left="0.6" right="0.6" top="0.5" bottom="0.5" header="0.3" footer="0.3"/>
  <pageSetup orientation="portrait" r:id="rId5"/>
  <ignoredErrors>
    <ignoredError sqref="M6:M7" unlockedFormula="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2">
    <pageSetUpPr fitToPage="1"/>
  </sheetPr>
  <dimension ref="A1:K63"/>
  <sheetViews>
    <sheetView showGridLines="0" zoomScaleNormal="100" workbookViewId="0">
      <selection activeCell="A2" sqref="A2:H2"/>
    </sheetView>
  </sheetViews>
  <sheetFormatPr defaultRowHeight="12.75" x14ac:dyDescent="0.2"/>
  <cols>
    <col min="1" max="1" width="20.42578125" customWidth="1"/>
    <col min="3" max="3" width="14.5703125" customWidth="1"/>
    <col min="5" max="5" width="16.7109375" customWidth="1"/>
    <col min="6" max="6" width="1.5703125" customWidth="1"/>
    <col min="7" max="8" width="8.5703125" customWidth="1"/>
    <col min="9" max="9" width="2.5703125" customWidth="1"/>
    <col min="10" max="10" width="7.28515625" customWidth="1"/>
  </cols>
  <sheetData>
    <row r="1" spans="1:9" s="88" customFormat="1" ht="25.15" customHeight="1" x14ac:dyDescent="0.25">
      <c r="A1" s="2455" t="str">
        <f>+Index!$A$1</f>
        <v xml:space="preserve">                                                               Office of the State Controller                                                                </v>
      </c>
      <c r="B1" s="2455"/>
      <c r="C1" s="2455"/>
      <c r="D1" s="2455"/>
      <c r="E1" s="2455"/>
      <c r="F1" s="2455"/>
      <c r="G1" s="2455"/>
      <c r="H1" s="2455"/>
      <c r="I1" s="880" t="str">
        <f>IF(Index!$B$83="na","NA","")</f>
        <v/>
      </c>
    </row>
    <row r="2" spans="1:9" s="88" customFormat="1" ht="15" customHeight="1" x14ac:dyDescent="0.25">
      <c r="A2" s="2689" t="str">
        <f>+Index!$A$2</f>
        <v>2023 ACFR Worksheets</v>
      </c>
      <c r="B2" s="2689"/>
      <c r="C2" s="2689"/>
      <c r="D2" s="2689"/>
      <c r="E2" s="2689"/>
      <c r="F2" s="2689"/>
      <c r="G2" s="2689"/>
      <c r="H2" s="2689"/>
      <c r="I2" s="880"/>
    </row>
    <row r="3" spans="1:9" s="88" customFormat="1" ht="15" customHeight="1" x14ac:dyDescent="0.25">
      <c r="A3" s="2689" t="s">
        <v>1993</v>
      </c>
      <c r="B3" s="2689"/>
      <c r="C3" s="2689"/>
      <c r="D3" s="2689"/>
      <c r="E3" s="2689"/>
      <c r="F3" s="2689"/>
      <c r="G3" s="2689"/>
      <c r="H3" s="2689"/>
      <c r="I3" s="880"/>
    </row>
    <row r="4" spans="1:9" s="88" customFormat="1" ht="15" customHeight="1" x14ac:dyDescent="0.25">
      <c r="A4" s="2689"/>
      <c r="B4" s="2689"/>
      <c r="C4" s="2689"/>
      <c r="D4" s="2689"/>
      <c r="E4" s="2689"/>
      <c r="F4" s="2689"/>
      <c r="G4" s="2689"/>
      <c r="H4" s="2689"/>
    </row>
    <row r="5" spans="1:9" s="82" customFormat="1" ht="15" customHeight="1" x14ac:dyDescent="0.25">
      <c r="A5" s="81"/>
      <c r="B5" s="81"/>
      <c r="C5" s="81"/>
      <c r="D5" s="81"/>
      <c r="E5" s="144" t="s">
        <v>1994</v>
      </c>
      <c r="F5" s="81"/>
      <c r="G5" s="81"/>
      <c r="H5" s="79"/>
      <c r="I5" s="159"/>
    </row>
    <row r="6" spans="1:9" s="82" customFormat="1" ht="15" customHeight="1" x14ac:dyDescent="0.2">
      <c r="A6" s="159"/>
      <c r="B6" s="159"/>
      <c r="C6" s="159"/>
      <c r="D6" s="1848" t="s">
        <v>317</v>
      </c>
      <c r="E6" s="2816" t="str">
        <f>+Index!$E$10</f>
        <v>01</v>
      </c>
      <c r="F6" s="2816"/>
      <c r="G6" s="2816"/>
      <c r="H6" s="2816"/>
      <c r="I6" s="159"/>
    </row>
    <row r="7" spans="1:9" s="82" customFormat="1" ht="15" customHeight="1" x14ac:dyDescent="0.2">
      <c r="A7" s="159"/>
      <c r="B7" s="159"/>
      <c r="C7" s="159"/>
      <c r="D7" s="1848" t="s">
        <v>318</v>
      </c>
      <c r="E7" s="2819" t="str">
        <f>+Index!$E$11</f>
        <v>North Carolina General Assembly</v>
      </c>
      <c r="F7" s="2819"/>
      <c r="G7" s="2819"/>
      <c r="H7" s="2819"/>
      <c r="I7" s="159"/>
    </row>
    <row r="8" spans="1:9" s="82" customFormat="1" ht="15" customHeight="1" x14ac:dyDescent="0.2">
      <c r="A8" s="159"/>
      <c r="B8" s="159"/>
      <c r="C8" s="159"/>
      <c r="D8" s="1848" t="s">
        <v>319</v>
      </c>
      <c r="E8" s="2687" t="str">
        <f>CONCATENATE(Index!$E$12," ",Index!$E$14)</f>
        <v xml:space="preserve"> </v>
      </c>
      <c r="F8" s="2687"/>
      <c r="G8" s="2687"/>
      <c r="H8" s="2687"/>
      <c r="I8" s="159"/>
    </row>
    <row r="9" spans="1:9" s="82" customFormat="1" ht="15" customHeight="1" x14ac:dyDescent="0.2">
      <c r="A9" s="159"/>
      <c r="B9" s="159"/>
      <c r="C9" s="159"/>
      <c r="D9" s="1848" t="s">
        <v>71</v>
      </c>
      <c r="E9" s="2820">
        <f>+Index!$E$13</f>
        <v>0</v>
      </c>
      <c r="F9" s="2820"/>
      <c r="G9" s="2820"/>
      <c r="H9" s="2820"/>
      <c r="I9" s="159"/>
    </row>
    <row r="10" spans="1:9" s="82" customFormat="1" ht="6.75" customHeight="1" thickBot="1" x14ac:dyDescent="0.25">
      <c r="A10" s="1826"/>
      <c r="B10" s="1826"/>
      <c r="C10" s="1826"/>
      <c r="D10" s="1921"/>
      <c r="E10" s="1922"/>
      <c r="F10" s="1922"/>
      <c r="G10" s="1922"/>
      <c r="H10" s="1922"/>
      <c r="I10" s="159"/>
    </row>
    <row r="11" spans="1:9" s="82" customFormat="1" ht="6.75" customHeight="1" x14ac:dyDescent="0.2">
      <c r="A11" s="159"/>
      <c r="B11" s="159"/>
      <c r="C11" s="159"/>
      <c r="D11" s="1848"/>
      <c r="E11" s="1849"/>
      <c r="F11" s="1849"/>
      <c r="G11" s="1849"/>
      <c r="H11" s="1849"/>
      <c r="I11" s="159"/>
    </row>
    <row r="12" spans="1:9" s="82" customFormat="1" ht="12.75" customHeight="1" x14ac:dyDescent="0.2">
      <c r="A12" s="900" t="s">
        <v>1995</v>
      </c>
      <c r="B12" s="2248"/>
      <c r="C12" s="2248"/>
      <c r="D12" s="1923"/>
      <c r="E12" s="2331"/>
      <c r="F12" s="2331"/>
      <c r="G12" s="2331"/>
      <c r="H12" s="1924"/>
      <c r="I12" s="159"/>
    </row>
    <row r="13" spans="1:9" s="82" customFormat="1" ht="6.75" customHeight="1" x14ac:dyDescent="0.2">
      <c r="A13" s="159"/>
      <c r="B13" s="159"/>
      <c r="C13" s="159"/>
      <c r="D13" s="1848"/>
      <c r="E13" s="1849"/>
      <c r="F13" s="1849"/>
      <c r="G13" s="1849"/>
      <c r="H13" s="1849"/>
      <c r="I13" s="159"/>
    </row>
    <row r="14" spans="1:9" s="82" customFormat="1" ht="15" customHeight="1" x14ac:dyDescent="0.2">
      <c r="A14" s="159" t="s">
        <v>1996</v>
      </c>
      <c r="B14" s="159"/>
      <c r="C14" s="159"/>
      <c r="D14" s="159"/>
      <c r="E14" s="159"/>
      <c r="F14" s="159"/>
      <c r="G14" s="159"/>
      <c r="H14" s="159"/>
      <c r="I14" s="159"/>
    </row>
    <row r="15" spans="1:9" s="1" customFormat="1" ht="15" customHeight="1" x14ac:dyDescent="0.2">
      <c r="A15" s="159" t="s">
        <v>1997</v>
      </c>
    </row>
    <row r="16" spans="1:9" s="1" customFormat="1" ht="15" customHeight="1" x14ac:dyDescent="0.2">
      <c r="A16" s="159" t="s">
        <v>1998</v>
      </c>
    </row>
    <row r="17" spans="1:11" s="1" customFormat="1" ht="15" customHeight="1" x14ac:dyDescent="0.2">
      <c r="A17" s="159" t="s">
        <v>1999</v>
      </c>
    </row>
    <row r="18" spans="1:11" s="1" customFormat="1" ht="15" customHeight="1" x14ac:dyDescent="0.2">
      <c r="A18" s="1" t="s">
        <v>2000</v>
      </c>
    </row>
    <row r="19" spans="1:11" s="1" customFormat="1" ht="15" customHeight="1" x14ac:dyDescent="0.2">
      <c r="A19" s="1" t="s">
        <v>2001</v>
      </c>
    </row>
    <row r="20" spans="1:11" s="1" customFormat="1" ht="15" customHeight="1" x14ac:dyDescent="0.2"/>
    <row r="21" spans="1:11" s="1" customFormat="1" ht="15" customHeight="1" x14ac:dyDescent="0.2">
      <c r="A21" s="1" t="s">
        <v>2002</v>
      </c>
    </row>
    <row r="22" spans="1:11" s="78" customFormat="1" ht="15" customHeight="1" x14ac:dyDescent="0.2">
      <c r="A22" s="159" t="s">
        <v>2003</v>
      </c>
      <c r="B22" s="159"/>
      <c r="C22" s="159"/>
      <c r="D22" s="159"/>
      <c r="E22" s="159"/>
      <c r="F22" s="159"/>
      <c r="G22" s="159"/>
      <c r="H22" s="159"/>
      <c r="I22" s="159"/>
      <c r="J22" s="159"/>
      <c r="K22" s="159"/>
    </row>
    <row r="23" spans="1:11" s="78" customFormat="1" ht="15" customHeight="1" x14ac:dyDescent="0.2">
      <c r="A23" s="159" t="s">
        <v>2004</v>
      </c>
      <c r="B23" s="159"/>
      <c r="C23" s="159"/>
      <c r="D23" s="159"/>
      <c r="E23" s="159"/>
      <c r="F23" s="159"/>
      <c r="G23" s="159"/>
      <c r="H23" s="159"/>
      <c r="I23" s="159"/>
      <c r="J23" s="159"/>
      <c r="K23" s="159"/>
    </row>
    <row r="24" spans="1:11" s="78" customFormat="1" ht="15" customHeight="1" x14ac:dyDescent="0.2">
      <c r="A24" s="159" t="s">
        <v>2005</v>
      </c>
      <c r="B24" s="159"/>
      <c r="C24" s="159"/>
      <c r="D24" s="159"/>
      <c r="E24" s="159"/>
      <c r="F24" s="159"/>
      <c r="G24" s="159"/>
      <c r="H24" s="159"/>
      <c r="I24" s="159"/>
      <c r="J24" s="159"/>
      <c r="K24" s="159"/>
    </row>
    <row r="25" spans="1:11" s="78" customFormat="1" ht="15" customHeight="1" x14ac:dyDescent="0.2">
      <c r="A25" s="1" t="s">
        <v>2006</v>
      </c>
      <c r="B25" s="159"/>
      <c r="C25" s="159"/>
      <c r="D25" s="159"/>
      <c r="E25" s="159"/>
      <c r="F25" s="159"/>
      <c r="G25" s="159"/>
      <c r="H25" s="159"/>
      <c r="I25" s="159"/>
      <c r="J25" s="159"/>
      <c r="K25" s="159"/>
    </row>
    <row r="26" spans="1:11" s="78" customFormat="1" ht="15" customHeight="1" x14ac:dyDescent="0.2">
      <c r="A26" s="1" t="s">
        <v>2007</v>
      </c>
      <c r="B26" s="159"/>
      <c r="C26" s="159"/>
      <c r="D26" s="159"/>
      <c r="E26" s="159"/>
      <c r="F26" s="159"/>
      <c r="G26" s="159"/>
      <c r="H26" s="159"/>
      <c r="I26" s="159"/>
      <c r="J26" s="159"/>
      <c r="K26" s="159"/>
    </row>
    <row r="27" spans="1:11" s="78" customFormat="1" ht="15" customHeight="1" x14ac:dyDescent="0.2">
      <c r="A27" s="159"/>
      <c r="B27" s="159"/>
      <c r="C27" s="159"/>
      <c r="D27" s="159"/>
      <c r="E27" s="159"/>
      <c r="F27" s="159"/>
      <c r="G27" s="159"/>
      <c r="H27" s="159"/>
      <c r="I27" s="159"/>
      <c r="J27" s="159"/>
      <c r="K27" s="159"/>
    </row>
    <row r="28" spans="1:11" s="78" customFormat="1" ht="15" customHeight="1" x14ac:dyDescent="0.2">
      <c r="A28" s="2821" t="s">
        <v>2008</v>
      </c>
      <c r="B28" s="2822"/>
      <c r="C28" s="2822"/>
      <c r="D28" s="2822"/>
      <c r="E28" s="2823"/>
      <c r="F28" s="159"/>
      <c r="G28" s="2821" t="s">
        <v>2009</v>
      </c>
      <c r="H28" s="2823"/>
      <c r="I28" s="159"/>
      <c r="J28" s="159"/>
      <c r="K28" s="159"/>
    </row>
    <row r="29" spans="1:11" s="78" customFormat="1" ht="18" customHeight="1" x14ac:dyDescent="0.2">
      <c r="A29" s="2549" t="s">
        <v>2010</v>
      </c>
      <c r="B29" s="2549"/>
      <c r="C29" s="2549"/>
      <c r="D29" s="2549"/>
      <c r="E29" s="2549"/>
      <c r="F29" s="159"/>
      <c r="G29" s="2824"/>
      <c r="H29" s="2824"/>
      <c r="I29" s="159"/>
      <c r="J29" s="2814" t="str">
        <f>IF(ISBLANK($G$29)=TRUE,"Amount Missing"," ")</f>
        <v>Amount Missing</v>
      </c>
      <c r="K29" s="2815"/>
    </row>
    <row r="30" spans="1:11" s="78" customFormat="1" ht="14.25" customHeight="1" x14ac:dyDescent="0.2">
      <c r="A30" s="2332"/>
      <c r="B30" s="159"/>
      <c r="C30" s="159"/>
      <c r="D30" s="159"/>
      <c r="E30" s="159"/>
      <c r="F30" s="159"/>
      <c r="G30" s="2825"/>
      <c r="H30" s="2826"/>
      <c r="I30" s="159"/>
      <c r="J30" s="159"/>
      <c r="K30" s="159"/>
    </row>
    <row r="31" spans="1:11" s="78" customFormat="1" ht="15" customHeight="1" x14ac:dyDescent="0.2">
      <c r="A31" s="2566" t="s">
        <v>2011</v>
      </c>
      <c r="B31" s="2566"/>
      <c r="C31" s="2566"/>
      <c r="D31" s="2566"/>
      <c r="E31" s="2566"/>
      <c r="F31" s="159"/>
      <c r="G31" s="2617"/>
      <c r="H31" s="2617"/>
      <c r="I31" s="159"/>
      <c r="J31" s="159"/>
      <c r="K31" s="159"/>
    </row>
    <row r="32" spans="1:11" s="78" customFormat="1" ht="15" customHeight="1" x14ac:dyDescent="0.2">
      <c r="A32" s="2548"/>
      <c r="B32" s="2548"/>
      <c r="C32" s="2548"/>
      <c r="D32" s="2548"/>
      <c r="E32" s="2548"/>
      <c r="F32" s="159"/>
      <c r="G32" s="2617"/>
      <c r="H32" s="2617"/>
      <c r="I32" s="159"/>
      <c r="J32" s="159"/>
      <c r="K32" s="159"/>
    </row>
    <row r="33" spans="1:8" s="78" customFormat="1" ht="15" customHeight="1" x14ac:dyDescent="0.2">
      <c r="A33" s="2332"/>
      <c r="B33" s="2332"/>
      <c r="C33" s="2332"/>
      <c r="D33" s="2332"/>
      <c r="E33" s="2332"/>
      <c r="F33" s="159"/>
      <c r="G33" s="2817"/>
      <c r="H33" s="2817"/>
    </row>
    <row r="34" spans="1:8" s="78" customFormat="1" ht="15" customHeight="1" x14ac:dyDescent="0.2">
      <c r="A34" s="2548"/>
      <c r="B34" s="2548"/>
      <c r="C34" s="2548"/>
      <c r="D34" s="2548"/>
      <c r="E34" s="2548"/>
      <c r="F34" s="159"/>
      <c r="G34" s="2817"/>
      <c r="H34" s="2817"/>
    </row>
    <row r="35" spans="1:8" s="78" customFormat="1" ht="15" customHeight="1" x14ac:dyDescent="0.2">
      <c r="A35" s="2818" t="s">
        <v>2012</v>
      </c>
      <c r="B35" s="2818"/>
      <c r="C35" s="2818"/>
      <c r="D35" s="2818"/>
      <c r="E35" s="2818"/>
      <c r="F35" s="159"/>
      <c r="G35" s="2817"/>
      <c r="H35" s="2817"/>
    </row>
    <row r="36" spans="1:8" s="78" customFormat="1" ht="15" customHeight="1" x14ac:dyDescent="0.2">
      <c r="A36" s="2548"/>
      <c r="B36" s="2548"/>
      <c r="C36" s="2548"/>
      <c r="D36" s="2548"/>
      <c r="E36" s="2548"/>
      <c r="F36" s="159"/>
      <c r="G36" s="2817"/>
      <c r="H36" s="2817"/>
    </row>
    <row r="37" spans="1:8" s="78" customFormat="1" ht="15" customHeight="1" x14ac:dyDescent="0.2">
      <c r="A37" s="2548"/>
      <c r="B37" s="2548"/>
      <c r="C37" s="2548"/>
      <c r="D37" s="2548"/>
      <c r="E37" s="2548"/>
      <c r="F37" s="159"/>
      <c r="G37" s="2817"/>
      <c r="H37" s="2817"/>
    </row>
    <row r="38" spans="1:8" s="78" customFormat="1" ht="15" customHeight="1" x14ac:dyDescent="0.2">
      <c r="A38" s="2548"/>
      <c r="B38" s="2548"/>
      <c r="C38" s="2548"/>
      <c r="D38" s="2548"/>
      <c r="E38" s="2548"/>
      <c r="F38" s="159"/>
      <c r="G38" s="2817"/>
      <c r="H38" s="2817"/>
    </row>
    <row r="39" spans="1:8" s="78" customFormat="1" ht="15" customHeight="1" x14ac:dyDescent="0.2">
      <c r="A39" s="2548"/>
      <c r="B39" s="2548"/>
      <c r="C39" s="2548"/>
      <c r="D39" s="2548"/>
      <c r="E39" s="2548"/>
      <c r="F39" s="159"/>
      <c r="G39" s="2817"/>
      <c r="H39" s="2817"/>
    </row>
    <row r="40" spans="1:8" s="78" customFormat="1" ht="15" customHeight="1" x14ac:dyDescent="0.2">
      <c r="A40" s="1925"/>
      <c r="B40" s="1925"/>
      <c r="C40" s="1925"/>
      <c r="D40" s="1925"/>
      <c r="E40" s="1925"/>
      <c r="F40" s="159"/>
      <c r="G40" s="1926"/>
      <c r="H40" s="1926"/>
    </row>
    <row r="41" spans="1:8" s="78" customFormat="1" ht="15.75" customHeight="1" x14ac:dyDescent="0.2">
      <c r="A41" s="2"/>
      <c r="B41" s="159"/>
      <c r="C41" s="159"/>
      <c r="D41" s="159"/>
      <c r="E41" s="159"/>
      <c r="F41" s="159"/>
      <c r="G41" s="2333"/>
      <c r="H41" s="2333"/>
    </row>
    <row r="42" spans="1:8" s="78" customFormat="1" ht="21" customHeight="1" x14ac:dyDescent="0.2">
      <c r="A42" s="1"/>
      <c r="B42" s="159"/>
      <c r="C42" s="159"/>
      <c r="D42" s="159"/>
      <c r="E42" s="159"/>
      <c r="F42" s="159"/>
      <c r="G42" s="2333"/>
      <c r="H42" s="2333"/>
    </row>
    <row r="43" spans="1:8" s="78" customFormat="1" ht="15" customHeight="1" x14ac:dyDescent="0.2">
      <c r="A43" s="1"/>
      <c r="B43" s="159"/>
      <c r="C43" s="159"/>
      <c r="D43" s="159"/>
      <c r="E43" s="159"/>
      <c r="F43" s="159"/>
      <c r="G43" s="2333"/>
      <c r="H43" s="2333"/>
    </row>
    <row r="44" spans="1:8" s="78" customFormat="1" ht="15" customHeight="1" x14ac:dyDescent="0.2">
      <c r="A44" s="1"/>
      <c r="B44" s="159"/>
      <c r="C44" s="159"/>
      <c r="D44" s="2335"/>
      <c r="E44" s="2335"/>
      <c r="F44" s="159"/>
      <c r="G44" s="2828"/>
      <c r="H44" s="2828"/>
    </row>
    <row r="45" spans="1:8" s="78" customFormat="1" ht="15" customHeight="1" x14ac:dyDescent="0.2">
      <c r="A45" s="1"/>
      <c r="B45" s="159"/>
      <c r="C45" s="159"/>
      <c r="D45" s="2829"/>
      <c r="E45" s="2829"/>
      <c r="F45" s="159"/>
      <c r="G45" s="2828"/>
      <c r="H45" s="2828"/>
    </row>
    <row r="46" spans="1:8" s="78" customFormat="1" ht="15" customHeight="1" x14ac:dyDescent="0.2">
      <c r="A46" s="1"/>
      <c r="B46" s="159"/>
      <c r="C46" s="159"/>
      <c r="D46" s="2335"/>
      <c r="E46" s="2335"/>
      <c r="F46" s="159"/>
      <c r="G46" s="2827">
        <f>SUM(G44:H45)</f>
        <v>0</v>
      </c>
      <c r="H46" s="2827"/>
    </row>
    <row r="47" spans="1:8" s="78" customFormat="1" ht="15" customHeight="1" x14ac:dyDescent="0.2">
      <c r="A47" s="1"/>
      <c r="B47" s="159"/>
      <c r="C47" s="159"/>
      <c r="D47" s="159"/>
      <c r="E47" s="159"/>
      <c r="F47" s="159"/>
      <c r="G47" s="2333"/>
      <c r="H47" s="2333"/>
    </row>
    <row r="48" spans="1:8" s="78" customFormat="1" ht="15" customHeight="1" x14ac:dyDescent="0.2">
      <c r="A48" s="159"/>
      <c r="B48" s="159"/>
      <c r="C48" s="159"/>
      <c r="D48" s="159"/>
      <c r="E48" s="159"/>
      <c r="F48" s="159"/>
      <c r="G48" s="2333"/>
      <c r="H48" s="2333"/>
    </row>
    <row r="49" spans="7:8" s="78" customFormat="1" ht="15" customHeight="1" x14ac:dyDescent="0.2">
      <c r="G49" s="2333"/>
      <c r="H49" s="2333"/>
    </row>
    <row r="50" spans="7:8" s="78" customFormat="1" ht="15" customHeight="1" x14ac:dyDescent="0.2">
      <c r="G50" s="2333"/>
      <c r="H50" s="2333"/>
    </row>
    <row r="51" spans="7:8" s="78" customFormat="1" ht="15" customHeight="1" x14ac:dyDescent="0.2">
      <c r="G51" s="2333"/>
      <c r="H51" s="2333"/>
    </row>
    <row r="52" spans="7:8" s="78" customFormat="1" ht="15" customHeight="1" x14ac:dyDescent="0.2">
      <c r="G52" s="2827"/>
      <c r="H52" s="2827"/>
    </row>
    <row r="53" spans="7:8" s="78" customFormat="1" ht="15" customHeight="1" x14ac:dyDescent="0.2">
      <c r="G53" s="159"/>
      <c r="H53" s="159"/>
    </row>
    <row r="54" spans="7:8" s="78" customFormat="1" ht="15" customHeight="1" x14ac:dyDescent="0.2">
      <c r="G54" s="159"/>
      <c r="H54" s="159"/>
    </row>
    <row r="55" spans="7:8" s="78" customFormat="1" ht="15" customHeight="1" x14ac:dyDescent="0.2">
      <c r="G55" s="159"/>
      <c r="H55" s="159"/>
    </row>
    <row r="56" spans="7:8" s="78" customFormat="1" ht="15" customHeight="1" x14ac:dyDescent="0.2">
      <c r="G56" s="159"/>
      <c r="H56" s="159"/>
    </row>
    <row r="57" spans="7:8" s="78" customFormat="1" ht="15" customHeight="1" x14ac:dyDescent="0.2">
      <c r="G57" s="159"/>
      <c r="H57" s="159"/>
    </row>
    <row r="58" spans="7:8" s="78" customFormat="1" ht="15" customHeight="1" x14ac:dyDescent="0.2">
      <c r="G58" s="159"/>
      <c r="H58" s="159"/>
    </row>
    <row r="59" spans="7:8" s="78" customFormat="1" ht="15" customHeight="1" x14ac:dyDescent="0.2">
      <c r="G59" s="159"/>
      <c r="H59" s="159"/>
    </row>
    <row r="60" spans="7:8" s="78" customFormat="1" ht="15" customHeight="1" x14ac:dyDescent="0.2">
      <c r="G60" s="159"/>
      <c r="H60" s="159"/>
    </row>
    <row r="61" spans="7:8" s="78" customFormat="1" ht="15" customHeight="1" x14ac:dyDescent="0.2">
      <c r="G61" s="159"/>
      <c r="H61" s="159"/>
    </row>
    <row r="62" spans="7:8" s="78" customFormat="1" ht="15" customHeight="1" x14ac:dyDescent="0.2">
      <c r="G62" s="159"/>
      <c r="H62" s="159"/>
    </row>
    <row r="63" spans="7:8" s="78" customFormat="1" ht="15" customHeight="1" x14ac:dyDescent="0.2">
      <c r="G63" s="159"/>
      <c r="H63" s="159"/>
    </row>
  </sheetData>
  <sheetProtection algorithmName="SHA-512" hashValue="CY/neKJfLyxnaCI9Zx+wwIARVSYyf0QYgcVSIapBtINoYSIdyIA9lJEAeGT9+mgAJ0JkdIhmcd3vF5i5NgRGIA==" saltValue="lhX13stqgrfC2E5mVhKgCQ==" spinCount="100000" sheet="1" objects="1" scenarios="1" autoFilter="0"/>
  <customSheetViews>
    <customSheetView guid="{9FCFC836-1CA5-48BF-958D-24D2EA94B219}" showGridLines="0" fitToPage="1">
      <selection activeCell="B12" sqref="B12"/>
      <pageMargins left="0" right="0" top="0" bottom="0" header="0" footer="0"/>
      <pageSetup orientation="portrait" r:id="rId1"/>
      <headerFooter alignWithMargins="0">
        <oddFooter>&amp;R&amp;A</oddFooter>
      </headerFooter>
    </customSheetView>
    <customSheetView guid="{BEA4BE86-04D1-4C96-9358-7A260B9D2B2D}" showGridLines="0" fitToPage="1" showRuler="0">
      <selection sqref="A1:H1"/>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H1"/>
      <pageMargins left="0" right="0" top="0" bottom="0" header="0" footer="0"/>
      <pageSetup orientation="portrait" r:id="rId3"/>
      <headerFooter alignWithMargins="0">
        <oddFooter>&amp;R&amp;A</oddFooter>
      </headerFooter>
    </customSheetView>
    <customSheetView guid="{B08879A4-635B-4C39-9937-AC7883D562FC}" showGridLines="0" fitToPage="1">
      <selection activeCell="B12" sqref="B12"/>
      <pageMargins left="0" right="0" top="0" bottom="0" header="0" footer="0"/>
      <pageSetup orientation="portrait" r:id="rId4"/>
      <headerFooter alignWithMargins="0">
        <oddFooter>&amp;R&amp;A</oddFooter>
      </headerFooter>
    </customSheetView>
  </customSheetViews>
  <mergeCells count="36">
    <mergeCell ref="G52:H52"/>
    <mergeCell ref="G44:H44"/>
    <mergeCell ref="G45:H45"/>
    <mergeCell ref="A37:E37"/>
    <mergeCell ref="A31:E31"/>
    <mergeCell ref="A34:E34"/>
    <mergeCell ref="G46:H46"/>
    <mergeCell ref="G38:H38"/>
    <mergeCell ref="G39:H39"/>
    <mergeCell ref="A32:E32"/>
    <mergeCell ref="D45:E45"/>
    <mergeCell ref="A38:E38"/>
    <mergeCell ref="A39:E39"/>
    <mergeCell ref="A1:H1"/>
    <mergeCell ref="A2:H2"/>
    <mergeCell ref="A3:H3"/>
    <mergeCell ref="G37:H37"/>
    <mergeCell ref="A28:E28"/>
    <mergeCell ref="G28:H28"/>
    <mergeCell ref="G29:H29"/>
    <mergeCell ref="G30:H30"/>
    <mergeCell ref="G34:H34"/>
    <mergeCell ref="G33:H33"/>
    <mergeCell ref="A36:E36"/>
    <mergeCell ref="A29:E29"/>
    <mergeCell ref="J29:K29"/>
    <mergeCell ref="A4:H4"/>
    <mergeCell ref="E6:H6"/>
    <mergeCell ref="G36:H36"/>
    <mergeCell ref="A35:E35"/>
    <mergeCell ref="G35:H35"/>
    <mergeCell ref="E7:H7"/>
    <mergeCell ref="E8:H8"/>
    <mergeCell ref="E9:H9"/>
    <mergeCell ref="G31:H31"/>
    <mergeCell ref="G32:H32"/>
  </mergeCells>
  <phoneticPr fontId="16" type="noConversion"/>
  <conditionalFormatting sqref="G30">
    <cfRule type="containsText" dxfId="48" priority="2" stopIfTrue="1" operator="containsText" text="Valuation Missing">
      <formula>NOT(ISERROR(SEARCH("Valuation Missing",G30)))</formula>
    </cfRule>
  </conditionalFormatting>
  <conditionalFormatting sqref="I1:I3">
    <cfRule type="cellIs" dxfId="47" priority="5" stopIfTrue="1" operator="equal">
      <formula>"na"</formula>
    </cfRule>
  </conditionalFormatting>
  <conditionalFormatting sqref="J29">
    <cfRule type="containsText" dxfId="46" priority="1" stopIfTrue="1" operator="containsText" text="Valuation Missing">
      <formula>NOT(ISERROR(SEARCH("Valuation Missing",J29)))</formula>
    </cfRule>
  </conditionalFormatting>
  <hyperlinks>
    <hyperlink ref="A1:H1" location="Index!A1" display="Index!A1" xr:uid="{00000000-0004-0000-3600-000000000000}"/>
  </hyperlinks>
  <pageMargins left="0.6" right="0.6" top="0.5" bottom="0.5" header="0.3" footer="0.3"/>
  <pageSetup scale="88" orientation="portrait" r:id="rId5"/>
  <ignoredErrors>
    <ignoredError sqref="E8:E9" unlockedFormula="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3">
    <pageSetUpPr fitToPage="1"/>
  </sheetPr>
  <dimension ref="A1:K55"/>
  <sheetViews>
    <sheetView showGridLines="0" zoomScaleNormal="100" zoomScaleSheetLayoutView="100" workbookViewId="0">
      <selection activeCell="A2" sqref="A2:J2"/>
    </sheetView>
  </sheetViews>
  <sheetFormatPr defaultColWidth="9.42578125" defaultRowHeight="12.75" x14ac:dyDescent="0.2"/>
  <cols>
    <col min="1" max="1" width="16.5703125" style="135" customWidth="1"/>
    <col min="2" max="2" width="12.5703125" style="135" customWidth="1"/>
    <col min="3" max="3" width="1.42578125" style="135" customWidth="1"/>
    <col min="4" max="4" width="14.42578125" style="135" customWidth="1"/>
    <col min="5" max="5" width="1.42578125" style="135" customWidth="1"/>
    <col min="6" max="6" width="14.42578125" style="135" customWidth="1"/>
    <col min="7" max="7" width="1.42578125" style="135" customWidth="1"/>
    <col min="8" max="8" width="14.42578125" style="135" customWidth="1"/>
    <col min="9" max="9" width="1.42578125" style="135" customWidth="1"/>
    <col min="10" max="10" width="14.5703125" style="135" customWidth="1"/>
    <col min="11" max="11" width="4.5703125" style="135" customWidth="1"/>
    <col min="12" max="29" width="9.42578125" style="135"/>
    <col min="30" max="253" width="16.5703125" style="135" customWidth="1"/>
    <col min="254" max="16384" width="9.42578125" style="135"/>
  </cols>
  <sheetData>
    <row r="1" spans="1:11" ht="15" customHeight="1" x14ac:dyDescent="0.25">
      <c r="A1" s="2384" t="str">
        <f>Index!$A$1</f>
        <v xml:space="preserve">                                                               Office of the State Controller                                                                </v>
      </c>
      <c r="B1" s="2384"/>
      <c r="C1" s="2384"/>
      <c r="D1" s="2384"/>
      <c r="E1" s="2384"/>
      <c r="F1" s="2384"/>
      <c r="G1" s="2384"/>
      <c r="H1" s="2384"/>
      <c r="I1" s="2384"/>
      <c r="J1" s="2384"/>
      <c r="K1" s="2520" t="str">
        <f>IF(Index!$B$84="na","NA","")</f>
        <v/>
      </c>
    </row>
    <row r="2" spans="1:11" ht="15" customHeight="1" x14ac:dyDescent="0.3">
      <c r="A2" s="2836" t="str">
        <f>Index!$A$2</f>
        <v>2023 ACFR Worksheets</v>
      </c>
      <c r="B2" s="2836"/>
      <c r="C2" s="2836"/>
      <c r="D2" s="2836"/>
      <c r="E2" s="2836"/>
      <c r="F2" s="2836"/>
      <c r="G2" s="2836"/>
      <c r="H2" s="2836"/>
      <c r="I2" s="2836"/>
      <c r="J2" s="2836"/>
      <c r="K2" s="2520"/>
    </row>
    <row r="3" spans="1:11" ht="15" customHeight="1" x14ac:dyDescent="0.3">
      <c r="A3" s="2836" t="s">
        <v>2013</v>
      </c>
      <c r="B3" s="2836"/>
      <c r="C3" s="2836"/>
      <c r="D3" s="2836"/>
      <c r="E3" s="2836"/>
      <c r="F3" s="2836"/>
      <c r="G3" s="2836"/>
      <c r="H3" s="2836"/>
      <c r="I3" s="2836"/>
      <c r="J3" s="2836"/>
      <c r="K3" s="2520"/>
    </row>
    <row r="4" spans="1:11" ht="10.5" customHeight="1" x14ac:dyDescent="0.3">
      <c r="A4" s="2336"/>
      <c r="B4" s="2336"/>
      <c r="C4" s="2336"/>
      <c r="D4" s="2336"/>
      <c r="E4" s="2336"/>
      <c r="F4" s="2336"/>
      <c r="G4" s="2336"/>
      <c r="H4" s="2336"/>
      <c r="I4" s="2336"/>
      <c r="J4" s="2336"/>
    </row>
    <row r="5" spans="1:11" ht="15" customHeight="1" x14ac:dyDescent="0.2">
      <c r="A5" s="135" t="s">
        <v>317</v>
      </c>
      <c r="B5" s="2337" t="str">
        <f>+Index!$E$10</f>
        <v>01</v>
      </c>
      <c r="C5" s="136"/>
      <c r="F5" s="441" t="s">
        <v>318</v>
      </c>
      <c r="G5" s="2838" t="str">
        <f>+Index!E$11</f>
        <v>North Carolina General Assembly</v>
      </c>
      <c r="H5" s="2838"/>
      <c r="I5" s="2838"/>
      <c r="J5" s="2838"/>
    </row>
    <row r="6" spans="1:11" ht="15" customHeight="1" x14ac:dyDescent="0.2">
      <c r="A6" s="135" t="s">
        <v>319</v>
      </c>
      <c r="B6" s="2837" t="str">
        <f>CONCATENATE(Index!$E$12," ",Index!$E$14)</f>
        <v xml:space="preserve"> </v>
      </c>
      <c r="C6" s="2837"/>
      <c r="D6" s="2837"/>
      <c r="E6" s="2837"/>
      <c r="F6" s="1927" t="s">
        <v>71</v>
      </c>
      <c r="G6" s="2839">
        <f>+Index!E$13</f>
        <v>0</v>
      </c>
      <c r="H6" s="2839"/>
      <c r="I6" s="2839"/>
      <c r="J6" s="2839"/>
    </row>
    <row r="7" spans="1:11" s="138" customFormat="1" ht="15" customHeight="1" thickBot="1" x14ac:dyDescent="0.25">
      <c r="A7" s="137"/>
      <c r="B7" s="1928" t="s">
        <v>50</v>
      </c>
      <c r="C7" s="137"/>
      <c r="D7" s="137"/>
      <c r="E7" s="137"/>
      <c r="F7" s="137"/>
      <c r="G7" s="137"/>
      <c r="H7" s="137"/>
      <c r="I7" s="137"/>
      <c r="J7" s="137"/>
    </row>
    <row r="8" spans="1:11" s="138" customFormat="1" ht="12" customHeight="1" x14ac:dyDescent="0.2">
      <c r="B8" s="140"/>
    </row>
    <row r="9" spans="1:11" s="139" customFormat="1" ht="15" customHeight="1" x14ac:dyDescent="0.2">
      <c r="A9" s="140" t="s">
        <v>2014</v>
      </c>
      <c r="B9" s="135"/>
      <c r="C9" s="135"/>
      <c r="D9" s="135"/>
      <c r="E9" s="135"/>
      <c r="F9" s="135"/>
      <c r="G9" s="135"/>
      <c r="H9" s="135"/>
      <c r="I9" s="135"/>
      <c r="J9" s="135"/>
      <c r="K9" s="135"/>
    </row>
    <row r="10" spans="1:11" s="139" customFormat="1" ht="15" customHeight="1" x14ac:dyDescent="0.2">
      <c r="A10" s="140"/>
      <c r="B10" s="135"/>
      <c r="C10" s="135"/>
      <c r="D10" s="135"/>
      <c r="E10" s="135"/>
      <c r="F10" s="135"/>
      <c r="G10" s="135"/>
      <c r="H10" s="135"/>
      <c r="I10" s="135"/>
      <c r="J10" s="135"/>
      <c r="K10" s="135"/>
    </row>
    <row r="11" spans="1:11" s="139" customFormat="1" ht="15" customHeight="1" x14ac:dyDescent="0.2">
      <c r="A11" s="135" t="s">
        <v>2015</v>
      </c>
      <c r="B11" s="135"/>
      <c r="C11" s="135"/>
      <c r="D11" s="141"/>
      <c r="E11" s="135"/>
      <c r="F11" s="135"/>
      <c r="G11" s="135"/>
      <c r="H11" s="141"/>
      <c r="I11" s="135"/>
      <c r="J11" s="135"/>
      <c r="K11" s="135"/>
    </row>
    <row r="12" spans="1:11" s="139" customFormat="1" ht="15" customHeight="1" x14ac:dyDescent="0.2">
      <c r="A12" s="135" t="s">
        <v>2016</v>
      </c>
      <c r="B12" s="135"/>
      <c r="C12" s="135"/>
      <c r="D12" s="141"/>
      <c r="E12" s="135"/>
      <c r="F12" s="135"/>
      <c r="G12" s="135"/>
      <c r="H12" s="141"/>
      <c r="I12" s="135"/>
      <c r="J12" s="135"/>
      <c r="K12" s="135"/>
    </row>
    <row r="13" spans="1:11" s="139" customFormat="1" ht="15" customHeight="1" x14ac:dyDescent="0.2">
      <c r="A13" s="140"/>
      <c r="B13" s="135"/>
      <c r="C13" s="135"/>
      <c r="D13" s="135"/>
      <c r="E13" s="135"/>
      <c r="F13" s="135"/>
      <c r="G13" s="135"/>
      <c r="H13" s="135"/>
      <c r="I13" s="135"/>
      <c r="J13" s="135"/>
      <c r="K13" s="135"/>
    </row>
    <row r="14" spans="1:11" s="139" customFormat="1" ht="8.1" customHeight="1" x14ac:dyDescent="0.2">
      <c r="A14" s="135"/>
      <c r="B14" s="135"/>
      <c r="C14" s="135"/>
      <c r="D14" s="135"/>
      <c r="E14" s="135"/>
      <c r="F14" s="135"/>
      <c r="G14" s="135"/>
      <c r="H14" s="135"/>
      <c r="I14" s="135"/>
      <c r="J14" s="135"/>
      <c r="K14" s="135"/>
    </row>
    <row r="15" spans="1:11" s="138" customFormat="1" ht="15" customHeight="1" x14ac:dyDescent="0.2">
      <c r="A15" s="142"/>
      <c r="B15" s="142"/>
      <c r="C15" s="142"/>
      <c r="D15" s="2833" t="s">
        <v>2017</v>
      </c>
      <c r="E15" s="2834"/>
      <c r="F15" s="2834"/>
      <c r="G15" s="2834"/>
      <c r="H15" s="2834"/>
      <c r="I15" s="2834"/>
      <c r="J15" s="2835"/>
    </row>
    <row r="16" spans="1:11" s="138" customFormat="1" ht="15" customHeight="1" x14ac:dyDescent="0.2">
      <c r="A16" s="142"/>
      <c r="B16" s="142"/>
      <c r="C16" s="142"/>
      <c r="D16" s="2830"/>
      <c r="E16" s="142"/>
      <c r="F16" s="2830"/>
      <c r="G16" s="142"/>
      <c r="H16" s="2830"/>
      <c r="I16" s="142"/>
      <c r="J16" s="2830"/>
    </row>
    <row r="17" spans="1:10" s="138" customFormat="1" ht="15" customHeight="1" x14ac:dyDescent="0.2">
      <c r="A17" s="142"/>
      <c r="B17" s="142"/>
      <c r="C17" s="142"/>
      <c r="D17" s="2831"/>
      <c r="E17" s="142"/>
      <c r="F17" s="2831"/>
      <c r="G17" s="142"/>
      <c r="H17" s="2831"/>
      <c r="I17" s="142"/>
      <c r="J17" s="2831"/>
    </row>
    <row r="18" spans="1:10" s="138" customFormat="1" ht="15" customHeight="1" x14ac:dyDescent="0.2">
      <c r="A18" s="142"/>
      <c r="B18" s="142"/>
      <c r="C18" s="142"/>
      <c r="D18" s="2831"/>
      <c r="E18" s="142"/>
      <c r="F18" s="2831"/>
      <c r="G18" s="142"/>
      <c r="H18" s="2831"/>
      <c r="I18" s="142"/>
      <c r="J18" s="2831"/>
    </row>
    <row r="19" spans="1:10" s="138" customFormat="1" ht="15" customHeight="1" x14ac:dyDescent="0.2">
      <c r="A19" s="142"/>
      <c r="B19" s="142"/>
      <c r="C19" s="142"/>
      <c r="D19" s="2832"/>
      <c r="E19" s="142"/>
      <c r="F19" s="2832"/>
      <c r="G19" s="142"/>
      <c r="H19" s="2832"/>
      <c r="I19" s="142"/>
      <c r="J19" s="2832"/>
    </row>
    <row r="20" spans="1:10" s="138" customFormat="1" ht="15" customHeight="1" x14ac:dyDescent="0.2">
      <c r="A20" s="142" t="s">
        <v>2018</v>
      </c>
      <c r="B20" s="142"/>
      <c r="C20" s="142"/>
      <c r="D20" s="1103"/>
      <c r="E20" s="142"/>
      <c r="F20" s="1103"/>
      <c r="G20" s="142"/>
      <c r="H20" s="1103"/>
      <c r="I20" s="142"/>
      <c r="J20" s="1103"/>
    </row>
    <row r="21" spans="1:10" s="138" customFormat="1" ht="15" customHeight="1" x14ac:dyDescent="0.2">
      <c r="A21" s="142" t="s">
        <v>2019</v>
      </c>
      <c r="B21" s="142"/>
      <c r="C21" s="142"/>
      <c r="D21" s="1103"/>
      <c r="E21" s="142"/>
      <c r="F21" s="1103"/>
      <c r="G21" s="142"/>
      <c r="H21" s="1103"/>
      <c r="I21" s="142"/>
      <c r="J21" s="1103"/>
    </row>
    <row r="22" spans="1:10" s="138" customFormat="1" ht="15" customHeight="1" x14ac:dyDescent="0.2">
      <c r="A22" s="142" t="s">
        <v>2020</v>
      </c>
      <c r="B22" s="142"/>
      <c r="C22" s="142"/>
      <c r="D22" s="1103"/>
      <c r="E22" s="142"/>
      <c r="F22" s="1103"/>
      <c r="G22" s="142"/>
      <c r="H22" s="1103"/>
      <c r="I22" s="142"/>
      <c r="J22" s="1103"/>
    </row>
    <row r="23" spans="1:10" s="138" customFormat="1" ht="15" customHeight="1" x14ac:dyDescent="0.2">
      <c r="A23" s="142" t="s">
        <v>2021</v>
      </c>
      <c r="B23" s="142"/>
      <c r="C23" s="142"/>
      <c r="D23" s="1103"/>
      <c r="E23" s="142"/>
      <c r="F23" s="1103"/>
      <c r="G23" s="142"/>
      <c r="H23" s="1103"/>
      <c r="I23" s="142"/>
      <c r="J23" s="1103"/>
    </row>
    <row r="24" spans="1:10" s="138" customFormat="1" ht="15" customHeight="1" x14ac:dyDescent="0.2">
      <c r="A24" s="142" t="s">
        <v>2022</v>
      </c>
      <c r="B24" s="142"/>
      <c r="C24" s="142"/>
      <c r="D24" s="1103"/>
      <c r="E24" s="142"/>
      <c r="F24" s="1103"/>
      <c r="G24" s="142"/>
      <c r="H24" s="1103"/>
      <c r="I24" s="142"/>
      <c r="J24" s="1103"/>
    </row>
    <row r="25" spans="1:10" s="138" customFormat="1" ht="15" customHeight="1" x14ac:dyDescent="0.2">
      <c r="A25" s="142" t="s">
        <v>2023</v>
      </c>
      <c r="B25" s="142"/>
      <c r="C25" s="142"/>
      <c r="D25" s="1400"/>
      <c r="E25" s="1109"/>
      <c r="F25" s="1400"/>
      <c r="G25" s="1109"/>
      <c r="H25" s="1400"/>
      <c r="I25" s="1109"/>
      <c r="J25" s="1400"/>
    </row>
    <row r="26" spans="1:10" s="138" customFormat="1" ht="15" customHeight="1" x14ac:dyDescent="0.2">
      <c r="A26" s="142" t="s">
        <v>2024</v>
      </c>
      <c r="B26" s="142"/>
      <c r="C26" s="142"/>
      <c r="D26" s="142"/>
      <c r="E26" s="142"/>
      <c r="F26" s="142"/>
      <c r="G26" s="142"/>
      <c r="H26" s="142"/>
      <c r="I26" s="142"/>
      <c r="J26" s="142"/>
    </row>
    <row r="27" spans="1:10" s="138" customFormat="1" ht="15" customHeight="1" x14ac:dyDescent="0.2">
      <c r="A27" s="142" t="s">
        <v>2025</v>
      </c>
      <c r="B27" s="142"/>
      <c r="C27" s="142"/>
      <c r="D27" s="1401"/>
      <c r="E27" s="1109"/>
      <c r="F27" s="1401"/>
      <c r="G27" s="1109"/>
      <c r="H27" s="1401"/>
      <c r="I27" s="1109"/>
      <c r="J27" s="1401"/>
    </row>
    <row r="28" spans="1:10" s="138" customFormat="1" ht="11.25" customHeight="1" x14ac:dyDescent="0.2">
      <c r="A28" s="142"/>
      <c r="B28" s="142"/>
      <c r="C28" s="142"/>
      <c r="D28" s="1929"/>
      <c r="E28" s="1109"/>
      <c r="F28" s="1929"/>
      <c r="G28" s="1109"/>
      <c r="H28" s="1929"/>
      <c r="I28" s="1109"/>
      <c r="J28" s="1929"/>
    </row>
    <row r="29" spans="1:10" s="139" customFormat="1" x14ac:dyDescent="0.2">
      <c r="A29" s="135"/>
      <c r="B29" s="135"/>
      <c r="C29" s="135"/>
      <c r="D29" s="135"/>
      <c r="E29" s="135"/>
      <c r="F29" s="135"/>
      <c r="G29" s="135"/>
      <c r="H29" s="135"/>
      <c r="I29" s="135"/>
      <c r="J29" s="135"/>
    </row>
    <row r="30" spans="1:10" s="139" customFormat="1" x14ac:dyDescent="0.2">
      <c r="A30" s="135"/>
      <c r="B30" s="135"/>
      <c r="C30" s="135"/>
      <c r="D30" s="135"/>
      <c r="E30" s="135"/>
      <c r="F30" s="135"/>
      <c r="G30" s="135"/>
      <c r="H30" s="135"/>
      <c r="I30" s="135"/>
      <c r="J30" s="135"/>
    </row>
    <row r="31" spans="1:10" s="142" customFormat="1" ht="12" x14ac:dyDescent="0.2"/>
    <row r="32" spans="1:10" s="142" customFormat="1" ht="12" x14ac:dyDescent="0.2"/>
    <row r="33" s="142" customFormat="1" ht="12" x14ac:dyDescent="0.2"/>
    <row r="34" s="142" customFormat="1" ht="12" x14ac:dyDescent="0.2"/>
    <row r="35" s="142" customFormat="1" ht="12" x14ac:dyDescent="0.2"/>
    <row r="36" s="142" customFormat="1" ht="12" x14ac:dyDescent="0.2"/>
    <row r="37" s="142" customFormat="1" ht="12" x14ac:dyDescent="0.2"/>
    <row r="38" s="142" customFormat="1" ht="12" x14ac:dyDescent="0.2"/>
    <row r="39" s="142" customFormat="1" ht="12" x14ac:dyDescent="0.2"/>
    <row r="40" s="142" customFormat="1" ht="12" x14ac:dyDescent="0.2"/>
    <row r="41" s="142" customFormat="1" ht="12" x14ac:dyDescent="0.2"/>
    <row r="42" s="142" customFormat="1" ht="12" x14ac:dyDescent="0.2"/>
    <row r="43" s="142" customFormat="1" ht="12" x14ac:dyDescent="0.2"/>
    <row r="44" s="142" customFormat="1" ht="12" x14ac:dyDescent="0.2"/>
    <row r="45" s="142" customFormat="1" ht="12" x14ac:dyDescent="0.2"/>
    <row r="46" s="142" customFormat="1" ht="12" x14ac:dyDescent="0.2"/>
    <row r="47" s="142" customFormat="1" ht="12" x14ac:dyDescent="0.2"/>
    <row r="48" s="142" customFormat="1" ht="12" x14ac:dyDescent="0.2"/>
    <row r="49" s="142" customFormat="1" ht="12" x14ac:dyDescent="0.2"/>
    <row r="50" s="142" customFormat="1" ht="12" x14ac:dyDescent="0.2"/>
    <row r="51" s="142" customFormat="1" ht="12" x14ac:dyDescent="0.2"/>
    <row r="52" s="142" customFormat="1" ht="12" x14ac:dyDescent="0.2"/>
    <row r="53" s="142" customFormat="1" ht="12" x14ac:dyDescent="0.2"/>
    <row r="54" s="142" customFormat="1" ht="12" x14ac:dyDescent="0.2"/>
    <row r="55" s="142" customFormat="1" ht="12" x14ac:dyDescent="0.2"/>
  </sheetData>
  <sheetProtection algorithmName="SHA-512" hashValue="ryP8sdEo/lPjAN57LOjpkORPmIQXxgmwp1bEPQKTWvdQI3qLfGjrZ0fzbOYCseE78i0V54ircDnmiOaidum2ag==" saltValue="Nyypx8xVJ5TOkcZP45Xz0Q==" spinCount="100000" sheet="1" objects="1" scenarios="1" autoFilter="0"/>
  <customSheetViews>
    <customSheetView guid="{9FCFC836-1CA5-48BF-958D-24D2EA94B219}" showGridLines="0" fitToPage="1">
      <selection activeCell="B12" sqref="B12"/>
      <pageMargins left="0" right="0" top="0" bottom="0" header="0" footer="0"/>
      <printOptions horizontalCentered="1"/>
      <pageSetup orientation="portrait" r:id="rId1"/>
      <headerFooter alignWithMargins="0">
        <oddFooter>&amp;R&amp;"MS Sans Serif,Regular"&amp;A</oddFooter>
      </headerFooter>
    </customSheetView>
    <customSheetView guid="{BEA4BE86-04D1-4C96-9358-7A260B9D2B2D}" showGridLines="0" fitToPage="1" showRuler="0">
      <selection sqref="A1:J1"/>
      <pageMargins left="0" right="0" top="0" bottom="0" header="0" footer="0"/>
      <printOptions horizontalCentered="1"/>
      <pageSetup scale="99" orientation="portrait" horizontalDpi="300" verticalDpi="300" r:id="rId2"/>
      <headerFooter alignWithMargins="0">
        <oddFooter>&amp;R&amp;"MS Sans Serif,Regular"&amp;A</oddFooter>
      </headerFooter>
    </customSheetView>
    <customSheetView guid="{1250FD07-FF56-4A9D-AF9E-C27124A7EBE9}" showGridLines="0" fitToPage="1" showRuler="0">
      <selection sqref="A1:J1"/>
      <pageMargins left="0" right="0" top="0" bottom="0" header="0" footer="0"/>
      <printOptions horizontalCentered="1"/>
      <pageSetup scale="99" orientation="portrait" horizontalDpi="300" verticalDpi="300" r:id="rId3"/>
      <headerFooter alignWithMargins="0">
        <oddFooter>&amp;R&amp;"MS Sans Serif,Regular"&amp;A</oddFooter>
      </headerFooter>
    </customSheetView>
    <customSheetView guid="{B08879A4-635B-4C39-9937-AC7883D562FC}" showGridLines="0" fitToPage="1">
      <selection activeCell="B12" sqref="B12"/>
      <pageMargins left="0" right="0" top="0" bottom="0" header="0" footer="0"/>
      <printOptions horizontalCentered="1"/>
      <pageSetup orientation="portrait" r:id="rId4"/>
      <headerFooter alignWithMargins="0">
        <oddFooter>&amp;R&amp;"MS Sans Serif,Regular"&amp;A</oddFooter>
      </headerFooter>
    </customSheetView>
  </customSheetViews>
  <mergeCells count="12">
    <mergeCell ref="F16:F19"/>
    <mergeCell ref="H16:H19"/>
    <mergeCell ref="J16:J19"/>
    <mergeCell ref="D16:D19"/>
    <mergeCell ref="K1:K3"/>
    <mergeCell ref="D15:J15"/>
    <mergeCell ref="A1:J1"/>
    <mergeCell ref="A2:J2"/>
    <mergeCell ref="A3:J3"/>
    <mergeCell ref="B6:E6"/>
    <mergeCell ref="G5:J5"/>
    <mergeCell ref="G6:J6"/>
  </mergeCells>
  <phoneticPr fontId="16" type="noConversion"/>
  <conditionalFormatting sqref="K1:K3">
    <cfRule type="cellIs" dxfId="45" priority="1" stopIfTrue="1" operator="equal">
      <formula>"na"</formula>
    </cfRule>
  </conditionalFormatting>
  <hyperlinks>
    <hyperlink ref="A1" location="Index!A1" display="Index!A1" xr:uid="{00000000-0004-0000-3700-000000000000}"/>
  </hyperlinks>
  <pageMargins left="0.6" right="0.6" top="0.5" bottom="0.5" header="0.3" footer="0.3"/>
  <pageSetup scale="97"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0">
    <pageSetUpPr fitToPage="1"/>
  </sheetPr>
  <dimension ref="A1:T74"/>
  <sheetViews>
    <sheetView showGridLines="0" zoomScaleNormal="100" workbookViewId="0">
      <selection activeCell="D24" sqref="D24"/>
    </sheetView>
  </sheetViews>
  <sheetFormatPr defaultColWidth="9.42578125" defaultRowHeight="12.75" x14ac:dyDescent="0.2"/>
  <cols>
    <col min="1" max="1" width="16.5703125" style="135" customWidth="1"/>
    <col min="2" max="2" width="22" style="135" customWidth="1"/>
    <col min="3" max="3" width="1.42578125" style="135" customWidth="1"/>
    <col min="4" max="4" width="21.28515625" style="135" customWidth="1"/>
    <col min="5" max="5" width="1.42578125" style="135" customWidth="1"/>
    <col min="6" max="6" width="29.42578125" style="135" customWidth="1"/>
    <col min="7" max="7" width="1.42578125" style="135" customWidth="1"/>
    <col min="8" max="8" width="24.42578125" style="135" customWidth="1"/>
    <col min="9" max="9" width="3.5703125" style="135" customWidth="1"/>
    <col min="10" max="10" width="34.140625" style="135" customWidth="1"/>
    <col min="11" max="11" width="8.5703125" style="135" customWidth="1"/>
    <col min="12" max="12" width="7" style="135" customWidth="1"/>
    <col min="13" max="13" width="6.140625" style="135" customWidth="1"/>
    <col min="14" max="14" width="7" style="135" customWidth="1"/>
    <col min="15" max="18" width="9.42578125" style="135" customWidth="1"/>
    <col min="19" max="19" width="11.42578125" style="135" customWidth="1"/>
    <col min="20" max="20" width="7.85546875" style="135" customWidth="1"/>
    <col min="21" max="29" width="9.42578125" style="135"/>
    <col min="30" max="253" width="16.5703125" style="135" customWidth="1"/>
    <col min="254" max="16384" width="9.42578125" style="135"/>
  </cols>
  <sheetData>
    <row r="1" spans="1:11" ht="25.15" customHeight="1" x14ac:dyDescent="0.25">
      <c r="A1" s="2384" t="str">
        <f>Index!$A$1</f>
        <v xml:space="preserve">                                                               Office of the State Controller                                                                </v>
      </c>
      <c r="B1" s="2384"/>
      <c r="C1" s="2384"/>
      <c r="D1" s="2384"/>
      <c r="E1" s="2384"/>
      <c r="F1" s="2384"/>
      <c r="G1" s="2384"/>
      <c r="H1" s="2384"/>
      <c r="I1" s="2384"/>
      <c r="J1" s="2384"/>
      <c r="K1" s="880" t="str">
        <f>IF(Index!$B$85="na","NA","")</f>
        <v/>
      </c>
    </row>
    <row r="2" spans="1:11" ht="15" customHeight="1" x14ac:dyDescent="0.3">
      <c r="A2" s="2836" t="str">
        <f>Index!$A$2</f>
        <v>2023 ACFR Worksheets</v>
      </c>
      <c r="B2" s="2836"/>
      <c r="C2" s="2836"/>
      <c r="D2" s="2836"/>
      <c r="E2" s="2836"/>
      <c r="F2" s="2836"/>
      <c r="G2" s="2836"/>
      <c r="H2" s="2836"/>
      <c r="I2" s="2836"/>
      <c r="J2" s="2836"/>
      <c r="K2" s="880"/>
    </row>
    <row r="3" spans="1:11" ht="15" customHeight="1" x14ac:dyDescent="0.3">
      <c r="A3" s="2836" t="s">
        <v>2026</v>
      </c>
      <c r="B3" s="2836"/>
      <c r="C3" s="2836"/>
      <c r="D3" s="2836"/>
      <c r="E3" s="2836"/>
      <c r="F3" s="2836"/>
      <c r="G3" s="2836"/>
      <c r="H3" s="2836"/>
      <c r="I3" s="2836"/>
      <c r="J3" s="2836"/>
      <c r="K3" s="880"/>
    </row>
    <row r="4" spans="1:11" ht="15.75" customHeight="1" x14ac:dyDescent="0.3">
      <c r="A4" s="2836" t="s">
        <v>2027</v>
      </c>
      <c r="B4" s="2836"/>
      <c r="C4" s="2836"/>
      <c r="D4" s="2836"/>
      <c r="E4" s="2836"/>
      <c r="F4" s="2836"/>
      <c r="G4" s="2836"/>
      <c r="H4" s="2836"/>
      <c r="I4" s="2836"/>
      <c r="J4" s="2836"/>
    </row>
    <row r="5" spans="1:11" ht="10.5" customHeight="1" x14ac:dyDescent="0.3">
      <c r="A5" s="2336"/>
      <c r="B5" s="2336"/>
      <c r="C5" s="2336"/>
      <c r="D5" s="2336"/>
      <c r="E5" s="2336"/>
      <c r="F5" s="2336"/>
      <c r="G5" s="2336"/>
      <c r="H5" s="2336"/>
      <c r="I5" s="2336"/>
      <c r="J5" s="2336"/>
    </row>
    <row r="6" spans="1:11" ht="15" customHeight="1" x14ac:dyDescent="0.2">
      <c r="A6" s="135" t="s">
        <v>317</v>
      </c>
      <c r="B6" s="2337" t="str">
        <f>+Index!$E$10</f>
        <v>01</v>
      </c>
      <c r="C6" s="136"/>
      <c r="F6" s="441" t="s">
        <v>318</v>
      </c>
      <c r="G6" s="2840" t="str">
        <f>+Index!E$11</f>
        <v>North Carolina General Assembly</v>
      </c>
      <c r="H6" s="2840"/>
      <c r="I6" s="2840"/>
      <c r="J6" s="2840"/>
    </row>
    <row r="7" spans="1:11" ht="15" customHeight="1" x14ac:dyDescent="0.2">
      <c r="A7" s="135" t="s">
        <v>319</v>
      </c>
      <c r="B7" s="2842" t="str">
        <f>CONCATENATE(Index!$E$12," ",Index!$E$14)</f>
        <v xml:space="preserve"> </v>
      </c>
      <c r="C7" s="2842"/>
      <c r="D7" s="2842"/>
      <c r="E7" s="2842"/>
      <c r="F7" s="1927" t="s">
        <v>71</v>
      </c>
      <c r="G7" s="2839">
        <f>+Index!E$13</f>
        <v>0</v>
      </c>
      <c r="H7" s="2839"/>
      <c r="I7" s="2839"/>
      <c r="J7" s="2839"/>
    </row>
    <row r="8" spans="1:11" s="138" customFormat="1" ht="15" customHeight="1" thickBot="1" x14ac:dyDescent="0.25">
      <c r="A8" s="137"/>
      <c r="B8" s="1928" t="s">
        <v>50</v>
      </c>
      <c r="C8" s="137"/>
      <c r="D8" s="137"/>
      <c r="E8" s="137"/>
      <c r="F8" s="137"/>
      <c r="G8" s="137"/>
      <c r="H8" s="137"/>
      <c r="I8" s="137"/>
      <c r="J8" s="137"/>
    </row>
    <row r="9" spans="1:11" s="138" customFormat="1" ht="12" customHeight="1" x14ac:dyDescent="0.2">
      <c r="B9" s="140"/>
    </row>
    <row r="10" spans="1:11" s="138" customFormat="1" ht="15" customHeight="1" x14ac:dyDescent="0.2">
      <c r="A10" s="140" t="s">
        <v>2028</v>
      </c>
      <c r="B10" s="135"/>
      <c r="C10" s="135"/>
      <c r="D10" s="135"/>
      <c r="E10" s="135"/>
      <c r="F10" s="135"/>
      <c r="G10" s="135"/>
      <c r="H10" s="135"/>
      <c r="I10" s="135"/>
      <c r="J10" s="135"/>
    </row>
    <row r="11" spans="1:11" s="138" customFormat="1" ht="15" customHeight="1" x14ac:dyDescent="0.2">
      <c r="A11" s="140" t="s">
        <v>2029</v>
      </c>
      <c r="B11" s="135"/>
      <c r="C11" s="135"/>
      <c r="D11" s="135"/>
      <c r="E11" s="135"/>
      <c r="F11" s="135"/>
      <c r="G11" s="135"/>
      <c r="H11" s="135"/>
      <c r="I11" s="135"/>
      <c r="J11" s="135"/>
    </row>
    <row r="12" spans="1:11" s="138" customFormat="1" ht="15" customHeight="1" x14ac:dyDescent="0.2">
      <c r="A12" s="140" t="s">
        <v>2030</v>
      </c>
      <c r="B12" s="135"/>
      <c r="C12" s="135"/>
      <c r="D12" s="135"/>
      <c r="E12" s="135"/>
      <c r="F12" s="135"/>
      <c r="G12" s="135"/>
      <c r="H12" s="135"/>
      <c r="I12" s="135"/>
      <c r="J12" s="135"/>
    </row>
    <row r="13" spans="1:11" s="138" customFormat="1" ht="15" customHeight="1" x14ac:dyDescent="0.2">
      <c r="A13" s="140" t="s">
        <v>2031</v>
      </c>
      <c r="B13" s="135"/>
      <c r="C13" s="135"/>
      <c r="D13" s="135"/>
      <c r="E13" s="135"/>
      <c r="F13" s="135"/>
      <c r="G13" s="135"/>
      <c r="H13" s="135"/>
      <c r="I13" s="135"/>
      <c r="J13" s="135"/>
    </row>
    <row r="14" spans="1:11" s="138" customFormat="1" ht="15" customHeight="1" x14ac:dyDescent="0.2">
      <c r="A14" s="140" t="s">
        <v>2032</v>
      </c>
      <c r="B14" s="135"/>
      <c r="C14" s="135"/>
      <c r="D14" s="135"/>
      <c r="E14" s="135"/>
      <c r="F14" s="135"/>
      <c r="G14" s="135"/>
      <c r="H14" s="135"/>
      <c r="I14" s="135"/>
      <c r="J14" s="135"/>
    </row>
    <row r="15" spans="1:11" s="138" customFormat="1" ht="15" customHeight="1" x14ac:dyDescent="0.2">
      <c r="A15" s="140" t="s">
        <v>2033</v>
      </c>
      <c r="B15" s="135"/>
      <c r="C15" s="135"/>
      <c r="D15" s="135"/>
      <c r="E15" s="135"/>
      <c r="F15" s="135"/>
      <c r="G15" s="135"/>
      <c r="H15" s="135"/>
      <c r="I15" s="135"/>
      <c r="J15" s="135"/>
    </row>
    <row r="16" spans="1:11" s="138" customFormat="1" ht="10.35" customHeight="1" x14ac:dyDescent="0.2">
      <c r="A16" s="140"/>
      <c r="B16" s="135"/>
      <c r="C16" s="135"/>
      <c r="D16" s="135"/>
      <c r="E16" s="135"/>
      <c r="F16" s="135"/>
      <c r="G16" s="135"/>
      <c r="H16" s="135"/>
      <c r="I16" s="135"/>
      <c r="J16" s="135"/>
    </row>
    <row r="17" spans="1:20" s="138" customFormat="1" ht="15" customHeight="1" x14ac:dyDescent="0.2">
      <c r="A17" s="152" t="s">
        <v>2034</v>
      </c>
      <c r="B17" s="135"/>
      <c r="C17" s="135"/>
      <c r="D17" s="135"/>
      <c r="E17" s="135"/>
      <c r="F17" s="135"/>
      <c r="G17" s="135"/>
      <c r="H17" s="135"/>
      <c r="I17" s="135"/>
      <c r="J17" s="135"/>
    </row>
    <row r="18" spans="1:20" s="138" customFormat="1" ht="15" customHeight="1" x14ac:dyDescent="0.2">
      <c r="A18" s="140"/>
      <c r="B18" s="135"/>
      <c r="C18" s="135"/>
      <c r="D18" s="1100" t="s">
        <v>2035</v>
      </c>
      <c r="E18" s="135"/>
      <c r="F18" s="135"/>
      <c r="G18" s="135"/>
      <c r="H18" s="135"/>
      <c r="I18" s="135"/>
      <c r="J18" s="135"/>
    </row>
    <row r="19" spans="1:20" s="138" customFormat="1" ht="15" customHeight="1" x14ac:dyDescent="0.25">
      <c r="A19" s="151"/>
      <c r="B19" s="135"/>
      <c r="C19" s="135"/>
      <c r="D19" s="1101" t="s">
        <v>2036</v>
      </c>
      <c r="E19" s="135"/>
      <c r="F19" s="2843" t="s">
        <v>1839</v>
      </c>
      <c r="G19" s="2843"/>
      <c r="H19" s="2843"/>
      <c r="I19" s="135"/>
      <c r="J19" s="135"/>
    </row>
    <row r="20" spans="1:20" s="138" customFormat="1" ht="15" customHeight="1" thickBot="1" x14ac:dyDescent="0.25">
      <c r="A20" s="2844" t="s">
        <v>2037</v>
      </c>
      <c r="B20" s="2844"/>
      <c r="C20" s="135"/>
      <c r="D20" s="2338" t="s">
        <v>1347</v>
      </c>
      <c r="E20" s="135"/>
      <c r="F20" s="1102" t="s">
        <v>1396</v>
      </c>
      <c r="G20" s="135"/>
      <c r="H20" s="1102" t="s">
        <v>2038</v>
      </c>
      <c r="I20" s="1100"/>
      <c r="J20" s="2338" t="s">
        <v>1845</v>
      </c>
      <c r="K20" s="135"/>
    </row>
    <row r="21" spans="1:20" s="138" customFormat="1" ht="15" customHeight="1" x14ac:dyDescent="0.2">
      <c r="A21" s="2845"/>
      <c r="B21" s="2845"/>
      <c r="C21" s="2096"/>
      <c r="D21" s="2158"/>
      <c r="E21" s="2097"/>
      <c r="F21" s="2151"/>
      <c r="G21" s="2152"/>
      <c r="H21" s="2153"/>
      <c r="I21" s="2097"/>
      <c r="J21" s="2156"/>
      <c r="K21" s="2080"/>
      <c r="L21" s="2078"/>
      <c r="M21" s="2078"/>
      <c r="N21" s="2079"/>
      <c r="O21" s="2079"/>
      <c r="P21" s="2079"/>
      <c r="Q21" s="2079"/>
      <c r="R21" s="2079"/>
      <c r="S21" s="2079"/>
      <c r="T21" s="2079"/>
    </row>
    <row r="22" spans="1:20" s="138" customFormat="1" ht="15" customHeight="1" x14ac:dyDescent="0.2">
      <c r="A22" s="2846"/>
      <c r="B22" s="2846"/>
      <c r="C22" s="2096"/>
      <c r="D22" s="2158"/>
      <c r="E22" s="2097"/>
      <c r="F22" s="2154"/>
      <c r="G22" s="2152"/>
      <c r="H22" s="2155"/>
      <c r="I22" s="2097"/>
      <c r="J22" s="2157"/>
      <c r="K22" s="2080"/>
      <c r="L22" s="2078"/>
      <c r="M22" s="2078"/>
      <c r="N22" s="2079"/>
      <c r="O22" s="2079"/>
      <c r="P22" s="2079"/>
      <c r="Q22" s="2079"/>
      <c r="R22" s="2079"/>
    </row>
    <row r="23" spans="1:20" s="138" customFormat="1" ht="15" customHeight="1" x14ac:dyDescent="0.2">
      <c r="A23" s="2846"/>
      <c r="B23" s="2847"/>
      <c r="C23" s="2096"/>
      <c r="D23" s="2158"/>
      <c r="E23" s="2097"/>
      <c r="F23" s="2154"/>
      <c r="G23" s="2152"/>
      <c r="H23" s="2153"/>
      <c r="I23" s="2097"/>
      <c r="J23" s="2157"/>
      <c r="K23" s="2080"/>
      <c r="L23" s="2078"/>
      <c r="M23" s="2078"/>
      <c r="N23" s="2079"/>
      <c r="O23" s="2079"/>
      <c r="P23" s="2079"/>
      <c r="Q23" s="2079"/>
      <c r="R23" s="2079"/>
    </row>
    <row r="24" spans="1:20" s="138" customFormat="1" ht="15" customHeight="1" x14ac:dyDescent="0.2">
      <c r="A24" s="2846"/>
      <c r="B24" s="2847"/>
      <c r="C24" s="2096"/>
      <c r="D24" s="2158"/>
      <c r="E24" s="2097"/>
      <c r="F24" s="2154"/>
      <c r="G24" s="2152"/>
      <c r="H24" s="2153"/>
      <c r="I24" s="2097"/>
      <c r="J24" s="2157"/>
      <c r="K24" s="2080"/>
      <c r="L24" s="2078"/>
      <c r="M24" s="2078"/>
      <c r="N24" s="2079"/>
      <c r="O24" s="2079"/>
      <c r="P24" s="2079"/>
      <c r="Q24" s="2079"/>
      <c r="R24" s="2079"/>
    </row>
    <row r="25" spans="1:20" s="138" customFormat="1" ht="15" customHeight="1" x14ac:dyDescent="0.2">
      <c r="A25" s="2846"/>
      <c r="B25" s="2846"/>
      <c r="C25" s="2096"/>
      <c r="D25" s="2158"/>
      <c r="E25" s="2097"/>
      <c r="F25" s="2154"/>
      <c r="G25" s="2152"/>
      <c r="H25" s="2153"/>
      <c r="I25" s="2097"/>
      <c r="J25" s="2157"/>
      <c r="K25" s="2080"/>
      <c r="L25" s="2078"/>
      <c r="M25" s="2078"/>
      <c r="N25" s="2079"/>
      <c r="O25" s="2079"/>
      <c r="P25" s="2079"/>
      <c r="Q25" s="2079"/>
      <c r="R25" s="2079"/>
    </row>
    <row r="26" spans="1:20" s="138" customFormat="1" ht="15" customHeight="1" x14ac:dyDescent="0.2">
      <c r="A26" s="2846"/>
      <c r="B26" s="2846"/>
      <c r="C26" s="2096"/>
      <c r="D26" s="2158"/>
      <c r="E26" s="2097"/>
      <c r="F26" s="2154"/>
      <c r="G26" s="2152"/>
      <c r="H26" s="2153"/>
      <c r="I26" s="2097"/>
      <c r="J26" s="2157"/>
      <c r="K26" s="2080"/>
      <c r="L26" s="2078"/>
      <c r="M26" s="2078"/>
      <c r="N26" s="2079"/>
      <c r="O26" s="2079"/>
      <c r="P26" s="2079"/>
      <c r="Q26" s="2079"/>
      <c r="R26" s="2079"/>
    </row>
    <row r="27" spans="1:20" s="138" customFormat="1" ht="15" customHeight="1" x14ac:dyDescent="0.2">
      <c r="A27" s="2846"/>
      <c r="B27" s="2846"/>
      <c r="C27" s="2096"/>
      <c r="D27" s="2158"/>
      <c r="E27" s="2097"/>
      <c r="F27" s="2154"/>
      <c r="G27" s="2152"/>
      <c r="H27" s="2153"/>
      <c r="I27" s="2097"/>
      <c r="J27" s="2157"/>
      <c r="K27" s="2080"/>
      <c r="L27" s="2078"/>
      <c r="M27" s="2078"/>
      <c r="N27" s="2079"/>
      <c r="O27" s="2079"/>
      <c r="P27" s="2079"/>
      <c r="Q27" s="2079"/>
      <c r="R27" s="2079"/>
    </row>
    <row r="28" spans="1:20" s="138" customFormat="1" ht="15" customHeight="1" x14ac:dyDescent="0.2">
      <c r="A28" s="2846"/>
      <c r="B28" s="2846"/>
      <c r="C28" s="2096"/>
      <c r="D28" s="2159"/>
      <c r="E28" s="2097"/>
      <c r="F28" s="2154"/>
      <c r="G28" s="2152"/>
      <c r="H28" s="2153"/>
      <c r="I28" s="2097"/>
      <c r="J28" s="2157"/>
      <c r="K28" s="2080"/>
      <c r="L28" s="2078"/>
      <c r="M28" s="2078"/>
      <c r="N28" s="2079"/>
      <c r="O28" s="2079"/>
      <c r="P28" s="2079"/>
      <c r="Q28" s="2079"/>
      <c r="R28" s="2079"/>
    </row>
    <row r="29" spans="1:20" s="138" customFormat="1" ht="15" customHeight="1" x14ac:dyDescent="0.2">
      <c r="A29" s="1104"/>
      <c r="B29" s="153"/>
      <c r="C29" s="142"/>
      <c r="D29" s="2160"/>
      <c r="E29" s="142"/>
      <c r="F29" s="140" t="str">
        <f>IF(D30='905'!F25,"Agrees to 'Due from agency/institution","Doesn't agree to 'Due from agency/institution")</f>
        <v>Agrees to 'Due from agency/institution</v>
      </c>
      <c r="G29" s="142"/>
      <c r="H29" s="142"/>
      <c r="I29" s="142"/>
      <c r="J29" s="1105"/>
      <c r="K29" s="135"/>
    </row>
    <row r="30" spans="1:20" ht="15" customHeight="1" x14ac:dyDescent="0.2">
      <c r="A30" s="152"/>
      <c r="B30" s="1106" t="s">
        <v>955</v>
      </c>
      <c r="D30" s="2161">
        <f>SUM(D21:D28)</f>
        <v>0</v>
      </c>
      <c r="F30" s="140" t="s">
        <v>2039</v>
      </c>
      <c r="H30" s="441"/>
      <c r="I30" s="140"/>
    </row>
    <row r="31" spans="1:20" ht="15" customHeight="1" thickBot="1" x14ac:dyDescent="0.25">
      <c r="A31" s="152"/>
      <c r="B31" s="1106"/>
      <c r="D31" s="2161"/>
      <c r="F31" s="140" t="s">
        <v>2040</v>
      </c>
      <c r="H31" s="140"/>
      <c r="I31" s="140"/>
    </row>
    <row r="32" spans="1:20" s="138" customFormat="1" ht="14.45" customHeight="1" thickBot="1" x14ac:dyDescent="0.25">
      <c r="A32" s="1107"/>
      <c r="B32" s="1107"/>
      <c r="C32" s="1107"/>
      <c r="D32" s="2162"/>
      <c r="E32" s="1107"/>
      <c r="F32" s="1107"/>
      <c r="G32" s="1107"/>
      <c r="H32" s="1108"/>
      <c r="I32" s="1107"/>
      <c r="J32" s="1108"/>
    </row>
    <row r="33" spans="1:18" s="138" customFormat="1" ht="12.6" customHeight="1" x14ac:dyDescent="0.2">
      <c r="A33" s="142"/>
      <c r="B33" s="142"/>
      <c r="C33" s="142"/>
      <c r="D33" s="2163"/>
      <c r="E33" s="142"/>
      <c r="F33" s="1109"/>
      <c r="G33" s="142"/>
      <c r="H33" s="1109"/>
      <c r="I33" s="142"/>
      <c r="J33" s="1109"/>
    </row>
    <row r="34" spans="1:18" s="138" customFormat="1" ht="15" customHeight="1" x14ac:dyDescent="0.2">
      <c r="A34" s="152" t="s">
        <v>2041</v>
      </c>
      <c r="B34" s="135"/>
      <c r="C34" s="135"/>
      <c r="D34" s="2164"/>
      <c r="E34" s="135"/>
      <c r="F34" s="135"/>
      <c r="G34" s="135"/>
      <c r="H34" s="135"/>
      <c r="I34" s="135"/>
      <c r="J34" s="135"/>
    </row>
    <row r="35" spans="1:18" s="138" customFormat="1" ht="15" customHeight="1" x14ac:dyDescent="0.2">
      <c r="A35" s="140"/>
      <c r="B35" s="135"/>
      <c r="C35" s="135"/>
      <c r="D35" s="2164" t="s">
        <v>2035</v>
      </c>
      <c r="E35" s="135"/>
      <c r="F35" s="135"/>
      <c r="G35" s="135"/>
      <c r="H35" s="135"/>
      <c r="I35" s="135"/>
      <c r="J35" s="135"/>
    </row>
    <row r="36" spans="1:18" s="138" customFormat="1" ht="15" customHeight="1" x14ac:dyDescent="0.25">
      <c r="A36" s="151"/>
      <c r="B36" s="135"/>
      <c r="C36" s="135"/>
      <c r="D36" s="2165" t="s">
        <v>2042</v>
      </c>
      <c r="E36" s="135"/>
      <c r="F36" s="2843" t="s">
        <v>1851</v>
      </c>
      <c r="G36" s="2843"/>
      <c r="H36" s="2843"/>
      <c r="I36" s="135"/>
      <c r="J36" s="135"/>
    </row>
    <row r="37" spans="1:18" s="138" customFormat="1" ht="15" customHeight="1" thickBot="1" x14ac:dyDescent="0.25">
      <c r="A37" s="2844" t="s">
        <v>2037</v>
      </c>
      <c r="B37" s="2844"/>
      <c r="C37" s="135"/>
      <c r="D37" s="2166" t="s">
        <v>1347</v>
      </c>
      <c r="E37" s="135"/>
      <c r="F37" s="1102" t="s">
        <v>1396</v>
      </c>
      <c r="G37" s="135"/>
      <c r="H37" s="1102" t="s">
        <v>2038</v>
      </c>
      <c r="I37" s="1100"/>
      <c r="J37" s="2338" t="s">
        <v>1845</v>
      </c>
      <c r="K37" s="135"/>
    </row>
    <row r="38" spans="1:18" s="138" customFormat="1" ht="15" customHeight="1" x14ac:dyDescent="0.2">
      <c r="A38" s="2845"/>
      <c r="B38" s="2845"/>
      <c r="C38" s="2096"/>
      <c r="D38" s="2158"/>
      <c r="E38" s="2152"/>
      <c r="F38" s="2151"/>
      <c r="G38" s="2152"/>
      <c r="H38" s="2153"/>
      <c r="I38" s="2152"/>
      <c r="J38" s="2156"/>
      <c r="K38" s="2080"/>
      <c r="L38" s="2078"/>
      <c r="M38" s="2078"/>
      <c r="N38" s="2079"/>
      <c r="O38" s="2079"/>
      <c r="P38" s="2079"/>
      <c r="Q38" s="2079"/>
      <c r="R38" s="2079"/>
    </row>
    <row r="39" spans="1:18" s="138" customFormat="1" ht="15" customHeight="1" x14ac:dyDescent="0.2">
      <c r="A39" s="2841"/>
      <c r="B39" s="2841"/>
      <c r="C39" s="2096"/>
      <c r="D39" s="2158"/>
      <c r="E39" s="2152"/>
      <c r="F39" s="2154"/>
      <c r="G39" s="2152"/>
      <c r="H39" s="2155"/>
      <c r="I39" s="2152"/>
      <c r="J39" s="2157"/>
      <c r="K39" s="2080"/>
      <c r="L39" s="2078"/>
      <c r="M39" s="2078"/>
      <c r="N39" s="2079"/>
      <c r="O39" s="2079"/>
      <c r="P39" s="2079"/>
      <c r="Q39" s="2079"/>
      <c r="R39" s="2079"/>
    </row>
    <row r="40" spans="1:18" s="138" customFormat="1" ht="15" customHeight="1" x14ac:dyDescent="0.2">
      <c r="A40" s="2841"/>
      <c r="B40" s="2848"/>
      <c r="C40" s="2096"/>
      <c r="D40" s="2158"/>
      <c r="E40" s="2152"/>
      <c r="F40" s="2154"/>
      <c r="G40" s="2152"/>
      <c r="H40" s="2153"/>
      <c r="I40" s="2152"/>
      <c r="J40" s="2157"/>
      <c r="K40" s="2080"/>
      <c r="L40" s="2078"/>
      <c r="M40" s="2078"/>
      <c r="N40" s="2079"/>
      <c r="O40" s="2079"/>
      <c r="P40" s="2079"/>
      <c r="Q40" s="2079"/>
      <c r="R40" s="2079"/>
    </row>
    <row r="41" spans="1:18" s="138" customFormat="1" ht="15" customHeight="1" x14ac:dyDescent="0.2">
      <c r="A41" s="2841"/>
      <c r="B41" s="2848"/>
      <c r="C41" s="2096"/>
      <c r="D41" s="2158"/>
      <c r="E41" s="2152"/>
      <c r="F41" s="2154"/>
      <c r="G41" s="2152"/>
      <c r="H41" s="2153"/>
      <c r="I41" s="2152"/>
      <c r="J41" s="2157"/>
      <c r="K41" s="2080"/>
      <c r="L41" s="2078"/>
      <c r="M41" s="2078"/>
      <c r="N41" s="2079"/>
      <c r="O41" s="2079"/>
      <c r="P41" s="2079"/>
      <c r="Q41" s="2079"/>
      <c r="R41" s="2079"/>
    </row>
    <row r="42" spans="1:18" s="138" customFormat="1" ht="15" customHeight="1" x14ac:dyDescent="0.2">
      <c r="A42" s="2841"/>
      <c r="B42" s="2841"/>
      <c r="C42" s="2096"/>
      <c r="D42" s="2158"/>
      <c r="E42" s="2152"/>
      <c r="F42" s="2154"/>
      <c r="G42" s="2152"/>
      <c r="H42" s="2153"/>
      <c r="I42" s="2152"/>
      <c r="J42" s="2157"/>
      <c r="K42" s="2080"/>
      <c r="L42" s="2078"/>
      <c r="M42" s="2078"/>
      <c r="N42" s="2079"/>
      <c r="O42" s="2079"/>
      <c r="P42" s="2079"/>
      <c r="Q42" s="2079"/>
      <c r="R42" s="2079"/>
    </row>
    <row r="43" spans="1:18" s="138" customFormat="1" ht="15" customHeight="1" x14ac:dyDescent="0.2">
      <c r="A43" s="2841"/>
      <c r="B43" s="2841"/>
      <c r="C43" s="2096"/>
      <c r="D43" s="2158"/>
      <c r="E43" s="2152"/>
      <c r="F43" s="2154"/>
      <c r="G43" s="2152"/>
      <c r="H43" s="2153"/>
      <c r="I43" s="2152"/>
      <c r="J43" s="2157"/>
      <c r="K43" s="2080"/>
      <c r="L43" s="2078"/>
      <c r="M43" s="2078"/>
      <c r="N43" s="2079"/>
      <c r="O43" s="2079"/>
      <c r="P43" s="2079"/>
      <c r="Q43" s="2079"/>
      <c r="R43" s="2079"/>
    </row>
    <row r="44" spans="1:18" s="138" customFormat="1" ht="15" customHeight="1" x14ac:dyDescent="0.2">
      <c r="A44" s="2841"/>
      <c r="B44" s="2841"/>
      <c r="C44" s="2096"/>
      <c r="D44" s="2158"/>
      <c r="E44" s="2152"/>
      <c r="F44" s="2154"/>
      <c r="G44" s="2152"/>
      <c r="H44" s="2153"/>
      <c r="I44" s="2152"/>
      <c r="J44" s="2157"/>
      <c r="K44" s="2080"/>
      <c r="L44" s="2078"/>
      <c r="M44" s="2078"/>
      <c r="N44" s="2079"/>
      <c r="O44" s="2079"/>
      <c r="P44" s="2079"/>
      <c r="Q44" s="2079"/>
      <c r="R44" s="2079"/>
    </row>
    <row r="45" spans="1:18" s="138" customFormat="1" ht="15" customHeight="1" x14ac:dyDescent="0.2">
      <c r="A45" s="2841"/>
      <c r="B45" s="2841"/>
      <c r="C45" s="2096"/>
      <c r="D45" s="2158"/>
      <c r="E45" s="2152"/>
      <c r="F45" s="2154"/>
      <c r="G45" s="2152"/>
      <c r="H45" s="2153"/>
      <c r="I45" s="2152"/>
      <c r="J45" s="2157"/>
      <c r="K45" s="2080"/>
      <c r="L45" s="2078"/>
      <c r="M45" s="2078"/>
      <c r="N45" s="2079"/>
      <c r="O45" s="2079"/>
      <c r="P45" s="2079"/>
      <c r="Q45" s="2079"/>
      <c r="R45" s="2079"/>
    </row>
    <row r="46" spans="1:18" s="138" customFormat="1" ht="15" customHeight="1" x14ac:dyDescent="0.2">
      <c r="A46" s="1104"/>
      <c r="B46" s="153"/>
      <c r="C46" s="142"/>
      <c r="D46" s="2167"/>
      <c r="E46" s="142"/>
      <c r="F46" s="140" t="str">
        <f>IF(D47='905'!F115,"Agrees to 'Due to agency/institution component", "Doesn't agree to 'Due to agency/institution component'")</f>
        <v>Agrees to 'Due to agency/institution component</v>
      </c>
      <c r="G46" s="142"/>
      <c r="H46" s="142"/>
      <c r="I46" s="142"/>
      <c r="J46" s="1105"/>
      <c r="K46" s="135"/>
    </row>
    <row r="47" spans="1:18" s="138" customFormat="1" ht="15" customHeight="1" thickBot="1" x14ac:dyDescent="0.25">
      <c r="A47" s="141"/>
      <c r="B47" s="1106" t="s">
        <v>955</v>
      </c>
      <c r="C47" s="135"/>
      <c r="D47" s="2168">
        <f>SUM(D38:D45)</f>
        <v>0</v>
      </c>
      <c r="E47" s="135"/>
      <c r="F47" s="140" t="s">
        <v>2043</v>
      </c>
      <c r="G47" s="135"/>
      <c r="H47" s="135"/>
      <c r="I47" s="135"/>
      <c r="J47" s="135"/>
      <c r="K47" s="135"/>
    </row>
    <row r="48" spans="1:18" x14ac:dyDescent="0.2">
      <c r="A48" s="140"/>
      <c r="D48" s="141"/>
      <c r="F48" s="140" t="s">
        <v>2044</v>
      </c>
      <c r="H48" s="141"/>
    </row>
    <row r="49" spans="1:10" s="138" customFormat="1" ht="12" customHeight="1" x14ac:dyDescent="0.2">
      <c r="A49" s="140"/>
      <c r="B49" s="135"/>
      <c r="C49" s="135"/>
      <c r="D49" s="135"/>
      <c r="E49" s="135"/>
      <c r="F49" s="135"/>
      <c r="G49" s="135"/>
      <c r="H49" s="135"/>
      <c r="I49" s="135"/>
      <c r="J49" s="135"/>
    </row>
    <row r="50" spans="1:10" s="142" customFormat="1" ht="15.75" x14ac:dyDescent="0.25">
      <c r="A50" s="445"/>
      <c r="B50" s="134"/>
      <c r="C50" s="134"/>
      <c r="D50" s="134"/>
      <c r="E50" s="134"/>
    </row>
    <row r="51" spans="1:10" s="142" customFormat="1" ht="15.75" x14ac:dyDescent="0.25">
      <c r="A51" s="445"/>
      <c r="B51" s="134"/>
      <c r="C51" s="134"/>
      <c r="D51" s="134"/>
      <c r="E51" s="134"/>
    </row>
    <row r="52" spans="1:10" s="142" customFormat="1" ht="15.75" x14ac:dyDescent="0.25">
      <c r="A52" s="445"/>
      <c r="B52" s="134"/>
      <c r="C52" s="134"/>
      <c r="D52" s="134"/>
      <c r="E52" s="134"/>
    </row>
    <row r="53" spans="1:10" s="142" customFormat="1" ht="12" x14ac:dyDescent="0.2"/>
    <row r="54" spans="1:10" s="142" customFormat="1" ht="12" x14ac:dyDescent="0.2"/>
    <row r="55" spans="1:10" s="142" customFormat="1" ht="12" x14ac:dyDescent="0.2"/>
    <row r="56" spans="1:10" s="142" customFormat="1" ht="12" x14ac:dyDescent="0.2"/>
    <row r="57" spans="1:10" s="142" customFormat="1" ht="12" x14ac:dyDescent="0.2"/>
    <row r="58" spans="1:10" s="142" customFormat="1" ht="12" x14ac:dyDescent="0.2"/>
    <row r="59" spans="1:10" s="142" customFormat="1" ht="12" x14ac:dyDescent="0.2"/>
    <row r="60" spans="1:10" s="142" customFormat="1" ht="12" x14ac:dyDescent="0.2"/>
    <row r="61" spans="1:10" s="142" customFormat="1" ht="12" x14ac:dyDescent="0.2"/>
    <row r="62" spans="1:10" s="142" customFormat="1" ht="12" x14ac:dyDescent="0.2"/>
    <row r="63" spans="1:10" s="142" customFormat="1" ht="12" x14ac:dyDescent="0.2"/>
    <row r="64" spans="1:10" s="142" customFormat="1" ht="12" x14ac:dyDescent="0.2"/>
    <row r="65" s="142" customFormat="1" ht="12" x14ac:dyDescent="0.2"/>
    <row r="66" s="142" customFormat="1" ht="12" x14ac:dyDescent="0.2"/>
    <row r="67" s="142" customFormat="1" ht="12" x14ac:dyDescent="0.2"/>
    <row r="68" s="142" customFormat="1" ht="12" x14ac:dyDescent="0.2"/>
    <row r="69" s="142" customFormat="1" ht="12" x14ac:dyDescent="0.2"/>
    <row r="70" s="142" customFormat="1" ht="12" x14ac:dyDescent="0.2"/>
    <row r="71" s="142" customFormat="1" ht="12" x14ac:dyDescent="0.2"/>
    <row r="72" s="142" customFormat="1" ht="12" x14ac:dyDescent="0.2"/>
    <row r="73" s="142" customFormat="1" ht="12" x14ac:dyDescent="0.2"/>
    <row r="74" s="142" customFormat="1" ht="12" x14ac:dyDescent="0.2"/>
  </sheetData>
  <sheetProtection algorithmName="SHA-512" hashValue="UW2gUo9mT8SRxRo1KLPvDTmqI31+P5TY0d4R7AECIqQtzJPf1u9WiEjgKQX6pnOTEfiGiTyVFLrKS/1nXtoo7g==" saltValue="D0D5HSi0AYecn89YqSAQww==" spinCount="100000" sheet="1" objects="1" scenarios="1" autoFilter="0"/>
  <mergeCells count="27">
    <mergeCell ref="A41:B41"/>
    <mergeCell ref="A28:B28"/>
    <mergeCell ref="A37:B37"/>
    <mergeCell ref="A38:B38"/>
    <mergeCell ref="A39:B39"/>
    <mergeCell ref="A40:B40"/>
    <mergeCell ref="A43:B43"/>
    <mergeCell ref="A44:B44"/>
    <mergeCell ref="A45:B45"/>
    <mergeCell ref="B7:E7"/>
    <mergeCell ref="G7:J7"/>
    <mergeCell ref="F36:H36"/>
    <mergeCell ref="F19:H19"/>
    <mergeCell ref="A20:B20"/>
    <mergeCell ref="A21:B21"/>
    <mergeCell ref="A22:B22"/>
    <mergeCell ref="A23:B23"/>
    <mergeCell ref="A42:B42"/>
    <mergeCell ref="A24:B24"/>
    <mergeCell ref="A25:B25"/>
    <mergeCell ref="A26:B26"/>
    <mergeCell ref="A27:B27"/>
    <mergeCell ref="G6:J6"/>
    <mergeCell ref="A1:J1"/>
    <mergeCell ref="A2:J2"/>
    <mergeCell ref="A3:J3"/>
    <mergeCell ref="A4:J4"/>
  </mergeCells>
  <conditionalFormatting sqref="K1:K3">
    <cfRule type="cellIs" dxfId="44" priority="1" stopIfTrue="1" operator="equal">
      <formula>"na"</formula>
    </cfRule>
  </conditionalFormatting>
  <dataValidations count="1">
    <dataValidation errorStyle="warning" allowBlank="1" showInputMessage="1" showErrorMessage="1" errorTitle="Incomplete data" error="One or more lines are incomplete." sqref="K21:K28 K38:K45" xr:uid="{36394DBF-5A8C-4DCD-80DB-1B734AC65ABC}"/>
  </dataValidations>
  <hyperlinks>
    <hyperlink ref="A1" location="Index!A1" display="Index!A1" xr:uid="{00000000-0004-0000-3800-000000000000}"/>
  </hyperlinks>
  <pageMargins left="0.6" right="0.6" top="0.5" bottom="0.5" header="0.3" footer="0.3"/>
  <pageSetup scale="76" orientation="landscape" r:id="rId1"/>
  <ignoredErrors>
    <ignoredError sqref="D36 D19" numberStoredAsText="1"/>
    <ignoredError sqref="G7 B7" unlockedFormula="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10">
    <pageSetUpPr fitToPage="1"/>
  </sheetPr>
  <dimension ref="A1:U42"/>
  <sheetViews>
    <sheetView showGridLines="0" zoomScaleNormal="100" zoomScaleSheetLayoutView="100" workbookViewId="0">
      <selection activeCell="A2" sqref="A2:T2"/>
    </sheetView>
  </sheetViews>
  <sheetFormatPr defaultColWidth="8" defaultRowHeight="12.75" x14ac:dyDescent="0.2"/>
  <cols>
    <col min="1" max="1" width="8.5703125" style="318" customWidth="1"/>
    <col min="2" max="2" width="4.5703125" style="318" customWidth="1"/>
    <col min="3" max="3" width="8.5703125" style="318" customWidth="1"/>
    <col min="4" max="7" width="4.5703125" style="318" customWidth="1"/>
    <col min="8" max="8" width="2.5703125" style="318" customWidth="1"/>
    <col min="9" max="9" width="1.5703125" style="318" customWidth="1"/>
    <col min="10" max="10" width="7.5703125" style="318" customWidth="1"/>
    <col min="11" max="11" width="1.5703125" style="318" customWidth="1"/>
    <col min="12" max="12" width="14.42578125" style="318" customWidth="1"/>
    <col min="13" max="13" width="1.5703125" style="318" customWidth="1"/>
    <col min="14" max="14" width="13.42578125" style="318" customWidth="1"/>
    <col min="15" max="15" width="1.5703125" style="318" customWidth="1"/>
    <col min="16" max="16" width="15.42578125" style="318" customWidth="1"/>
    <col min="17" max="17" width="1.5703125" style="318" customWidth="1"/>
    <col min="18" max="18" width="13.42578125" style="318" customWidth="1"/>
    <col min="19" max="19" width="1.5703125" style="318" customWidth="1"/>
    <col min="20" max="20" width="14.42578125" style="318" customWidth="1"/>
    <col min="21" max="21" width="4.5703125" style="318" customWidth="1"/>
    <col min="22" max="216" width="14.42578125" style="318" customWidth="1"/>
    <col min="217" max="16384" width="8" style="318"/>
  </cols>
  <sheetData>
    <row r="1" spans="1:21" s="317" customFormat="1" ht="15" customHeight="1" x14ac:dyDescent="0.25">
      <c r="A1" s="2487" t="str">
        <f>+Index!$A$1</f>
        <v xml:space="preserve">                                                               Office of the State Controller                                                                </v>
      </c>
      <c r="B1" s="2487"/>
      <c r="C1" s="2487"/>
      <c r="D1" s="2487"/>
      <c r="E1" s="2487"/>
      <c r="F1" s="2487"/>
      <c r="G1" s="2487"/>
      <c r="H1" s="2487"/>
      <c r="I1" s="2487"/>
      <c r="J1" s="2487"/>
      <c r="K1" s="2487"/>
      <c r="L1" s="2487"/>
      <c r="M1" s="2487"/>
      <c r="N1" s="2487"/>
      <c r="O1" s="2487"/>
      <c r="P1" s="2487"/>
      <c r="Q1" s="2487"/>
      <c r="R1" s="2487"/>
      <c r="S1" s="2487"/>
      <c r="T1" s="2487"/>
      <c r="U1" s="2520" t="str">
        <f>IF(Index!$B$86="na","NA","")</f>
        <v/>
      </c>
    </row>
    <row r="2" spans="1:21" s="317" customFormat="1" ht="15" customHeight="1" x14ac:dyDescent="0.25">
      <c r="A2" s="2851" t="str">
        <f>+Index!$A$2</f>
        <v>2023 ACFR Worksheets</v>
      </c>
      <c r="B2" s="2851"/>
      <c r="C2" s="2851"/>
      <c r="D2" s="2851"/>
      <c r="E2" s="2851"/>
      <c r="F2" s="2851"/>
      <c r="G2" s="2851"/>
      <c r="H2" s="2851"/>
      <c r="I2" s="2851"/>
      <c r="J2" s="2851"/>
      <c r="K2" s="2851"/>
      <c r="L2" s="2851"/>
      <c r="M2" s="2851"/>
      <c r="N2" s="2851"/>
      <c r="O2" s="2851"/>
      <c r="P2" s="2851"/>
      <c r="Q2" s="2851"/>
      <c r="R2" s="2851"/>
      <c r="S2" s="2851"/>
      <c r="T2" s="2851"/>
      <c r="U2" s="2520"/>
    </row>
    <row r="3" spans="1:21" s="317" customFormat="1" ht="15" customHeight="1" x14ac:dyDescent="0.25">
      <c r="A3" s="2851" t="s">
        <v>2045</v>
      </c>
      <c r="B3" s="2851"/>
      <c r="C3" s="2851"/>
      <c r="D3" s="2851"/>
      <c r="E3" s="2851"/>
      <c r="F3" s="2851"/>
      <c r="G3" s="2851"/>
      <c r="H3" s="2851"/>
      <c r="I3" s="2851"/>
      <c r="J3" s="2851"/>
      <c r="K3" s="2851"/>
      <c r="L3" s="2851"/>
      <c r="M3" s="2851"/>
      <c r="N3" s="2851"/>
      <c r="O3" s="2851"/>
      <c r="P3" s="2851"/>
      <c r="Q3" s="2851"/>
      <c r="R3" s="2851"/>
      <c r="S3" s="2851"/>
      <c r="T3" s="2851"/>
      <c r="U3" s="2520"/>
    </row>
    <row r="4" spans="1:21" ht="15" customHeight="1" x14ac:dyDescent="0.2">
      <c r="A4" s="1632" t="s">
        <v>566</v>
      </c>
      <c r="C4" s="1531" t="s">
        <v>673</v>
      </c>
      <c r="P4" s="319" t="s">
        <v>2046</v>
      </c>
    </row>
    <row r="5" spans="1:21" s="320" customFormat="1" ht="15" customHeight="1" x14ac:dyDescent="0.2">
      <c r="A5" s="318" t="s">
        <v>317</v>
      </c>
      <c r="B5" s="321"/>
      <c r="C5" s="321"/>
      <c r="D5" s="2853" t="str">
        <f>+Index!$E$10</f>
        <v>01</v>
      </c>
      <c r="E5" s="2853"/>
      <c r="F5" s="321"/>
      <c r="G5" s="321"/>
      <c r="H5" s="321"/>
      <c r="I5" s="322"/>
      <c r="J5" s="322"/>
      <c r="K5" s="318"/>
      <c r="L5" s="318"/>
      <c r="M5" s="318"/>
      <c r="N5" s="318"/>
      <c r="O5" s="1930" t="s">
        <v>319</v>
      </c>
      <c r="P5" s="2850" t="str">
        <f>CONCATENATE(Index!$E$12," ",Index!$E$14)</f>
        <v xml:space="preserve"> </v>
      </c>
      <c r="Q5" s="2850"/>
      <c r="R5" s="2850"/>
      <c r="S5" s="2850"/>
      <c r="T5" s="2850"/>
      <c r="U5" s="318"/>
    </row>
    <row r="6" spans="1:21" s="320" customFormat="1" ht="15" customHeight="1" x14ac:dyDescent="0.2">
      <c r="A6" s="318" t="s">
        <v>318</v>
      </c>
      <c r="B6" s="323"/>
      <c r="C6" s="323"/>
      <c r="D6" s="2852" t="str">
        <f>+Index!$E$11</f>
        <v>North Carolina General Assembly</v>
      </c>
      <c r="E6" s="2852"/>
      <c r="F6" s="2852"/>
      <c r="G6" s="2852"/>
      <c r="H6" s="2852"/>
      <c r="I6" s="2852"/>
      <c r="J6" s="2852"/>
      <c r="K6" s="2852"/>
      <c r="L6" s="2852"/>
      <c r="M6" s="318"/>
      <c r="N6" s="318"/>
      <c r="O6" s="1930" t="s">
        <v>71</v>
      </c>
      <c r="P6" s="2857">
        <f>+Index!$E$13</f>
        <v>0</v>
      </c>
      <c r="Q6" s="2857"/>
      <c r="R6" s="2857"/>
      <c r="S6" s="2857"/>
      <c r="T6" s="2857"/>
      <c r="U6" s="318"/>
    </row>
    <row r="7" spans="1:21" s="320" customFormat="1" ht="15" customHeight="1" thickBot="1" x14ac:dyDescent="0.25">
      <c r="A7" s="1931"/>
      <c r="B7" s="1931"/>
      <c r="C7" s="1931"/>
      <c r="D7" s="1931"/>
      <c r="E7" s="1931"/>
      <c r="F7" s="1931"/>
      <c r="G7" s="1931"/>
      <c r="H7" s="1931"/>
      <c r="I7" s="1931"/>
      <c r="J7" s="1931"/>
      <c r="K7" s="1931"/>
      <c r="L7" s="1931"/>
      <c r="M7" s="1931"/>
      <c r="N7" s="1931"/>
      <c r="O7" s="1931"/>
      <c r="P7" s="1931"/>
      <c r="Q7" s="1931"/>
      <c r="R7" s="1931"/>
      <c r="S7" s="1931"/>
      <c r="T7" s="1931" t="s">
        <v>50</v>
      </c>
      <c r="U7" s="159"/>
    </row>
    <row r="8" spans="1:21" s="320" customFormat="1" ht="15" customHeight="1" x14ac:dyDescent="0.2">
      <c r="A8" s="318"/>
      <c r="B8" s="318"/>
      <c r="C8" s="318"/>
      <c r="D8" s="318"/>
      <c r="E8" s="318"/>
      <c r="F8" s="318"/>
      <c r="G8" s="318"/>
      <c r="H8" s="318"/>
      <c r="I8" s="318"/>
      <c r="J8" s="318"/>
      <c r="K8" s="318"/>
      <c r="L8" s="318"/>
      <c r="M8" s="318"/>
      <c r="N8" s="318"/>
      <c r="O8" s="318"/>
      <c r="P8" s="318"/>
      <c r="Q8" s="318"/>
      <c r="R8" s="318"/>
      <c r="S8" s="318"/>
      <c r="T8" s="318"/>
      <c r="U8" s="159"/>
    </row>
    <row r="9" spans="1:21" s="320" customFormat="1" ht="15" customHeight="1" x14ac:dyDescent="0.2">
      <c r="A9" s="318" t="s">
        <v>2047</v>
      </c>
      <c r="B9" s="318"/>
      <c r="C9" s="318"/>
      <c r="D9" s="318"/>
      <c r="E9" s="318"/>
      <c r="F9" s="318"/>
      <c r="G9" s="318"/>
      <c r="H9" s="318"/>
      <c r="I9" s="318"/>
      <c r="J9" s="318"/>
      <c r="K9" s="318"/>
      <c r="L9" s="318"/>
      <c r="M9" s="318"/>
      <c r="N9" s="318"/>
      <c r="O9" s="318"/>
      <c r="P9" s="318"/>
      <c r="Q9" s="318"/>
      <c r="R9" s="318"/>
      <c r="S9" s="318"/>
      <c r="T9" s="318"/>
      <c r="U9" s="318"/>
    </row>
    <row r="10" spans="1:21" s="320" customFormat="1" ht="15" customHeight="1" x14ac:dyDescent="0.2">
      <c r="A10" s="318"/>
      <c r="B10" s="318"/>
      <c r="C10" s="318"/>
      <c r="D10" s="318"/>
      <c r="E10" s="318"/>
      <c r="F10" s="318"/>
      <c r="G10" s="318"/>
      <c r="H10" s="318"/>
      <c r="I10" s="318"/>
      <c r="J10" s="318"/>
      <c r="K10" s="318"/>
      <c r="L10" s="1633" t="s">
        <v>2048</v>
      </c>
      <c r="M10" s="1633"/>
      <c r="N10" s="1633" t="s">
        <v>2049</v>
      </c>
      <c r="O10" s="2243"/>
      <c r="P10" s="1633" t="s">
        <v>2050</v>
      </c>
      <c r="Q10" s="1633"/>
      <c r="R10" s="1633" t="s">
        <v>2051</v>
      </c>
      <c r="S10" s="1632"/>
      <c r="T10" s="159"/>
      <c r="U10" s="318"/>
    </row>
    <row r="11" spans="1:21" s="324" customFormat="1" ht="15" customHeight="1" x14ac:dyDescent="0.2">
      <c r="A11" s="325"/>
      <c r="B11" s="326"/>
      <c r="C11" s="326"/>
      <c r="D11" s="326"/>
      <c r="E11" s="326"/>
      <c r="F11" s="326"/>
      <c r="G11" s="326"/>
      <c r="H11" s="327"/>
      <c r="J11" s="328"/>
      <c r="L11" s="328"/>
      <c r="N11" s="328" t="s">
        <v>50</v>
      </c>
      <c r="P11" s="328" t="s">
        <v>2052</v>
      </c>
      <c r="R11" s="328"/>
      <c r="T11" s="328"/>
      <c r="U11" s="318"/>
    </row>
    <row r="12" spans="1:21" s="324" customFormat="1" ht="15" customHeight="1" x14ac:dyDescent="0.2">
      <c r="A12" s="329"/>
      <c r="H12" s="330"/>
      <c r="J12" s="331"/>
      <c r="L12" s="331" t="s">
        <v>2053</v>
      </c>
      <c r="N12" s="331" t="s">
        <v>680</v>
      </c>
      <c r="P12" s="331" t="s">
        <v>2054</v>
      </c>
      <c r="R12" s="331" t="s">
        <v>2055</v>
      </c>
      <c r="T12" s="331"/>
      <c r="U12" s="318"/>
    </row>
    <row r="13" spans="1:21" s="324" customFormat="1" ht="15" customHeight="1" x14ac:dyDescent="0.2">
      <c r="A13" s="329"/>
      <c r="H13" s="330"/>
      <c r="J13" s="331" t="s">
        <v>1596</v>
      </c>
      <c r="L13" s="331" t="s">
        <v>508</v>
      </c>
      <c r="N13" s="331" t="s">
        <v>2056</v>
      </c>
      <c r="P13" s="331" t="s">
        <v>2057</v>
      </c>
      <c r="R13" s="331" t="s">
        <v>2058</v>
      </c>
      <c r="T13" s="331" t="s">
        <v>508</v>
      </c>
      <c r="U13" s="318"/>
    </row>
    <row r="14" spans="1:21" s="324" customFormat="1" ht="15" customHeight="1" x14ac:dyDescent="0.2">
      <c r="A14" s="2854" t="s">
        <v>1221</v>
      </c>
      <c r="B14" s="2855"/>
      <c r="C14" s="2855"/>
      <c r="D14" s="2855"/>
      <c r="E14" s="2855"/>
      <c r="F14" s="2855"/>
      <c r="G14" s="2855"/>
      <c r="H14" s="2856"/>
      <c r="J14" s="332" t="s">
        <v>1880</v>
      </c>
      <c r="L14" s="332" t="str">
        <f>+TEXT(Data!$A$3,"mmmm d, yyyy")</f>
        <v>July 1, 2022</v>
      </c>
      <c r="N14" s="332" t="s">
        <v>2059</v>
      </c>
      <c r="P14" s="332" t="s">
        <v>2060</v>
      </c>
      <c r="R14" s="332" t="s">
        <v>2061</v>
      </c>
      <c r="T14" s="332" t="str">
        <f>+TEXT(Data!$A$2,"mmmm d, yyyy")</f>
        <v>June 30, 2023</v>
      </c>
      <c r="U14" s="318"/>
    </row>
    <row r="15" spans="1:21" s="320" customFormat="1" ht="15" customHeight="1" x14ac:dyDescent="0.2">
      <c r="A15" s="2849" t="s">
        <v>2062</v>
      </c>
      <c r="B15" s="2849"/>
      <c r="C15" s="2849"/>
      <c r="D15" s="2849"/>
      <c r="E15" s="2849"/>
      <c r="F15" s="2849"/>
      <c r="G15" s="2849"/>
      <c r="H15" s="2849"/>
      <c r="I15" s="159"/>
      <c r="J15" s="2242"/>
      <c r="K15" s="318"/>
      <c r="L15" s="896"/>
      <c r="M15" s="1932"/>
      <c r="N15" s="896"/>
      <c r="O15" s="1932"/>
      <c r="P15" s="896"/>
      <c r="Q15" s="1932"/>
      <c r="R15" s="896"/>
      <c r="S15" s="1932"/>
      <c r="T15" s="1717">
        <f t="shared" ref="T15:T27" si="0">L15+N15-P15-R15</f>
        <v>0</v>
      </c>
      <c r="U15" s="318"/>
    </row>
    <row r="16" spans="1:21" s="320" customFormat="1" ht="15" customHeight="1" x14ac:dyDescent="0.2">
      <c r="A16" s="2849"/>
      <c r="B16" s="2849"/>
      <c r="C16" s="2849"/>
      <c r="D16" s="2849"/>
      <c r="E16" s="2849"/>
      <c r="F16" s="2849"/>
      <c r="G16" s="2849"/>
      <c r="H16" s="2849"/>
      <c r="I16" s="159"/>
      <c r="J16" s="1090"/>
      <c r="K16" s="318"/>
      <c r="L16" s="896"/>
      <c r="M16" s="1932"/>
      <c r="N16" s="896"/>
      <c r="O16" s="1932"/>
      <c r="P16" s="896"/>
      <c r="Q16" s="1932"/>
      <c r="R16" s="896"/>
      <c r="S16" s="1932"/>
      <c r="T16" s="1717">
        <f t="shared" si="0"/>
        <v>0</v>
      </c>
      <c r="U16" s="318"/>
    </row>
    <row r="17" spans="1:20" s="320" customFormat="1" ht="15" customHeight="1" x14ac:dyDescent="0.2">
      <c r="A17" s="2849"/>
      <c r="B17" s="2849"/>
      <c r="C17" s="2849"/>
      <c r="D17" s="2849"/>
      <c r="E17" s="2849"/>
      <c r="F17" s="2849"/>
      <c r="G17" s="2849"/>
      <c r="H17" s="2849"/>
      <c r="I17" s="159"/>
      <c r="J17" s="1090"/>
      <c r="K17" s="318"/>
      <c r="L17" s="896">
        <v>0</v>
      </c>
      <c r="M17" s="1932"/>
      <c r="N17" s="896">
        <v>0</v>
      </c>
      <c r="O17" s="1932"/>
      <c r="P17" s="896">
        <v>0</v>
      </c>
      <c r="Q17" s="1932"/>
      <c r="R17" s="896">
        <v>0</v>
      </c>
      <c r="S17" s="1932"/>
      <c r="T17" s="1717">
        <f t="shared" si="0"/>
        <v>0</v>
      </c>
    </row>
    <row r="18" spans="1:20" s="320" customFormat="1" ht="15" customHeight="1" x14ac:dyDescent="0.2">
      <c r="A18" s="2849"/>
      <c r="B18" s="2849"/>
      <c r="C18" s="2849"/>
      <c r="D18" s="2849"/>
      <c r="E18" s="2849"/>
      <c r="F18" s="2849"/>
      <c r="G18" s="2849"/>
      <c r="H18" s="2849"/>
      <c r="I18" s="159"/>
      <c r="J18" s="1090"/>
      <c r="K18" s="318"/>
      <c r="L18" s="896"/>
      <c r="M18" s="1932"/>
      <c r="N18" s="896">
        <v>0</v>
      </c>
      <c r="O18" s="1932"/>
      <c r="P18" s="896">
        <v>0</v>
      </c>
      <c r="Q18" s="1932"/>
      <c r="R18" s="896">
        <v>0</v>
      </c>
      <c r="S18" s="1932"/>
      <c r="T18" s="1717">
        <f t="shared" si="0"/>
        <v>0</v>
      </c>
    </row>
    <row r="19" spans="1:20" s="320" customFormat="1" ht="15" customHeight="1" x14ac:dyDescent="0.2">
      <c r="A19" s="2849"/>
      <c r="B19" s="2849"/>
      <c r="C19" s="2849"/>
      <c r="D19" s="2849"/>
      <c r="E19" s="2849"/>
      <c r="F19" s="2849"/>
      <c r="G19" s="2849"/>
      <c r="H19" s="2849"/>
      <c r="I19" s="159"/>
      <c r="J19" s="1090"/>
      <c r="K19" s="318"/>
      <c r="L19" s="896">
        <v>0</v>
      </c>
      <c r="M19" s="1932"/>
      <c r="N19" s="896">
        <v>0</v>
      </c>
      <c r="O19" s="1932"/>
      <c r="P19" s="896">
        <v>0</v>
      </c>
      <c r="Q19" s="1932"/>
      <c r="R19" s="896">
        <v>0</v>
      </c>
      <c r="S19" s="1932"/>
      <c r="T19" s="1717">
        <f t="shared" si="0"/>
        <v>0</v>
      </c>
    </row>
    <row r="20" spans="1:20" s="320" customFormat="1" ht="15" customHeight="1" x14ac:dyDescent="0.2">
      <c r="A20" s="2849"/>
      <c r="B20" s="2849"/>
      <c r="C20" s="2849"/>
      <c r="D20" s="2849"/>
      <c r="E20" s="2849"/>
      <c r="F20" s="2849"/>
      <c r="G20" s="2849"/>
      <c r="H20" s="2849"/>
      <c r="I20" s="159"/>
      <c r="J20" s="1090"/>
      <c r="K20" s="318"/>
      <c r="L20" s="896">
        <v>0</v>
      </c>
      <c r="M20" s="1932"/>
      <c r="N20" s="896">
        <v>0</v>
      </c>
      <c r="O20" s="1932"/>
      <c r="P20" s="896">
        <v>0</v>
      </c>
      <c r="Q20" s="1932"/>
      <c r="R20" s="896">
        <v>0</v>
      </c>
      <c r="S20" s="1932"/>
      <c r="T20" s="1717">
        <f t="shared" si="0"/>
        <v>0</v>
      </c>
    </row>
    <row r="21" spans="1:20" s="320" customFormat="1" ht="15" customHeight="1" x14ac:dyDescent="0.2">
      <c r="A21" s="2849"/>
      <c r="B21" s="2849"/>
      <c r="C21" s="2849"/>
      <c r="D21" s="2849"/>
      <c r="E21" s="2849"/>
      <c r="F21" s="2849"/>
      <c r="G21" s="2849"/>
      <c r="H21" s="2849"/>
      <c r="I21" s="159"/>
      <c r="J21" s="1090"/>
      <c r="K21" s="318"/>
      <c r="L21" s="896">
        <v>0</v>
      </c>
      <c r="M21" s="1932"/>
      <c r="N21" s="896">
        <v>0</v>
      </c>
      <c r="O21" s="1932"/>
      <c r="P21" s="896">
        <v>0</v>
      </c>
      <c r="Q21" s="1932"/>
      <c r="R21" s="896">
        <v>0</v>
      </c>
      <c r="S21" s="1932"/>
      <c r="T21" s="1717">
        <f t="shared" si="0"/>
        <v>0</v>
      </c>
    </row>
    <row r="22" spans="1:20" s="320" customFormat="1" ht="15" customHeight="1" x14ac:dyDescent="0.2">
      <c r="A22" s="2849"/>
      <c r="B22" s="2849"/>
      <c r="C22" s="2849"/>
      <c r="D22" s="2849"/>
      <c r="E22" s="2849"/>
      <c r="F22" s="2849"/>
      <c r="G22" s="2849"/>
      <c r="H22" s="2849"/>
      <c r="I22" s="159"/>
      <c r="J22" s="1090"/>
      <c r="K22" s="318"/>
      <c r="L22" s="896"/>
      <c r="M22" s="1932"/>
      <c r="N22" s="896"/>
      <c r="O22" s="1932"/>
      <c r="P22" s="896"/>
      <c r="Q22" s="1932"/>
      <c r="R22" s="896"/>
      <c r="S22" s="1932"/>
      <c r="T22" s="1717">
        <f t="shared" si="0"/>
        <v>0</v>
      </c>
    </row>
    <row r="23" spans="1:20" s="320" customFormat="1" ht="15" customHeight="1" x14ac:dyDescent="0.2">
      <c r="A23" s="2849"/>
      <c r="B23" s="2849"/>
      <c r="C23" s="2849"/>
      <c r="D23" s="2849"/>
      <c r="E23" s="2849"/>
      <c r="F23" s="2849"/>
      <c r="G23" s="2849"/>
      <c r="H23" s="2849"/>
      <c r="I23" s="159"/>
      <c r="J23" s="1090"/>
      <c r="K23" s="318"/>
      <c r="L23" s="896">
        <v>0</v>
      </c>
      <c r="M23" s="1932"/>
      <c r="N23" s="896">
        <v>0</v>
      </c>
      <c r="O23" s="1932"/>
      <c r="P23" s="896">
        <v>0</v>
      </c>
      <c r="Q23" s="1932"/>
      <c r="R23" s="896">
        <v>0</v>
      </c>
      <c r="S23" s="1932"/>
      <c r="T23" s="1717">
        <f t="shared" si="0"/>
        <v>0</v>
      </c>
    </row>
    <row r="24" spans="1:20" s="320" customFormat="1" ht="15" customHeight="1" x14ac:dyDescent="0.2">
      <c r="A24" s="2849"/>
      <c r="B24" s="2849"/>
      <c r="C24" s="2849"/>
      <c r="D24" s="2849"/>
      <c r="E24" s="2849"/>
      <c r="F24" s="2849"/>
      <c r="G24" s="2849"/>
      <c r="H24" s="2849"/>
      <c r="I24" s="159"/>
      <c r="J24" s="1090"/>
      <c r="K24" s="318"/>
      <c r="L24" s="896">
        <v>0</v>
      </c>
      <c r="M24" s="1932"/>
      <c r="N24" s="896">
        <v>0</v>
      </c>
      <c r="O24" s="1932"/>
      <c r="P24" s="896">
        <v>0</v>
      </c>
      <c r="Q24" s="1932"/>
      <c r="R24" s="896">
        <v>0</v>
      </c>
      <c r="S24" s="1932"/>
      <c r="T24" s="1717">
        <f t="shared" si="0"/>
        <v>0</v>
      </c>
    </row>
    <row r="25" spans="1:20" s="320" customFormat="1" ht="15" customHeight="1" x14ac:dyDescent="0.2">
      <c r="A25" s="2849"/>
      <c r="B25" s="2849"/>
      <c r="C25" s="2849"/>
      <c r="D25" s="2849"/>
      <c r="E25" s="2849"/>
      <c r="F25" s="2849"/>
      <c r="G25" s="2849"/>
      <c r="H25" s="2849"/>
      <c r="I25" s="159"/>
      <c r="J25" s="1090"/>
      <c r="K25" s="318"/>
      <c r="L25" s="896"/>
      <c r="M25" s="1932"/>
      <c r="N25" s="896"/>
      <c r="O25" s="1932"/>
      <c r="P25" s="896"/>
      <c r="Q25" s="1932"/>
      <c r="R25" s="896"/>
      <c r="S25" s="1932"/>
      <c r="T25" s="1717">
        <f t="shared" si="0"/>
        <v>0</v>
      </c>
    </row>
    <row r="26" spans="1:20" s="320" customFormat="1" ht="15" customHeight="1" x14ac:dyDescent="0.2">
      <c r="A26" s="2849"/>
      <c r="B26" s="2849"/>
      <c r="C26" s="2849"/>
      <c r="D26" s="2849"/>
      <c r="E26" s="2849"/>
      <c r="F26" s="2849"/>
      <c r="G26" s="2849"/>
      <c r="H26" s="2849"/>
      <c r="I26" s="159"/>
      <c r="J26" s="1090"/>
      <c r="K26" s="318"/>
      <c r="L26" s="896">
        <v>0</v>
      </c>
      <c r="M26" s="1932"/>
      <c r="N26" s="896">
        <v>0</v>
      </c>
      <c r="O26" s="1932"/>
      <c r="P26" s="896">
        <v>0</v>
      </c>
      <c r="Q26" s="1932"/>
      <c r="R26" s="896">
        <v>0</v>
      </c>
      <c r="S26" s="1932"/>
      <c r="T26" s="1717">
        <f t="shared" si="0"/>
        <v>0</v>
      </c>
    </row>
    <row r="27" spans="1:20" s="320" customFormat="1" ht="15" customHeight="1" x14ac:dyDescent="0.2">
      <c r="A27" s="2849"/>
      <c r="B27" s="2849"/>
      <c r="C27" s="2849"/>
      <c r="D27" s="2849"/>
      <c r="E27" s="2849"/>
      <c r="F27" s="2849"/>
      <c r="G27" s="2849"/>
      <c r="H27" s="2849"/>
      <c r="I27" s="159"/>
      <c r="J27" s="1090"/>
      <c r="K27" s="318"/>
      <c r="L27" s="896"/>
      <c r="M27" s="1932"/>
      <c r="N27" s="896"/>
      <c r="O27" s="1932"/>
      <c r="P27" s="896"/>
      <c r="Q27" s="1932"/>
      <c r="R27" s="896"/>
      <c r="S27" s="1932"/>
      <c r="T27" s="1717">
        <f t="shared" si="0"/>
        <v>0</v>
      </c>
    </row>
    <row r="28" spans="1:20" s="78" customFormat="1" ht="15" customHeight="1" x14ac:dyDescent="0.2">
      <c r="A28" s="159"/>
      <c r="B28" s="159"/>
      <c r="C28" s="159"/>
      <c r="D28" s="159"/>
      <c r="E28" s="159"/>
      <c r="F28" s="159"/>
      <c r="G28" s="159"/>
      <c r="H28" s="159"/>
      <c r="I28" s="159"/>
      <c r="J28" s="159"/>
      <c r="K28" s="159"/>
      <c r="L28" s="159"/>
      <c r="M28" s="159"/>
      <c r="N28" s="159"/>
      <c r="O28" s="159"/>
      <c r="P28" s="159"/>
      <c r="Q28" s="159"/>
      <c r="R28" s="159"/>
      <c r="S28" s="159"/>
      <c r="T28" s="159"/>
    </row>
    <row r="29" spans="1:20" s="320" customFormat="1" ht="15" customHeight="1" thickBot="1" x14ac:dyDescent="0.25">
      <c r="A29" s="1"/>
      <c r="B29" s="1"/>
      <c r="C29" s="1"/>
      <c r="D29" s="1"/>
      <c r="E29" s="1"/>
      <c r="F29" s="1"/>
      <c r="G29" s="1"/>
      <c r="H29" s="1"/>
      <c r="I29" s="1"/>
      <c r="J29" s="1" t="s">
        <v>955</v>
      </c>
      <c r="K29" s="318"/>
      <c r="L29" s="1933">
        <f>SUM(L15:L28)</f>
        <v>0</v>
      </c>
      <c r="M29" s="1932"/>
      <c r="N29" s="1933">
        <f>SUM(N15:N28)</f>
        <v>0</v>
      </c>
      <c r="O29" s="1932"/>
      <c r="P29" s="1933">
        <f>SUM(P15:P28)</f>
        <v>0</v>
      </c>
      <c r="Q29" s="1932"/>
      <c r="R29" s="1933">
        <f>SUM(R15:R28)</f>
        <v>0</v>
      </c>
      <c r="S29" s="1932"/>
      <c r="T29" s="1933">
        <f>SUM(T15:T28)</f>
        <v>0</v>
      </c>
    </row>
    <row r="30" spans="1:20" s="320" customFormat="1" ht="15" customHeight="1" thickTop="1" x14ac:dyDescent="0.2">
      <c r="A30" s="1058" t="s">
        <v>50</v>
      </c>
      <c r="B30" s="1058"/>
      <c r="C30" s="1058"/>
      <c r="D30" s="1058"/>
      <c r="E30" s="1058"/>
      <c r="F30" s="1058"/>
      <c r="G30" s="1058"/>
      <c r="H30" s="1058"/>
      <c r="I30" s="1058"/>
      <c r="J30" s="1058"/>
      <c r="K30" s="318"/>
      <c r="L30" s="318"/>
      <c r="M30" s="318"/>
      <c r="N30" s="318"/>
      <c r="O30" s="318"/>
      <c r="P30" s="318"/>
      <c r="Q30" s="318"/>
      <c r="R30" s="321"/>
      <c r="S30" s="318"/>
      <c r="T30" s="321" t="s">
        <v>2063</v>
      </c>
    </row>
    <row r="31" spans="1:20" s="320" customFormat="1" ht="15" customHeight="1" x14ac:dyDescent="0.2">
      <c r="A31" s="318" t="s">
        <v>2064</v>
      </c>
      <c r="B31" s="318"/>
      <c r="C31" s="318"/>
      <c r="D31" s="318"/>
      <c r="E31" s="318"/>
      <c r="F31" s="318"/>
      <c r="G31" s="318"/>
      <c r="H31" s="318"/>
      <c r="I31" s="318"/>
      <c r="J31" s="318"/>
      <c r="K31" s="318"/>
      <c r="L31" s="318"/>
      <c r="M31" s="318"/>
      <c r="N31" s="318"/>
      <c r="O31" s="318"/>
      <c r="P31" s="318"/>
      <c r="Q31" s="318"/>
      <c r="R31" s="318"/>
      <c r="S31" s="318"/>
      <c r="T31" s="333" t="str">
        <f>IF(L29+N29-P29-R29&lt;&gt;T29,"Verify Totals"," ")</f>
        <v xml:space="preserve"> </v>
      </c>
    </row>
    <row r="32" spans="1:20" s="320" customFormat="1" ht="15" customHeight="1" x14ac:dyDescent="0.2">
      <c r="A32" s="318" t="s">
        <v>2065</v>
      </c>
      <c r="B32" s="318"/>
      <c r="C32" s="318"/>
      <c r="D32" s="318"/>
      <c r="E32" s="318"/>
      <c r="F32" s="318"/>
      <c r="G32" s="318"/>
      <c r="H32" s="318"/>
      <c r="I32" s="318"/>
      <c r="J32" s="318"/>
      <c r="K32" s="318"/>
      <c r="L32" s="318"/>
      <c r="M32" s="318"/>
      <c r="N32" s="318"/>
      <c r="O32" s="318"/>
      <c r="P32" s="318"/>
      <c r="Q32" s="318"/>
      <c r="R32" s="318"/>
      <c r="S32" s="318"/>
      <c r="T32" s="318"/>
    </row>
    <row r="33" spans="1:10" s="320" customFormat="1" ht="15" customHeight="1" x14ac:dyDescent="0.2">
      <c r="A33" s="1058" t="s">
        <v>2066</v>
      </c>
      <c r="B33" s="1058"/>
      <c r="C33" s="1058"/>
      <c r="D33" s="1058"/>
      <c r="E33" s="1058"/>
      <c r="F33" s="1058"/>
      <c r="G33" s="1058"/>
      <c r="H33" s="1058"/>
      <c r="I33" s="1058"/>
      <c r="J33" s="1058"/>
    </row>
    <row r="34" spans="1:10" s="320" customFormat="1" ht="15" customHeight="1" x14ac:dyDescent="0.2">
      <c r="A34" s="318" t="s">
        <v>2067</v>
      </c>
      <c r="B34" s="318"/>
      <c r="C34" s="318"/>
      <c r="D34" s="318"/>
      <c r="E34" s="318"/>
      <c r="F34" s="318"/>
      <c r="G34" s="318"/>
      <c r="H34" s="318"/>
      <c r="I34" s="318"/>
      <c r="J34" s="318"/>
    </row>
    <row r="35" spans="1:10" s="334" customFormat="1" ht="15" customHeight="1" x14ac:dyDescent="0.2"/>
    <row r="36" spans="1:10" ht="15" customHeight="1" x14ac:dyDescent="0.2"/>
    <row r="37" spans="1:10" ht="15" customHeight="1" x14ac:dyDescent="0.2"/>
    <row r="38" spans="1:10" ht="15" customHeight="1" x14ac:dyDescent="0.2"/>
    <row r="39" spans="1:10" ht="15" customHeight="1" x14ac:dyDescent="0.2"/>
    <row r="40" spans="1:10" ht="15" customHeight="1" x14ac:dyDescent="0.2"/>
    <row r="41" spans="1:10" ht="15" customHeight="1" x14ac:dyDescent="0.2"/>
    <row r="42" spans="1:10" ht="15" customHeight="1" x14ac:dyDescent="0.2"/>
  </sheetData>
  <sheetProtection algorithmName="SHA-512" hashValue="iGuIegOucpj8aopB4pPxI7xdWKwWd4i85hLO3avn6PT5hYBTW/YNT5car4ZBA+lSjaqXrsvvbIspPNG7hi6s9Q==" saltValue="ocVKGKgzmzLutJaW7vHe9w==" spinCount="100000" sheet="1" objects="1" scenarios="1" autoFilter="0"/>
  <customSheetViews>
    <customSheetView guid="{9FCFC836-1CA5-48BF-958D-24D2EA94B219}" showGridLines="0" fitToPage="1">
      <selection activeCell="B12" sqref="B12"/>
      <pageMargins left="0" right="0" top="0" bottom="0" header="0" footer="0"/>
      <printOptions horizontalCentered="1"/>
      <pageSetup pageOrder="overThenDown" orientation="landscape" r:id="rId1"/>
      <headerFooter alignWithMargins="0">
        <oddFooter>&amp;R&amp;A</oddFooter>
      </headerFooter>
    </customSheetView>
    <customSheetView guid="{BEA4BE86-04D1-4C96-9358-7A260B9D2B2D}" showGridLines="0" fitToPage="1" showRuler="0">
      <selection sqref="A1:T1"/>
      <pageMargins left="0" right="0" top="0" bottom="0" header="0" footer="0"/>
      <printOptions horizontalCentered="1"/>
      <pageSetup pageOrder="overThenDown" orientation="landscape" horizontalDpi="300" verticalDpi="300" r:id="rId2"/>
      <headerFooter alignWithMargins="0">
        <oddFooter>&amp;R&amp;A</oddFooter>
      </headerFooter>
    </customSheetView>
    <customSheetView guid="{1250FD07-FF56-4A9D-AF9E-C27124A7EBE9}" showGridLines="0" fitToPage="1" showRuler="0">
      <selection sqref="A1:T1"/>
      <pageMargins left="0" right="0" top="0" bottom="0" header="0" footer="0"/>
      <printOptions horizontalCentered="1"/>
      <pageSetup pageOrder="overThenDown" orientation="landscape" horizontalDpi="300" verticalDpi="300" r:id="rId3"/>
      <headerFooter alignWithMargins="0">
        <oddFooter>&amp;R&amp;A</oddFooter>
      </headerFooter>
    </customSheetView>
    <customSheetView guid="{B08879A4-635B-4C39-9937-AC7883D562FC}" showGridLines="0" fitToPage="1">
      <selection activeCell="B12" sqref="B12"/>
      <pageMargins left="0" right="0" top="0" bottom="0" header="0" footer="0"/>
      <printOptions horizontalCentered="1"/>
      <pageSetup pageOrder="overThenDown" orientation="landscape" r:id="rId4"/>
      <headerFooter alignWithMargins="0">
        <oddFooter>&amp;R&amp;A</oddFooter>
      </headerFooter>
    </customSheetView>
  </customSheetViews>
  <mergeCells count="22">
    <mergeCell ref="A27:H27"/>
    <mergeCell ref="A22:H22"/>
    <mergeCell ref="A15:H15"/>
    <mergeCell ref="A16:H16"/>
    <mergeCell ref="A21:H21"/>
    <mergeCell ref="A17:H17"/>
    <mergeCell ref="A18:H18"/>
    <mergeCell ref="A25:H25"/>
    <mergeCell ref="A24:H24"/>
    <mergeCell ref="A26:H26"/>
    <mergeCell ref="A23:H23"/>
    <mergeCell ref="A19:H19"/>
    <mergeCell ref="U1:U3"/>
    <mergeCell ref="A20:H20"/>
    <mergeCell ref="A1:T1"/>
    <mergeCell ref="P5:T5"/>
    <mergeCell ref="A3:T3"/>
    <mergeCell ref="D6:L6"/>
    <mergeCell ref="A2:T2"/>
    <mergeCell ref="D5:E5"/>
    <mergeCell ref="A14:H14"/>
    <mergeCell ref="P6:T6"/>
  </mergeCells>
  <phoneticPr fontId="16" type="noConversion"/>
  <conditionalFormatting sqref="U1:U3">
    <cfRule type="cellIs" dxfId="43" priority="1" stopIfTrue="1" operator="equal">
      <formula>"na"</formula>
    </cfRule>
  </conditionalFormatting>
  <dataValidations count="3">
    <dataValidation type="textLength" operator="equal" allowBlank="1" showInputMessage="1" showErrorMessage="1" errorTitle="Invalid data!" error="GASB number must be 4 digits." sqref="J15:J27" xr:uid="{00000000-0002-0000-3900-000000000000}">
      <formula1>4</formula1>
    </dataValidation>
    <dataValidation type="custom" allowBlank="1" showInputMessage="1" showErrorMessage="1" errorTitle="Invalid Data!" error="Prior year unavailable revenues earned in the current year must not exceed the Beginning Balance, July 1." sqref="P15:P27" xr:uid="{00000000-0002-0000-3900-000001000000}">
      <formula1>P15&lt;=L15</formula1>
    </dataValidation>
    <dataValidation type="list" allowBlank="1" showInputMessage="1" showErrorMessage="1" sqref="C4" xr:uid="{94628536-5321-4D50-A35C-77573DB998B0}">
      <formula1>"No Function,General government,Primary and secondary education, Higher education, Health and human services,Economic development, Environment and natural resources, Public safety, Transportation, Agriculture"</formula1>
    </dataValidation>
  </dataValidations>
  <hyperlinks>
    <hyperlink ref="A1:T1" location="Index!A1" display="Index!A1" xr:uid="{00000000-0004-0000-3900-000000000000}"/>
  </hyperlinks>
  <pageMargins left="0.6" right="0.6" top="0.5" bottom="0.5" header="0.3" footer="0.3"/>
  <pageSetup scale="94" orientation="landscape" r:id="rId5"/>
  <extLst>
    <ext xmlns:x14="http://schemas.microsoft.com/office/spreadsheetml/2009/9/main" uri="{CCE6A557-97BC-4b89-ADB6-D9C93CAAB3DF}">
      <x14:dataValidations xmlns:xm="http://schemas.microsoft.com/office/excel/2006/main" count="1">
        <x14:dataValidation type="list" allowBlank="1" showInputMessage="1" showErrorMessage="1" xr:uid="{79AE16A4-B71B-4FF3-B3F5-7DABA0DEB46B}">
          <x14:formula1>
            <xm:f>Notes!$S$25:$S$50</xm:f>
          </x14:formula1>
          <xm:sqref>A15:H27</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0"/>
  <dimension ref="A1:W58"/>
  <sheetViews>
    <sheetView showGridLines="0" topLeftCell="B1" zoomScale="95" zoomScaleNormal="95" workbookViewId="0">
      <selection activeCell="A2" sqref="A2"/>
    </sheetView>
  </sheetViews>
  <sheetFormatPr defaultColWidth="16.5703125" defaultRowHeight="12.75" x14ac:dyDescent="0.2"/>
  <cols>
    <col min="1" max="1" width="0" style="46" hidden="1" customWidth="1"/>
    <col min="2" max="2" width="20.5703125" style="46" customWidth="1"/>
    <col min="3" max="3" width="0.5703125" style="46" customWidth="1"/>
    <col min="4" max="4" width="18" style="46" customWidth="1"/>
    <col min="5" max="5" width="0.5703125" style="46" customWidth="1"/>
    <col min="6" max="6" width="16" style="46" customWidth="1"/>
    <col min="7" max="7" width="0.5703125" style="46" customWidth="1"/>
    <col min="8" max="8" width="15.42578125" style="46" bestFit="1" customWidth="1"/>
    <col min="9" max="9" width="0.5703125" style="46" customWidth="1"/>
    <col min="10" max="10" width="10.5703125" style="46" bestFit="1" customWidth="1"/>
    <col min="11" max="11" width="0.5703125" style="46" customWidth="1"/>
    <col min="12" max="12" width="9" style="46" customWidth="1"/>
    <col min="13" max="13" width="1.5703125" style="46" customWidth="1"/>
    <col min="14" max="14" width="5.5703125" style="46" customWidth="1"/>
    <col min="15" max="15" width="1.5703125" style="46" customWidth="1"/>
    <col min="16" max="16" width="9.5703125" style="46" customWidth="1"/>
    <col min="17" max="17" width="1.5703125" style="46" customWidth="1"/>
    <col min="18" max="18" width="9.42578125" style="46" customWidth="1"/>
    <col min="19" max="21" width="1.5703125" style="46" customWidth="1"/>
    <col min="22" max="22" width="13.5703125" style="46" customWidth="1"/>
    <col min="23" max="23" width="4.5703125" style="46" customWidth="1"/>
    <col min="24" max="16384" width="16.5703125" style="46"/>
  </cols>
  <sheetData>
    <row r="1" spans="1:23" s="115" customFormat="1" ht="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455"/>
      <c r="R1" s="2455"/>
      <c r="S1" s="2455"/>
      <c r="T1" s="2455"/>
      <c r="U1" s="2455"/>
      <c r="V1" s="2455"/>
      <c r="W1" s="2520" t="str">
        <f>IF(Index!$B$87="na","NA","")</f>
        <v/>
      </c>
    </row>
    <row r="2" spans="1:23" s="115" customFormat="1" ht="15" customHeight="1" x14ac:dyDescent="0.25">
      <c r="B2" s="2866" t="str">
        <f>+Index!$A$2</f>
        <v>2023 ACFR Worksheets</v>
      </c>
      <c r="C2" s="2866"/>
      <c r="D2" s="2866"/>
      <c r="E2" s="2866"/>
      <c r="F2" s="2866"/>
      <c r="G2" s="2866"/>
      <c r="H2" s="2866"/>
      <c r="I2" s="2866"/>
      <c r="J2" s="2866"/>
      <c r="K2" s="2866"/>
      <c r="L2" s="2866"/>
      <c r="M2" s="2866"/>
      <c r="N2" s="2866"/>
      <c r="O2" s="2866"/>
      <c r="P2" s="2866"/>
      <c r="Q2" s="2866"/>
      <c r="R2" s="2866"/>
      <c r="S2" s="2866"/>
      <c r="T2" s="2866"/>
      <c r="U2" s="2866"/>
      <c r="V2" s="2866"/>
      <c r="W2" s="2520"/>
    </row>
    <row r="3" spans="1:23" s="115" customFormat="1" ht="15" customHeight="1" x14ac:dyDescent="0.25">
      <c r="B3" s="2866" t="s">
        <v>2068</v>
      </c>
      <c r="C3" s="2866"/>
      <c r="D3" s="2866"/>
      <c r="E3" s="2866"/>
      <c r="F3" s="2866"/>
      <c r="G3" s="2866"/>
      <c r="H3" s="2866"/>
      <c r="I3" s="2866"/>
      <c r="J3" s="2866"/>
      <c r="K3" s="2866"/>
      <c r="L3" s="2866"/>
      <c r="M3" s="2866"/>
      <c r="N3" s="2866"/>
      <c r="O3" s="2866"/>
      <c r="P3" s="2866"/>
      <c r="Q3" s="2866"/>
      <c r="R3" s="2866"/>
      <c r="S3" s="2866"/>
      <c r="T3" s="2866"/>
      <c r="U3" s="2866"/>
      <c r="V3" s="2866"/>
      <c r="W3" s="2520"/>
    </row>
    <row r="4" spans="1:23" s="117" customFormat="1" ht="15" customHeight="1" x14ac:dyDescent="0.2">
      <c r="A4" s="46"/>
      <c r="B4" s="118"/>
      <c r="C4" s="118"/>
      <c r="D4" s="118"/>
      <c r="E4" s="118"/>
      <c r="F4" s="118"/>
      <c r="G4" s="118"/>
      <c r="H4" s="118"/>
      <c r="I4" s="118"/>
      <c r="J4" s="118"/>
      <c r="K4" s="118"/>
      <c r="L4" s="118"/>
      <c r="M4" s="118"/>
      <c r="N4" s="118"/>
      <c r="O4" s="118"/>
      <c r="P4" s="118"/>
      <c r="Q4" s="118"/>
      <c r="R4" s="118"/>
      <c r="S4" s="118"/>
      <c r="T4" s="118"/>
      <c r="U4" s="118"/>
      <c r="V4" s="46"/>
      <c r="W4" s="46"/>
    </row>
    <row r="5" spans="1:23" s="117" customFormat="1" ht="15" customHeight="1" x14ac:dyDescent="0.2">
      <c r="A5" s="46"/>
      <c r="B5" s="119" t="s">
        <v>317</v>
      </c>
      <c r="C5" s="2863" t="str">
        <f>+Index!$E$10</f>
        <v>01</v>
      </c>
      <c r="D5" s="2863"/>
      <c r="E5" s="1934"/>
      <c r="F5" s="1934"/>
      <c r="G5" s="1934"/>
      <c r="H5" s="46"/>
      <c r="I5" s="46"/>
      <c r="J5" s="46"/>
      <c r="K5" s="46"/>
      <c r="L5" s="46"/>
      <c r="M5" s="46"/>
      <c r="N5" s="120" t="s">
        <v>318</v>
      </c>
      <c r="O5" s="2863" t="str">
        <f>+Index!$E$11</f>
        <v>North Carolina General Assembly</v>
      </c>
      <c r="P5" s="2863"/>
      <c r="Q5" s="2863"/>
      <c r="R5" s="2863"/>
      <c r="S5" s="2863"/>
      <c r="T5" s="2863"/>
      <c r="U5" s="2863"/>
      <c r="V5" s="2863"/>
      <c r="W5" s="46"/>
    </row>
    <row r="6" spans="1:23" s="117" customFormat="1" ht="15" customHeight="1" x14ac:dyDescent="0.2">
      <c r="A6" s="46"/>
      <c r="B6" s="119" t="s">
        <v>568</v>
      </c>
      <c r="C6" s="2864"/>
      <c r="D6" s="2864"/>
      <c r="E6" s="46"/>
      <c r="F6" s="46"/>
      <c r="G6" s="46"/>
      <c r="H6" s="46"/>
      <c r="I6" s="46"/>
      <c r="J6" s="46"/>
      <c r="K6" s="46"/>
      <c r="L6" s="46"/>
      <c r="M6" s="46"/>
      <c r="N6" s="120" t="s">
        <v>319</v>
      </c>
      <c r="O6" s="2864" t="str">
        <f>CONCATENATE(Index!$E$12," ",Index!$E$14)</f>
        <v xml:space="preserve"> </v>
      </c>
      <c r="P6" s="2864"/>
      <c r="Q6" s="2864"/>
      <c r="R6" s="2864"/>
      <c r="S6" s="2864"/>
      <c r="T6" s="2864"/>
      <c r="U6" s="2864"/>
      <c r="V6" s="2864"/>
      <c r="W6" s="46"/>
    </row>
    <row r="7" spans="1:23" s="117" customFormat="1" ht="15" customHeight="1" x14ac:dyDescent="0.2">
      <c r="A7" s="46"/>
      <c r="B7" s="119" t="s">
        <v>2069</v>
      </c>
      <c r="C7" s="2867"/>
      <c r="D7" s="2867"/>
      <c r="E7" s="2867"/>
      <c r="F7" s="2867"/>
      <c r="G7" s="2867"/>
      <c r="H7" s="46"/>
      <c r="I7" s="46"/>
      <c r="J7" s="46"/>
      <c r="K7" s="46"/>
      <c r="L7" s="46"/>
      <c r="M7" s="46"/>
      <c r="N7" s="120" t="s">
        <v>71</v>
      </c>
      <c r="O7" s="2865">
        <f>+Index!$E$13</f>
        <v>0</v>
      </c>
      <c r="P7" s="2865"/>
      <c r="Q7" s="2865"/>
      <c r="R7" s="2865"/>
      <c r="S7" s="2865"/>
      <c r="T7" s="2865"/>
      <c r="U7" s="2865"/>
      <c r="V7" s="2865"/>
      <c r="W7" s="46"/>
    </row>
    <row r="8" spans="1:23" s="117" customFormat="1" ht="15" customHeight="1" thickBot="1" x14ac:dyDescent="0.25">
      <c r="A8" s="46"/>
      <c r="B8" s="121"/>
      <c r="C8" s="1935"/>
      <c r="D8" s="1935"/>
      <c r="E8" s="1935"/>
      <c r="F8" s="1935"/>
      <c r="G8" s="1935"/>
      <c r="H8" s="1936"/>
      <c r="I8" s="1936"/>
      <c r="J8" s="1936"/>
      <c r="K8" s="1936"/>
      <c r="L8" s="1936"/>
      <c r="M8" s="1936"/>
      <c r="N8" s="1936"/>
      <c r="O8" s="1936"/>
      <c r="P8" s="1936"/>
      <c r="Q8" s="1936"/>
      <c r="R8" s="1936"/>
      <c r="S8" s="1936"/>
      <c r="T8" s="1936"/>
      <c r="U8" s="1936"/>
      <c r="V8" s="1936"/>
      <c r="W8" s="46"/>
    </row>
    <row r="9" spans="1:23" s="117" customFormat="1" ht="15" customHeight="1" x14ac:dyDescent="0.2">
      <c r="A9" s="46"/>
      <c r="B9" s="46"/>
      <c r="C9" s="46"/>
      <c r="D9" s="46"/>
      <c r="E9" s="46"/>
      <c r="F9" s="46"/>
      <c r="G9" s="46"/>
      <c r="H9" s="46"/>
      <c r="I9" s="46"/>
      <c r="J9" s="46"/>
      <c r="K9" s="46"/>
      <c r="L9" s="46"/>
      <c r="M9" s="46"/>
      <c r="N9" s="46"/>
      <c r="O9" s="46"/>
      <c r="P9" s="46"/>
      <c r="Q9" s="46"/>
      <c r="R9" s="46"/>
      <c r="S9" s="46"/>
      <c r="T9" s="46"/>
      <c r="U9" s="46"/>
      <c r="V9" s="46"/>
      <c r="W9" s="46"/>
    </row>
    <row r="10" spans="1:23" s="117" customFormat="1" ht="15" customHeight="1" x14ac:dyDescent="0.2">
      <c r="A10" s="46"/>
      <c r="B10" s="46"/>
      <c r="C10" s="46"/>
      <c r="D10" s="46"/>
      <c r="E10" s="46"/>
      <c r="F10" s="46"/>
      <c r="G10" s="46"/>
      <c r="H10" s="46"/>
      <c r="I10" s="46"/>
      <c r="J10" s="46"/>
      <c r="K10" s="46"/>
      <c r="L10" s="46"/>
      <c r="M10" s="46"/>
      <c r="N10" s="46"/>
      <c r="O10" s="46"/>
      <c r="P10" s="46"/>
      <c r="Q10" s="46"/>
      <c r="R10" s="46"/>
      <c r="S10" s="46"/>
      <c r="T10" s="46"/>
      <c r="U10" s="46"/>
      <c r="V10" s="46"/>
      <c r="W10" s="46"/>
    </row>
    <row r="11" spans="1:23" s="117" customFormat="1" ht="15" customHeight="1" x14ac:dyDescent="0.2">
      <c r="A11" s="46"/>
      <c r="B11" s="46"/>
      <c r="C11" s="46"/>
      <c r="D11" s="46"/>
      <c r="E11" s="46"/>
      <c r="F11" s="46"/>
      <c r="G11" s="46"/>
      <c r="H11" s="46"/>
      <c r="I11" s="46"/>
      <c r="J11" s="46"/>
      <c r="K11" s="46"/>
      <c r="L11" s="46"/>
      <c r="M11" s="46"/>
      <c r="N11" s="46"/>
      <c r="O11" s="46"/>
      <c r="P11" s="46"/>
      <c r="Q11" s="46"/>
      <c r="R11" s="46"/>
      <c r="S11" s="46"/>
      <c r="T11" s="46"/>
      <c r="U11" s="46"/>
      <c r="V11" s="46"/>
      <c r="W11" s="46"/>
    </row>
    <row r="12" spans="1:23" s="117" customFormat="1" ht="15" customHeight="1" x14ac:dyDescent="0.2">
      <c r="A12" s="46"/>
      <c r="B12" s="46"/>
      <c r="C12" s="46"/>
      <c r="D12" s="46"/>
      <c r="E12" s="46"/>
      <c r="F12" s="46"/>
      <c r="G12" s="46"/>
      <c r="H12" s="46"/>
      <c r="I12" s="46"/>
      <c r="J12" s="46"/>
      <c r="K12" s="46"/>
      <c r="L12" s="46"/>
      <c r="M12" s="46"/>
      <c r="N12" s="46"/>
      <c r="O12" s="46"/>
      <c r="P12" s="46"/>
      <c r="Q12" s="46"/>
      <c r="R12" s="46"/>
      <c r="S12" s="46"/>
      <c r="T12" s="46"/>
      <c r="U12" s="46"/>
      <c r="V12" s="46"/>
      <c r="W12" s="46"/>
    </row>
    <row r="13" spans="1:23" s="117" customFormat="1" ht="15" customHeight="1" x14ac:dyDescent="0.2">
      <c r="A13" s="46"/>
      <c r="B13" s="46"/>
      <c r="C13" s="46"/>
      <c r="D13" s="46"/>
      <c r="E13" s="46"/>
      <c r="F13" s="46"/>
      <c r="G13" s="46"/>
      <c r="H13" s="46"/>
      <c r="I13" s="46"/>
      <c r="J13" s="46"/>
      <c r="K13" s="46"/>
      <c r="L13" s="46"/>
      <c r="M13" s="46"/>
      <c r="N13" s="46"/>
      <c r="O13" s="46"/>
      <c r="P13" s="46"/>
      <c r="Q13" s="46"/>
      <c r="R13" s="46"/>
      <c r="S13" s="46"/>
      <c r="T13" s="46"/>
      <c r="U13" s="46"/>
      <c r="V13" s="46"/>
      <c r="W13" s="46"/>
    </row>
    <row r="14" spans="1:23" s="117" customFormat="1" ht="73.5" customHeight="1" x14ac:dyDescent="0.2">
      <c r="A14" s="46"/>
      <c r="B14" s="46"/>
      <c r="C14" s="46"/>
      <c r="D14" s="46"/>
      <c r="E14" s="46"/>
      <c r="F14" s="46"/>
      <c r="G14" s="46"/>
      <c r="H14" s="46"/>
      <c r="I14" s="46"/>
      <c r="J14" s="46"/>
      <c r="K14" s="46"/>
      <c r="L14" s="46"/>
      <c r="M14" s="46"/>
      <c r="N14" s="46"/>
      <c r="O14" s="46"/>
      <c r="P14" s="46"/>
      <c r="Q14" s="46"/>
      <c r="R14" s="46"/>
      <c r="S14" s="46"/>
      <c r="T14" s="46"/>
      <c r="U14" s="46"/>
      <c r="V14" s="46"/>
      <c r="W14" s="46"/>
    </row>
    <row r="15" spans="1:23" s="117" customFormat="1" ht="22.5" customHeight="1" x14ac:dyDescent="0.2">
      <c r="A15" s="46"/>
      <c r="B15" s="2858" t="s">
        <v>1953</v>
      </c>
      <c r="C15" s="2858"/>
      <c r="D15" s="2858"/>
      <c r="E15" s="116"/>
      <c r="F15" s="2340" t="s">
        <v>2070</v>
      </c>
      <c r="G15" s="116"/>
      <c r="H15" s="2861" t="s">
        <v>2071</v>
      </c>
      <c r="I15" s="2861"/>
      <c r="J15" s="2861"/>
      <c r="K15" s="2861"/>
      <c r="L15" s="2861"/>
      <c r="M15" s="2861"/>
      <c r="N15" s="2861"/>
      <c r="O15" s="2861"/>
      <c r="P15" s="2861"/>
      <c r="Q15" s="2861"/>
      <c r="R15" s="2861"/>
      <c r="S15" s="2861"/>
      <c r="T15" s="2861"/>
      <c r="U15" s="2861"/>
      <c r="V15" s="2861"/>
      <c r="W15" s="46"/>
    </row>
    <row r="16" spans="1:23" s="117" customFormat="1" ht="30" customHeight="1" x14ac:dyDescent="0.2">
      <c r="A16" s="2862"/>
      <c r="B16" s="2862"/>
      <c r="C16" s="2862"/>
      <c r="D16" s="2862"/>
      <c r="E16" s="1937"/>
      <c r="F16" s="1938"/>
      <c r="G16" s="1937"/>
      <c r="H16" s="2859"/>
      <c r="I16" s="2859"/>
      <c r="J16" s="2859"/>
      <c r="K16" s="2859"/>
      <c r="L16" s="2859"/>
      <c r="M16" s="2859"/>
      <c r="N16" s="2859"/>
      <c r="O16" s="2859"/>
      <c r="P16" s="2859"/>
      <c r="Q16" s="2859"/>
      <c r="R16" s="2859"/>
      <c r="S16" s="2859"/>
      <c r="T16" s="2859"/>
      <c r="U16" s="2859"/>
      <c r="V16" s="2859"/>
      <c r="W16" s="46"/>
    </row>
    <row r="17" spans="1:22" s="117" customFormat="1" ht="30.75" customHeight="1" x14ac:dyDescent="0.2">
      <c r="A17" s="2860"/>
      <c r="B17" s="2860"/>
      <c r="C17" s="2860"/>
      <c r="D17" s="2860"/>
      <c r="E17" s="1937"/>
      <c r="F17" s="1938"/>
      <c r="G17" s="1937"/>
      <c r="H17" s="2859"/>
      <c r="I17" s="2859"/>
      <c r="J17" s="2859"/>
      <c r="K17" s="2859"/>
      <c r="L17" s="2859"/>
      <c r="M17" s="2859"/>
      <c r="N17" s="2859"/>
      <c r="O17" s="2859"/>
      <c r="P17" s="2859"/>
      <c r="Q17" s="2859"/>
      <c r="R17" s="2859"/>
      <c r="S17" s="2859"/>
      <c r="T17" s="2859"/>
      <c r="U17" s="2859"/>
      <c r="V17" s="2859"/>
    </row>
    <row r="18" spans="1:22" s="117" customFormat="1" ht="30.75" customHeight="1" x14ac:dyDescent="0.2">
      <c r="A18" s="2862"/>
      <c r="B18" s="2862"/>
      <c r="C18" s="2862"/>
      <c r="D18" s="2862"/>
      <c r="E18" s="1937"/>
      <c r="F18" s="1938"/>
      <c r="G18" s="1937"/>
      <c r="H18" s="2859"/>
      <c r="I18" s="2859"/>
      <c r="J18" s="2859"/>
      <c r="K18" s="2859"/>
      <c r="L18" s="2859"/>
      <c r="M18" s="2859"/>
      <c r="N18" s="2859"/>
      <c r="O18" s="2859"/>
      <c r="P18" s="2859"/>
      <c r="Q18" s="2859"/>
      <c r="R18" s="2859"/>
      <c r="S18" s="2859"/>
      <c r="T18" s="2859"/>
      <c r="U18" s="2859"/>
      <c r="V18" s="2859"/>
    </row>
    <row r="19" spans="1:22" s="117" customFormat="1" ht="30.75" customHeight="1" x14ac:dyDescent="0.2">
      <c r="A19" s="2862"/>
      <c r="B19" s="2862"/>
      <c r="C19" s="2862"/>
      <c r="D19" s="2862"/>
      <c r="E19" s="1937"/>
      <c r="F19" s="1938"/>
      <c r="G19" s="1937"/>
      <c r="H19" s="2859"/>
      <c r="I19" s="2859"/>
      <c r="J19" s="2859"/>
      <c r="K19" s="2859"/>
      <c r="L19" s="2859"/>
      <c r="M19" s="2859"/>
      <c r="N19" s="2859"/>
      <c r="O19" s="2859"/>
      <c r="P19" s="2859"/>
      <c r="Q19" s="2859"/>
      <c r="R19" s="2859"/>
      <c r="S19" s="2859"/>
      <c r="T19" s="2859"/>
      <c r="U19" s="2859"/>
      <c r="V19" s="2859"/>
    </row>
    <row r="20" spans="1:22" s="117" customFormat="1" ht="30.75" customHeight="1" x14ac:dyDescent="0.2">
      <c r="A20" s="2862"/>
      <c r="B20" s="2862"/>
      <c r="C20" s="2862"/>
      <c r="D20" s="2862"/>
      <c r="E20" s="1937"/>
      <c r="F20" s="1938"/>
      <c r="G20" s="1937"/>
      <c r="H20" s="2859"/>
      <c r="I20" s="2859"/>
      <c r="J20" s="2859"/>
      <c r="K20" s="2859"/>
      <c r="L20" s="2859"/>
      <c r="M20" s="2859"/>
      <c r="N20" s="2859"/>
      <c r="O20" s="2859"/>
      <c r="P20" s="2859"/>
      <c r="Q20" s="2859"/>
      <c r="R20" s="2859"/>
      <c r="S20" s="2859"/>
      <c r="T20" s="2859"/>
      <c r="U20" s="2859"/>
      <c r="V20" s="2859"/>
    </row>
    <row r="21" spans="1:22" s="117" customFormat="1" ht="30.75" customHeight="1" x14ac:dyDescent="0.2">
      <c r="A21" s="2862"/>
      <c r="B21" s="2862"/>
      <c r="C21" s="2862"/>
      <c r="D21" s="2862"/>
      <c r="E21" s="1937"/>
      <c r="F21" s="1938"/>
      <c r="G21" s="1937"/>
      <c r="H21" s="2859"/>
      <c r="I21" s="2859"/>
      <c r="J21" s="2859"/>
      <c r="K21" s="2859"/>
      <c r="L21" s="2859"/>
      <c r="M21" s="2859"/>
      <c r="N21" s="2859"/>
      <c r="O21" s="2859"/>
      <c r="P21" s="2859"/>
      <c r="Q21" s="2859"/>
      <c r="R21" s="2859"/>
      <c r="S21" s="2859"/>
      <c r="T21" s="2859"/>
      <c r="U21" s="2859"/>
      <c r="V21" s="2859"/>
    </row>
    <row r="22" spans="1:22" s="117" customFormat="1" ht="30.75" customHeight="1" x14ac:dyDescent="0.2">
      <c r="A22" s="2862"/>
      <c r="B22" s="2862"/>
      <c r="C22" s="2862"/>
      <c r="D22" s="2862"/>
      <c r="E22" s="1937"/>
      <c r="F22" s="1938"/>
      <c r="G22" s="1937"/>
      <c r="H22" s="2859"/>
      <c r="I22" s="2859"/>
      <c r="J22" s="2859"/>
      <c r="K22" s="2859"/>
      <c r="L22" s="2859"/>
      <c r="M22" s="2859"/>
      <c r="N22" s="2859"/>
      <c r="O22" s="2859"/>
      <c r="P22" s="2859"/>
      <c r="Q22" s="2859"/>
      <c r="R22" s="2859"/>
      <c r="S22" s="2859"/>
      <c r="T22" s="2859"/>
      <c r="U22" s="2859"/>
      <c r="V22" s="2859"/>
    </row>
    <row r="23" spans="1:22" s="117" customFormat="1" ht="30.75" customHeight="1" x14ac:dyDescent="0.2">
      <c r="A23" s="2862"/>
      <c r="B23" s="2862"/>
      <c r="C23" s="2862"/>
      <c r="D23" s="2862"/>
      <c r="E23" s="1937"/>
      <c r="F23" s="1938"/>
      <c r="G23" s="1937"/>
      <c r="H23" s="2859"/>
      <c r="I23" s="2859"/>
      <c r="J23" s="2859"/>
      <c r="K23" s="2859"/>
      <c r="L23" s="2859"/>
      <c r="M23" s="2859"/>
      <c r="N23" s="2859"/>
      <c r="O23" s="2859"/>
      <c r="P23" s="2859"/>
      <c r="Q23" s="2859"/>
      <c r="R23" s="2859"/>
      <c r="S23" s="2859"/>
      <c r="T23" s="2859"/>
      <c r="U23" s="2859"/>
      <c r="V23" s="2859"/>
    </row>
    <row r="24" spans="1:22" s="117" customFormat="1" ht="30.75" customHeight="1" x14ac:dyDescent="0.2">
      <c r="A24" s="2862"/>
      <c r="B24" s="2862"/>
      <c r="C24" s="2862"/>
      <c r="D24" s="2862"/>
      <c r="E24" s="1937"/>
      <c r="F24" s="1938"/>
      <c r="G24" s="1937"/>
      <c r="H24" s="2859"/>
      <c r="I24" s="2859"/>
      <c r="J24" s="2859"/>
      <c r="K24" s="2859"/>
      <c r="L24" s="2859"/>
      <c r="M24" s="2859"/>
      <c r="N24" s="2859"/>
      <c r="O24" s="2859"/>
      <c r="P24" s="2859"/>
      <c r="Q24" s="2859"/>
      <c r="R24" s="2859"/>
      <c r="S24" s="2859"/>
      <c r="T24" s="2859"/>
      <c r="U24" s="2859"/>
      <c r="V24" s="2859"/>
    </row>
    <row r="25" spans="1:22" s="117" customFormat="1" ht="15" customHeight="1" x14ac:dyDescent="0.2">
      <c r="A25" s="46"/>
      <c r="B25" s="2341"/>
      <c r="C25" s="46"/>
      <c r="D25" s="1939"/>
      <c r="E25" s="1937"/>
      <c r="F25" s="1939"/>
      <c r="G25" s="1937"/>
      <c r="H25" s="1940"/>
      <c r="I25" s="1941"/>
      <c r="J25" s="1942"/>
      <c r="K25" s="46"/>
      <c r="L25" s="2868"/>
      <c r="M25" s="2868"/>
      <c r="N25" s="2868"/>
      <c r="O25" s="2868"/>
      <c r="P25" s="2868"/>
      <c r="Q25" s="2868"/>
      <c r="R25" s="2868"/>
      <c r="S25" s="2868"/>
      <c r="T25" s="2868"/>
      <c r="U25" s="2868"/>
      <c r="V25" s="2868"/>
    </row>
    <row r="26" spans="1:22" s="117" customFormat="1" ht="15" customHeight="1" x14ac:dyDescent="0.2">
      <c r="A26" s="46"/>
      <c r="B26" s="46"/>
      <c r="C26" s="46"/>
      <c r="D26" s="1937"/>
      <c r="E26" s="1937"/>
      <c r="F26" s="1937"/>
      <c r="G26" s="1937"/>
      <c r="H26" s="1937"/>
      <c r="I26" s="46"/>
      <c r="J26" s="46"/>
      <c r="K26" s="46"/>
      <c r="L26" s="46"/>
      <c r="M26" s="46"/>
      <c r="N26" s="46"/>
      <c r="O26" s="46"/>
      <c r="P26" s="46"/>
      <c r="Q26" s="46"/>
      <c r="R26" s="46"/>
      <c r="S26" s="46"/>
      <c r="T26" s="46"/>
      <c r="U26" s="46"/>
      <c r="V26" s="46"/>
    </row>
    <row r="27" spans="1:22" s="117" customFormat="1" ht="15" customHeight="1" x14ac:dyDescent="0.2">
      <c r="A27" s="46"/>
      <c r="B27" s="46"/>
      <c r="C27" s="46"/>
      <c r="D27" s="46"/>
      <c r="E27" s="46"/>
      <c r="F27" s="46"/>
      <c r="G27" s="46"/>
      <c r="H27" s="46"/>
      <c r="I27" s="46"/>
      <c r="J27" s="46"/>
      <c r="K27" s="46"/>
      <c r="L27" s="46"/>
      <c r="M27" s="46"/>
      <c r="N27" s="46"/>
      <c r="O27" s="46"/>
      <c r="P27" s="46"/>
      <c r="Q27" s="46"/>
      <c r="R27" s="46"/>
      <c r="S27" s="46"/>
      <c r="T27" s="46"/>
      <c r="U27" s="46"/>
      <c r="V27" s="46"/>
    </row>
    <row r="28" spans="1:22" s="117" customFormat="1" ht="21.75" customHeight="1" x14ac:dyDescent="0.2">
      <c r="A28" s="46"/>
      <c r="B28" s="2341"/>
      <c r="C28" s="2341"/>
      <c r="D28" s="2341"/>
      <c r="E28" s="2341"/>
      <c r="F28" s="2341"/>
      <c r="G28" s="2341"/>
      <c r="H28" s="2341"/>
      <c r="I28" s="2341"/>
      <c r="J28" s="2341"/>
      <c r="K28" s="2341"/>
      <c r="L28" s="2341"/>
      <c r="M28" s="2341"/>
      <c r="N28" s="2341"/>
      <c r="O28" s="2341"/>
      <c r="P28" s="2341"/>
      <c r="Q28" s="2341"/>
      <c r="R28" s="2341"/>
      <c r="S28" s="2341"/>
      <c r="T28" s="2341"/>
      <c r="U28" s="2341"/>
      <c r="V28" s="2341"/>
    </row>
    <row r="29" spans="1:22" s="117" customFormat="1" ht="15" customHeight="1" x14ac:dyDescent="0.2">
      <c r="A29" s="46"/>
      <c r="B29" s="2341"/>
      <c r="C29" s="2341"/>
      <c r="D29" s="2341"/>
      <c r="E29" s="2341"/>
      <c r="F29" s="2341"/>
      <c r="G29" s="2341"/>
      <c r="H29" s="2341"/>
      <c r="I29" s="2341"/>
      <c r="J29" s="2341"/>
      <c r="K29" s="2341"/>
      <c r="L29" s="2341"/>
      <c r="M29" s="2341"/>
      <c r="N29" s="2341"/>
      <c r="O29" s="2341"/>
      <c r="P29" s="2341"/>
      <c r="Q29" s="2341"/>
      <c r="R29" s="2341"/>
      <c r="S29" s="2341"/>
      <c r="T29" s="2341"/>
      <c r="U29" s="2341"/>
      <c r="V29" s="2341"/>
    </row>
    <row r="30" spans="1:22" ht="15.75" customHeight="1" x14ac:dyDescent="0.2">
      <c r="P30" s="47"/>
      <c r="Q30" s="47"/>
      <c r="R30" s="47"/>
      <c r="S30" s="47"/>
      <c r="T30" s="47"/>
      <c r="U30" s="47"/>
      <c r="V30" s="47"/>
    </row>
    <row r="31" spans="1:22" ht="15" customHeight="1" x14ac:dyDescent="0.2">
      <c r="A31" s="445" t="str">
        <f ca="1">MID(CELL("filename",A11),FIND("]",CELL("filename",A11))+1,256)</f>
        <v>625</v>
      </c>
      <c r="B31" s="458" t="s">
        <v>636</v>
      </c>
      <c r="P31" s="47"/>
      <c r="Q31" s="47"/>
      <c r="R31" s="47"/>
      <c r="S31" s="47"/>
      <c r="T31" s="47"/>
      <c r="U31" s="47"/>
      <c r="V31" s="47"/>
    </row>
    <row r="32" spans="1:22" ht="15" customHeight="1" x14ac:dyDescent="0.2">
      <c r="A32" s="445" t="s">
        <v>380</v>
      </c>
      <c r="B32" s="458" t="str">
        <f t="shared" ref="B32:B41" ca="1" si="0">IF(ISNA(INDEX(ErrorTable,MATCH($A$31&amp;$A32&amp;FALSE,ErrorKey,0),6)),"",INDEX(ErrorTable,MATCH($A$31&amp;$A32&amp;FALSE,ErrorKey,0),6))</f>
        <v/>
      </c>
      <c r="P32" s="47"/>
      <c r="Q32" s="47"/>
      <c r="R32" s="47"/>
      <c r="S32" s="47"/>
      <c r="T32" s="47"/>
      <c r="U32" s="47"/>
      <c r="V32" s="47"/>
    </row>
    <row r="33" spans="1:22" ht="15" customHeight="1" x14ac:dyDescent="0.2">
      <c r="A33" s="445" t="s">
        <v>381</v>
      </c>
      <c r="B33" s="458" t="str">
        <f t="shared" ca="1" si="0"/>
        <v>GASB number is blank.</v>
      </c>
      <c r="P33" s="47"/>
      <c r="Q33" s="47"/>
      <c r="R33" s="47"/>
      <c r="S33" s="47"/>
      <c r="T33" s="47"/>
      <c r="U33" s="47"/>
      <c r="V33" s="47"/>
    </row>
    <row r="34" spans="1:22" ht="15" customHeight="1" x14ac:dyDescent="0.2">
      <c r="A34" s="445" t="s">
        <v>382</v>
      </c>
      <c r="B34" s="445" t="str">
        <f t="shared" ca="1" si="0"/>
        <v/>
      </c>
      <c r="P34" s="47"/>
      <c r="Q34" s="47"/>
      <c r="R34" s="47"/>
      <c r="S34" s="47"/>
      <c r="T34" s="47"/>
      <c r="U34" s="47"/>
      <c r="V34" s="47"/>
    </row>
    <row r="35" spans="1:22" ht="15" x14ac:dyDescent="0.2">
      <c r="A35" s="445" t="s">
        <v>383</v>
      </c>
      <c r="B35" s="445" t="str">
        <f t="shared" ca="1" si="0"/>
        <v/>
      </c>
      <c r="P35" s="47"/>
      <c r="Q35" s="47"/>
      <c r="R35" s="47"/>
      <c r="S35" s="47"/>
      <c r="T35" s="47"/>
      <c r="U35" s="47"/>
      <c r="V35" s="47"/>
    </row>
    <row r="36" spans="1:22" ht="15" x14ac:dyDescent="0.2">
      <c r="A36" s="445" t="s">
        <v>384</v>
      </c>
      <c r="B36" s="445" t="str">
        <f t="shared" ca="1" si="0"/>
        <v/>
      </c>
      <c r="P36" s="47"/>
      <c r="Q36" s="47"/>
      <c r="R36" s="47"/>
      <c r="S36" s="47"/>
      <c r="T36" s="47"/>
      <c r="U36" s="47"/>
      <c r="V36" s="47"/>
    </row>
    <row r="37" spans="1:22" ht="15" x14ac:dyDescent="0.2">
      <c r="A37" s="445" t="s">
        <v>385</v>
      </c>
      <c r="B37" s="445" t="str">
        <f t="shared" ca="1" si="0"/>
        <v/>
      </c>
      <c r="P37" s="47"/>
      <c r="Q37" s="47"/>
      <c r="R37" s="47"/>
      <c r="S37" s="47"/>
      <c r="T37" s="47"/>
      <c r="U37" s="47"/>
      <c r="V37" s="47"/>
    </row>
    <row r="38" spans="1:22" ht="15" x14ac:dyDescent="0.2">
      <c r="A38" s="445" t="s">
        <v>386</v>
      </c>
      <c r="B38" s="445" t="str">
        <f t="shared" ca="1" si="0"/>
        <v/>
      </c>
      <c r="P38" s="47"/>
      <c r="Q38" s="47"/>
      <c r="R38" s="47"/>
      <c r="S38" s="47"/>
      <c r="T38" s="47"/>
      <c r="U38" s="47"/>
      <c r="V38" s="47"/>
    </row>
    <row r="39" spans="1:22" ht="15" x14ac:dyDescent="0.2">
      <c r="A39" s="445" t="s">
        <v>387</v>
      </c>
      <c r="B39" s="445" t="str">
        <f t="shared" ca="1" si="0"/>
        <v/>
      </c>
      <c r="P39" s="47"/>
      <c r="Q39" s="47"/>
      <c r="R39" s="47"/>
      <c r="S39" s="47"/>
      <c r="T39" s="47"/>
      <c r="U39" s="47"/>
      <c r="V39" s="47"/>
    </row>
    <row r="40" spans="1:22" ht="15" x14ac:dyDescent="0.2">
      <c r="A40" s="445" t="s">
        <v>388</v>
      </c>
      <c r="B40" s="445" t="str">
        <f t="shared" ca="1" si="0"/>
        <v/>
      </c>
      <c r="P40" s="47"/>
      <c r="Q40" s="47"/>
      <c r="R40" s="47"/>
      <c r="S40" s="47"/>
      <c r="T40" s="47"/>
      <c r="U40" s="47"/>
      <c r="V40" s="47"/>
    </row>
    <row r="41" spans="1:22" ht="15" x14ac:dyDescent="0.2">
      <c r="A41" s="445" t="s">
        <v>389</v>
      </c>
      <c r="B41" s="445" t="str">
        <f t="shared" ca="1" si="0"/>
        <v/>
      </c>
      <c r="P41" s="47"/>
      <c r="Q41" s="47"/>
      <c r="R41" s="47"/>
      <c r="S41" s="47"/>
      <c r="T41" s="47"/>
      <c r="U41" s="47"/>
      <c r="V41" s="47"/>
    </row>
    <row r="42" spans="1:22" x14ac:dyDescent="0.2">
      <c r="P42" s="47"/>
      <c r="Q42" s="47"/>
      <c r="R42" s="47"/>
      <c r="S42" s="47"/>
      <c r="T42" s="47"/>
      <c r="U42" s="47"/>
      <c r="V42" s="47"/>
    </row>
    <row r="43" spans="1:22" x14ac:dyDescent="0.2">
      <c r="P43" s="47"/>
      <c r="Q43" s="47"/>
      <c r="R43" s="47"/>
      <c r="S43" s="47"/>
      <c r="T43" s="47"/>
      <c r="U43" s="47"/>
      <c r="V43" s="47"/>
    </row>
    <row r="44" spans="1:22" x14ac:dyDescent="0.2">
      <c r="P44" s="47"/>
      <c r="Q44" s="47"/>
      <c r="R44" s="47"/>
      <c r="S44" s="47"/>
      <c r="T44" s="47"/>
      <c r="U44" s="47"/>
      <c r="V44" s="47"/>
    </row>
    <row r="45" spans="1:22" x14ac:dyDescent="0.2">
      <c r="P45" s="47"/>
      <c r="Q45" s="47"/>
      <c r="R45" s="47"/>
      <c r="S45" s="47"/>
      <c r="T45" s="47"/>
      <c r="U45" s="47"/>
      <c r="V45" s="47"/>
    </row>
    <row r="46" spans="1:22" x14ac:dyDescent="0.2">
      <c r="P46" s="47"/>
      <c r="Q46" s="47"/>
      <c r="R46" s="47"/>
      <c r="S46" s="47"/>
      <c r="T46" s="47"/>
      <c r="U46" s="47"/>
      <c r="V46" s="47"/>
    </row>
    <row r="47" spans="1:22" x14ac:dyDescent="0.2">
      <c r="P47" s="47"/>
      <c r="Q47" s="47"/>
      <c r="R47" s="47"/>
      <c r="S47" s="47"/>
      <c r="T47" s="47"/>
      <c r="U47" s="47"/>
      <c r="V47" s="47"/>
    </row>
    <row r="48" spans="1:22" x14ac:dyDescent="0.2">
      <c r="P48" s="47"/>
      <c r="Q48" s="47"/>
      <c r="R48" s="47"/>
      <c r="S48" s="47"/>
      <c r="T48" s="47"/>
      <c r="U48" s="47"/>
      <c r="V48" s="47"/>
    </row>
    <row r="49" spans="16:22" x14ac:dyDescent="0.2">
      <c r="P49" s="47"/>
      <c r="Q49" s="47"/>
      <c r="R49" s="47"/>
      <c r="S49" s="47"/>
      <c r="T49" s="47"/>
      <c r="U49" s="47"/>
      <c r="V49" s="47"/>
    </row>
    <row r="50" spans="16:22" x14ac:dyDescent="0.2">
      <c r="P50" s="47"/>
      <c r="Q50" s="47"/>
      <c r="R50" s="47"/>
      <c r="S50" s="47"/>
      <c r="T50" s="47"/>
      <c r="U50" s="47"/>
      <c r="V50" s="47"/>
    </row>
    <row r="51" spans="16:22" x14ac:dyDescent="0.2">
      <c r="P51" s="47"/>
      <c r="Q51" s="47"/>
      <c r="R51" s="47"/>
      <c r="S51" s="47"/>
      <c r="T51" s="47"/>
      <c r="U51" s="47"/>
      <c r="V51" s="47"/>
    </row>
    <row r="52" spans="16:22" x14ac:dyDescent="0.2">
      <c r="P52" s="47"/>
      <c r="Q52" s="47"/>
      <c r="R52" s="47"/>
      <c r="S52" s="47"/>
      <c r="T52" s="47"/>
      <c r="U52" s="47"/>
      <c r="V52" s="47"/>
    </row>
    <row r="53" spans="16:22" x14ac:dyDescent="0.2">
      <c r="P53" s="47"/>
      <c r="Q53" s="47"/>
      <c r="R53" s="47"/>
      <c r="S53" s="47"/>
      <c r="T53" s="47"/>
      <c r="U53" s="47"/>
      <c r="V53" s="47"/>
    </row>
    <row r="54" spans="16:22" x14ac:dyDescent="0.2">
      <c r="P54" s="47"/>
      <c r="Q54" s="47"/>
      <c r="R54" s="47"/>
      <c r="S54" s="47"/>
      <c r="T54" s="47"/>
      <c r="U54" s="47"/>
      <c r="V54" s="47"/>
    </row>
    <row r="55" spans="16:22" x14ac:dyDescent="0.2">
      <c r="P55" s="47"/>
      <c r="Q55" s="47"/>
      <c r="R55" s="47"/>
      <c r="S55" s="47"/>
      <c r="T55" s="47"/>
      <c r="U55" s="47"/>
      <c r="V55" s="47"/>
    </row>
    <row r="56" spans="16:22" x14ac:dyDescent="0.2">
      <c r="P56" s="47"/>
      <c r="Q56" s="47"/>
      <c r="R56" s="47"/>
      <c r="S56" s="47"/>
      <c r="T56" s="47"/>
      <c r="U56" s="47"/>
      <c r="V56" s="47"/>
    </row>
    <row r="57" spans="16:22" x14ac:dyDescent="0.2">
      <c r="P57" s="47"/>
      <c r="Q57" s="47"/>
      <c r="R57" s="47"/>
      <c r="S57" s="47"/>
      <c r="T57" s="47"/>
      <c r="U57" s="47"/>
      <c r="V57" s="47"/>
    </row>
    <row r="58" spans="16:22" x14ac:dyDescent="0.2">
      <c r="P58" s="47"/>
      <c r="Q58" s="47"/>
      <c r="R58" s="47"/>
      <c r="S58" s="47"/>
      <c r="T58" s="47"/>
      <c r="U58" s="47"/>
      <c r="V58" s="47"/>
    </row>
  </sheetData>
  <sheetProtection algorithmName="SHA-512" hashValue="JzuAonLbxKhkg4/+G7tU1LtAyO1p2HTmHnxxFO/njGoDq9Irz0NDP5+dyns2KH3V4VoxlctUjW+LQZrdjirpAQ==" saltValue="rLa+jRDE1G65SkZt01skfA==" spinCount="100000" sheet="1" objects="1" scenarios="1" autoFilter="0"/>
  <customSheetViews>
    <customSheetView guid="{9FCFC836-1CA5-48BF-958D-24D2EA94B219}" scale="95" showGridLines="0" fitToPage="1" hiddenColumns="1" topLeftCell="B1">
      <selection activeCell="B18" sqref="B18"/>
      <pageMargins left="0" right="0" top="0" bottom="0" header="0" footer="0"/>
      <printOptions horizontalCentered="1"/>
      <pageSetup scale="82" orientation="landscape" r:id="rId1"/>
      <headerFooter alignWithMargins="0">
        <oddFooter>&amp;R&amp;A</oddFooter>
      </headerFooter>
    </customSheetView>
    <customSheetView guid="{BEA4BE86-04D1-4C96-9358-7A260B9D2B2D}" showGridLines="0" fitToPage="1" showRuler="0">
      <selection sqref="A1:U1"/>
      <pageMargins left="0" right="0" top="0" bottom="0" header="0" footer="0"/>
      <printOptions horizontalCentered="1"/>
      <pageSetup scale="90" orientation="landscape" horizontalDpi="300" verticalDpi="300" r:id="rId2"/>
      <headerFooter alignWithMargins="0">
        <oddFooter>&amp;R&amp;A</oddFooter>
      </headerFooter>
    </customSheetView>
    <customSheetView guid="{1250FD07-FF56-4A9D-AF9E-C27124A7EBE9}" showGridLines="0" fitToPage="1" showRuler="0">
      <selection sqref="A1:U1"/>
      <pageMargins left="0" right="0" top="0" bottom="0" header="0" footer="0"/>
      <printOptions horizontalCentered="1"/>
      <pageSetup scale="90" orientation="landscape" horizontalDpi="300" verticalDpi="300" r:id="rId3"/>
      <headerFooter alignWithMargins="0">
        <oddFooter>&amp;R&amp;A</oddFooter>
      </headerFooter>
    </customSheetView>
    <customSheetView guid="{B08879A4-635B-4C39-9937-AC7883D562FC}" scale="95" showGridLines="0" fitToPage="1" hiddenColumns="1" topLeftCell="B1">
      <selection activeCell="B18" sqref="B18"/>
      <pageMargins left="0" right="0" top="0" bottom="0" header="0" footer="0"/>
      <printOptions horizontalCentered="1"/>
      <pageSetup scale="82" orientation="landscape" r:id="rId4"/>
      <headerFooter alignWithMargins="0">
        <oddFooter>&amp;R&amp;A</oddFooter>
      </headerFooter>
    </customSheetView>
  </customSheetViews>
  <mergeCells count="31">
    <mergeCell ref="A21:D21"/>
    <mergeCell ref="A19:D19"/>
    <mergeCell ref="A24:D24"/>
    <mergeCell ref="H18:V18"/>
    <mergeCell ref="H21:V21"/>
    <mergeCell ref="A20:D20"/>
    <mergeCell ref="A23:D23"/>
    <mergeCell ref="H20:V20"/>
    <mergeCell ref="H19:V19"/>
    <mergeCell ref="A18:D18"/>
    <mergeCell ref="L25:V25"/>
    <mergeCell ref="H22:V22"/>
    <mergeCell ref="H23:V23"/>
    <mergeCell ref="H24:V24"/>
    <mergeCell ref="A22:D22"/>
    <mergeCell ref="W1:W3"/>
    <mergeCell ref="O5:V5"/>
    <mergeCell ref="O6:V6"/>
    <mergeCell ref="O7:V7"/>
    <mergeCell ref="B1:V1"/>
    <mergeCell ref="B2:V2"/>
    <mergeCell ref="C5:D5"/>
    <mergeCell ref="C6:D6"/>
    <mergeCell ref="B3:V3"/>
    <mergeCell ref="C7:G7"/>
    <mergeCell ref="B15:D15"/>
    <mergeCell ref="H16:V16"/>
    <mergeCell ref="A17:D17"/>
    <mergeCell ref="H15:V15"/>
    <mergeCell ref="A16:D16"/>
    <mergeCell ref="H17:V17"/>
  </mergeCells>
  <phoneticPr fontId="16" type="noConversion"/>
  <conditionalFormatting sqref="W1:W3">
    <cfRule type="cellIs" dxfId="42" priority="1" stopIfTrue="1" operator="equal">
      <formula>"na"</formula>
    </cfRule>
  </conditionalFormatting>
  <dataValidations count="1">
    <dataValidation type="textLength" operator="equal" allowBlank="1" showInputMessage="1" showErrorMessage="1" errorTitle="Invalid data!" error="GASB number must be 4 digits." sqref="C6:D6" xr:uid="{00000000-0002-0000-3A00-000000000000}">
      <formula1>4</formula1>
    </dataValidation>
  </dataValidations>
  <hyperlinks>
    <hyperlink ref="B1:V1" location="Index!A1" display="Index!A1" xr:uid="{00000000-0004-0000-3A00-000000000000}"/>
  </hyperlinks>
  <pageMargins left="0.6" right="0.6" top="0.5" bottom="0.5" header="0.3" footer="0.3"/>
  <pageSetup scale="85" orientation="landscape" r:id="rId5"/>
  <drawing r:id="rId6"/>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8">
    <pageSetUpPr fitToPage="1"/>
  </sheetPr>
  <dimension ref="A1:W99"/>
  <sheetViews>
    <sheetView showGridLines="0" topLeftCell="B1" zoomScaleNormal="100" zoomScaleSheetLayoutView="130" workbookViewId="0">
      <selection activeCell="A2" sqref="A2"/>
    </sheetView>
  </sheetViews>
  <sheetFormatPr defaultRowHeight="12.75" x14ac:dyDescent="0.2"/>
  <cols>
    <col min="1" max="1" width="0" hidden="1" customWidth="1"/>
    <col min="2" max="9" width="3.5703125" customWidth="1"/>
    <col min="10" max="11" width="10.5703125" customWidth="1"/>
    <col min="12" max="12" width="12.42578125" customWidth="1"/>
    <col min="13" max="13" width="10.5703125" customWidth="1"/>
    <col min="14" max="14" width="9.5703125" customWidth="1"/>
    <col min="15" max="21" width="5.42578125" customWidth="1"/>
    <col min="23" max="23" width="41" customWidth="1"/>
    <col min="24" max="24" width="1.5703125" customWidth="1"/>
    <col min="28" max="28" width="25.5703125" customWidth="1"/>
    <col min="29" max="29" width="2" customWidth="1"/>
    <col min="30" max="31" width="11.5703125" customWidth="1"/>
  </cols>
  <sheetData>
    <row r="1" spans="2:21" ht="15" customHeight="1" x14ac:dyDescent="0.25">
      <c r="B1" s="2384" t="str">
        <f>+Index!$A$1</f>
        <v xml:space="preserve">                                                               Office of the State Controller                                                                </v>
      </c>
      <c r="C1" s="2384"/>
      <c r="D1" s="2384"/>
      <c r="E1" s="2384"/>
      <c r="F1" s="2384"/>
      <c r="G1" s="2384"/>
      <c r="H1" s="2384"/>
      <c r="I1" s="2384"/>
      <c r="J1" s="2384"/>
      <c r="K1" s="2384"/>
      <c r="L1" s="2384"/>
      <c r="M1" s="2384"/>
      <c r="N1" s="2384"/>
      <c r="O1" s="2384"/>
      <c r="P1" s="2456" t="str">
        <f>IF(Index!$B$88="na","NA","")</f>
        <v/>
      </c>
      <c r="Q1" s="22"/>
      <c r="R1" s="22"/>
      <c r="S1" s="22"/>
      <c r="T1" s="22"/>
      <c r="U1" s="22"/>
    </row>
    <row r="2" spans="2:21" ht="15" customHeight="1" x14ac:dyDescent="0.25">
      <c r="B2" s="2875" t="str">
        <f>+Index!$A$2</f>
        <v>2023 ACFR Worksheets</v>
      </c>
      <c r="C2" s="2875"/>
      <c r="D2" s="2875"/>
      <c r="E2" s="2875"/>
      <c r="F2" s="2875"/>
      <c r="G2" s="2875"/>
      <c r="H2" s="2875"/>
      <c r="I2" s="2875"/>
      <c r="J2" s="2875"/>
      <c r="K2" s="2875"/>
      <c r="L2" s="2875"/>
      <c r="M2" s="2875"/>
      <c r="N2" s="2875"/>
      <c r="O2" s="2875"/>
      <c r="P2" s="2456"/>
      <c r="Q2" s="23"/>
      <c r="R2" s="23"/>
      <c r="S2" s="23"/>
      <c r="T2" s="23"/>
      <c r="U2" s="23"/>
    </row>
    <row r="3" spans="2:21" ht="15" customHeight="1" x14ac:dyDescent="0.25">
      <c r="B3" s="2876" t="s">
        <v>2072</v>
      </c>
      <c r="C3" s="2876"/>
      <c r="D3" s="2876"/>
      <c r="E3" s="2876"/>
      <c r="F3" s="2876"/>
      <c r="G3" s="2876"/>
      <c r="H3" s="2876"/>
      <c r="I3" s="2876"/>
      <c r="J3" s="2876"/>
      <c r="K3" s="2876"/>
      <c r="L3" s="2876"/>
      <c r="M3" s="2876"/>
      <c r="N3" s="2876"/>
      <c r="O3" s="2876"/>
      <c r="P3" s="2456"/>
      <c r="Q3" s="22"/>
      <c r="R3" s="22"/>
      <c r="S3" s="22"/>
      <c r="T3" s="22"/>
      <c r="U3" s="22"/>
    </row>
    <row r="4" spans="2:21" ht="15" customHeight="1" x14ac:dyDescent="0.25">
      <c r="B4" s="22"/>
      <c r="C4" s="22"/>
      <c r="D4" s="22"/>
      <c r="E4" s="22"/>
      <c r="F4" s="22"/>
      <c r="G4" s="22"/>
      <c r="H4" s="22"/>
      <c r="I4" s="22"/>
      <c r="J4" s="22"/>
      <c r="K4" s="22"/>
      <c r="L4" s="257"/>
      <c r="N4" s="22"/>
      <c r="O4" s="24"/>
      <c r="P4" s="24"/>
      <c r="Q4" s="24"/>
      <c r="R4" s="24"/>
      <c r="S4" s="24"/>
      <c r="T4" s="24"/>
      <c r="U4" s="24"/>
    </row>
    <row r="5" spans="2:21" ht="15" customHeight="1" x14ac:dyDescent="0.25">
      <c r="B5" s="1943" t="s">
        <v>317</v>
      </c>
      <c r="C5" s="2345"/>
      <c r="D5" s="92"/>
      <c r="E5" s="92"/>
      <c r="F5" s="92"/>
      <c r="G5" s="2874" t="str">
        <f>+Index!$E$10</f>
        <v>01</v>
      </c>
      <c r="H5" s="2874"/>
      <c r="I5" s="2874"/>
      <c r="J5" s="2345"/>
      <c r="K5" s="1944" t="s">
        <v>318</v>
      </c>
      <c r="L5" s="2877" t="str">
        <f>+Index!$E$11</f>
        <v>North Carolina General Assembly</v>
      </c>
      <c r="M5" s="2877"/>
      <c r="N5" s="2877"/>
      <c r="O5" s="2877"/>
      <c r="P5" s="1945"/>
      <c r="Q5" s="1945"/>
      <c r="R5" s="1945"/>
      <c r="S5" s="1945"/>
      <c r="T5" s="1945"/>
      <c r="U5" s="1945"/>
    </row>
    <row r="6" spans="2:21" ht="15" customHeight="1" x14ac:dyDescent="0.25">
      <c r="I6" s="25"/>
      <c r="J6" s="2345"/>
      <c r="K6" s="1944" t="s">
        <v>319</v>
      </c>
      <c r="L6" s="2878" t="str">
        <f>CONCATENATE(Index!$E$12," ",Index!$E$14)</f>
        <v xml:space="preserve"> </v>
      </c>
      <c r="M6" s="2878"/>
      <c r="N6" s="2878"/>
      <c r="O6" s="2878"/>
      <c r="P6" s="1945"/>
      <c r="Q6" s="1945"/>
      <c r="R6" s="1945"/>
      <c r="S6" s="1945"/>
      <c r="T6" s="1945"/>
      <c r="U6" s="1945"/>
    </row>
    <row r="7" spans="2:21" ht="15" customHeight="1" x14ac:dyDescent="0.25">
      <c r="B7" s="1946" t="s">
        <v>568</v>
      </c>
      <c r="C7" s="2345"/>
      <c r="D7" s="91"/>
      <c r="E7" s="91"/>
      <c r="F7" s="91"/>
      <c r="G7" s="2873"/>
      <c r="H7" s="2873"/>
      <c r="I7" s="2873"/>
      <c r="J7" s="2345"/>
      <c r="K7" s="1944" t="s">
        <v>71</v>
      </c>
      <c r="L7" s="2879">
        <f>+Index!$E$13</f>
        <v>0</v>
      </c>
      <c r="M7" s="2879"/>
      <c r="N7" s="2879"/>
      <c r="O7" s="2879"/>
      <c r="P7" s="1945"/>
      <c r="Q7" s="1945"/>
      <c r="R7" s="1945"/>
      <c r="S7" s="1945"/>
      <c r="T7" s="1945"/>
      <c r="U7" s="1945"/>
    </row>
    <row r="8" spans="2:21" ht="9" customHeight="1" thickBot="1" x14ac:dyDescent="0.3">
      <c r="B8" s="26"/>
      <c r="C8" s="26"/>
      <c r="D8" s="26"/>
      <c r="E8" s="26"/>
      <c r="F8" s="26"/>
      <c r="G8" s="26"/>
      <c r="H8" s="26"/>
      <c r="I8" s="26"/>
      <c r="J8" s="26"/>
      <c r="K8" s="26"/>
      <c r="L8" s="26"/>
      <c r="M8" s="26"/>
      <c r="N8" s="26"/>
      <c r="O8" s="26"/>
      <c r="P8" s="2345"/>
      <c r="Q8" s="2345"/>
      <c r="R8" s="2345"/>
      <c r="S8" s="2345"/>
      <c r="T8" s="2345"/>
      <c r="U8" s="2345"/>
    </row>
    <row r="9" spans="2:21" ht="9" customHeight="1" x14ac:dyDescent="0.25">
      <c r="B9" s="2345"/>
      <c r="C9" s="2345"/>
      <c r="D9" s="2345"/>
      <c r="E9" s="2345"/>
      <c r="F9" s="2345"/>
      <c r="G9" s="2345"/>
      <c r="H9" s="2345"/>
      <c r="I9" s="2345"/>
      <c r="J9" s="2345"/>
      <c r="K9" s="2345"/>
      <c r="L9" s="2345"/>
      <c r="M9" s="2345"/>
      <c r="N9" s="2345"/>
      <c r="O9" s="2345"/>
      <c r="P9" s="2345"/>
      <c r="Q9" s="2345"/>
      <c r="R9" s="2345"/>
      <c r="S9" s="2345"/>
      <c r="T9" s="2345"/>
      <c r="U9" s="2345"/>
    </row>
    <row r="10" spans="2:21" s="20" customFormat="1" ht="12" customHeight="1" x14ac:dyDescent="0.2">
      <c r="B10" s="376" t="s">
        <v>2073</v>
      </c>
      <c r="C10" s="187"/>
      <c r="D10" s="187"/>
      <c r="E10" s="187"/>
      <c r="F10" s="187"/>
      <c r="G10" s="187"/>
      <c r="H10" s="187"/>
      <c r="I10" s="187"/>
      <c r="J10" s="187"/>
      <c r="K10" s="187"/>
      <c r="L10" s="187"/>
      <c r="M10" s="187"/>
      <c r="N10" s="187"/>
      <c r="O10" s="187"/>
      <c r="P10" s="187"/>
      <c r="Q10" s="187"/>
      <c r="R10" s="187"/>
      <c r="S10" s="187"/>
      <c r="T10" s="187"/>
      <c r="U10" s="187"/>
    </row>
    <row r="11" spans="2:21" s="20" customFormat="1" ht="12" customHeight="1" x14ac:dyDescent="0.2">
      <c r="B11" s="187" t="s">
        <v>2074</v>
      </c>
      <c r="C11" s="187"/>
      <c r="D11" s="187"/>
      <c r="E11" s="187"/>
      <c r="F11" s="187"/>
      <c r="G11" s="187"/>
      <c r="H11" s="187"/>
      <c r="I11" s="187"/>
      <c r="J11" s="187"/>
      <c r="K11" s="187"/>
      <c r="L11" s="187"/>
      <c r="M11" s="187"/>
      <c r="N11" s="187"/>
      <c r="O11" s="187"/>
      <c r="P11" s="187"/>
      <c r="Q11" s="187"/>
      <c r="R11" s="187"/>
      <c r="S11" s="187"/>
      <c r="T11" s="187"/>
      <c r="U11" s="187"/>
    </row>
    <row r="12" spans="2:21" s="20" customFormat="1" ht="12" customHeight="1" x14ac:dyDescent="0.2">
      <c r="B12" s="187" t="s">
        <v>2075</v>
      </c>
      <c r="C12" s="187"/>
      <c r="D12" s="187"/>
      <c r="E12" s="187"/>
      <c r="F12" s="187"/>
      <c r="G12" s="187"/>
      <c r="H12" s="187"/>
      <c r="I12" s="187"/>
      <c r="J12" s="187"/>
      <c r="K12" s="187"/>
      <c r="L12" s="187"/>
      <c r="M12" s="187"/>
      <c r="N12" s="187"/>
      <c r="O12" s="187"/>
      <c r="P12" s="187"/>
      <c r="Q12" s="187"/>
      <c r="R12" s="187"/>
      <c r="S12" s="187"/>
      <c r="T12" s="187"/>
      <c r="U12" s="187"/>
    </row>
    <row r="13" spans="2:21" s="20" customFormat="1" ht="12" customHeight="1" x14ac:dyDescent="0.2">
      <c r="B13" s="187" t="s">
        <v>2076</v>
      </c>
      <c r="C13" s="187"/>
      <c r="D13" s="187"/>
      <c r="E13" s="187"/>
      <c r="F13" s="187"/>
      <c r="G13" s="187"/>
      <c r="H13" s="187"/>
      <c r="I13" s="187"/>
      <c r="J13" s="187"/>
      <c r="K13" s="187"/>
      <c r="L13" s="187"/>
      <c r="M13" s="187"/>
      <c r="N13" s="187"/>
      <c r="O13" s="187"/>
      <c r="P13" s="187"/>
      <c r="Q13" s="187"/>
      <c r="R13" s="187"/>
      <c r="S13" s="187"/>
      <c r="T13" s="187"/>
      <c r="U13" s="187"/>
    </row>
    <row r="14" spans="2:21" s="20" customFormat="1" ht="6" customHeight="1" x14ac:dyDescent="0.2">
      <c r="B14" s="187"/>
      <c r="C14" s="187"/>
      <c r="D14" s="187"/>
      <c r="E14" s="187"/>
      <c r="F14" s="187"/>
      <c r="G14" s="187"/>
      <c r="H14" s="187"/>
      <c r="I14" s="187"/>
      <c r="J14" s="187"/>
      <c r="K14" s="187"/>
      <c r="L14" s="187"/>
      <c r="M14" s="187"/>
      <c r="N14" s="187"/>
      <c r="O14" s="187"/>
      <c r="P14" s="187"/>
      <c r="Q14" s="187"/>
      <c r="R14" s="187"/>
      <c r="S14" s="187"/>
      <c r="T14" s="187"/>
      <c r="U14" s="187"/>
    </row>
    <row r="15" spans="2:21" s="20" customFormat="1" ht="12" customHeight="1" x14ac:dyDescent="0.2">
      <c r="B15" s="376" t="s">
        <v>2077</v>
      </c>
      <c r="C15" s="187"/>
      <c r="D15" s="187"/>
      <c r="E15" s="187"/>
      <c r="F15" s="187"/>
      <c r="G15" s="187"/>
      <c r="H15" s="187"/>
      <c r="I15" s="187"/>
      <c r="J15" s="187"/>
      <c r="K15" s="187"/>
      <c r="L15" s="187"/>
      <c r="M15" s="187"/>
      <c r="N15" s="187"/>
      <c r="O15" s="187"/>
      <c r="P15" s="187"/>
      <c r="Q15" s="187"/>
      <c r="R15" s="187"/>
      <c r="S15" s="187"/>
      <c r="T15" s="187"/>
      <c r="U15" s="187"/>
    </row>
    <row r="16" spans="2:21" s="20" customFormat="1" ht="12" customHeight="1" x14ac:dyDescent="0.2">
      <c r="B16" s="187" t="s">
        <v>2078</v>
      </c>
      <c r="C16" s="187"/>
      <c r="D16" s="187"/>
      <c r="E16" s="187"/>
      <c r="F16" s="187"/>
      <c r="G16" s="187"/>
      <c r="H16" s="187"/>
      <c r="I16" s="187"/>
      <c r="J16" s="187"/>
      <c r="K16" s="187"/>
      <c r="L16" s="187"/>
      <c r="M16" s="187"/>
      <c r="N16" s="187"/>
      <c r="O16" s="187"/>
      <c r="P16" s="187"/>
      <c r="Q16" s="187"/>
      <c r="R16" s="187"/>
      <c r="S16" s="187"/>
      <c r="T16" s="187"/>
      <c r="U16" s="187"/>
    </row>
    <row r="17" spans="2:20" s="20" customFormat="1" ht="12" customHeight="1" x14ac:dyDescent="0.2">
      <c r="B17" s="187" t="s">
        <v>2079</v>
      </c>
      <c r="C17" s="187"/>
      <c r="D17" s="187"/>
      <c r="E17" s="187"/>
      <c r="F17" s="187"/>
      <c r="G17" s="187"/>
      <c r="H17" s="187"/>
      <c r="I17" s="187"/>
      <c r="J17" s="187"/>
      <c r="K17" s="187"/>
      <c r="L17" s="187"/>
      <c r="M17" s="187"/>
      <c r="N17" s="187"/>
      <c r="O17" s="187"/>
      <c r="P17" s="187"/>
      <c r="Q17" s="187"/>
      <c r="R17" s="187"/>
      <c r="S17" s="187"/>
      <c r="T17" s="187"/>
    </row>
    <row r="18" spans="2:20" s="20" customFormat="1" ht="12" customHeight="1" x14ac:dyDescent="0.2">
      <c r="B18" s="187" t="s">
        <v>2080</v>
      </c>
      <c r="C18" s="187"/>
      <c r="D18" s="187"/>
      <c r="E18" s="187"/>
      <c r="F18" s="187"/>
      <c r="G18" s="187"/>
      <c r="H18" s="187"/>
      <c r="I18" s="187"/>
      <c r="J18" s="187"/>
      <c r="K18" s="187"/>
      <c r="L18" s="187"/>
      <c r="M18" s="187"/>
      <c r="N18" s="187"/>
      <c r="O18" s="187"/>
      <c r="P18" s="187"/>
      <c r="Q18" s="187"/>
      <c r="R18" s="187"/>
      <c r="S18" s="187"/>
      <c r="T18" s="187"/>
    </row>
    <row r="19" spans="2:20" s="20" customFormat="1" ht="12" customHeight="1" x14ac:dyDescent="0.2">
      <c r="B19" s="376" t="s">
        <v>2081</v>
      </c>
      <c r="C19" s="187"/>
      <c r="D19" s="187"/>
      <c r="E19" s="187"/>
      <c r="F19" s="187"/>
      <c r="G19" s="187"/>
      <c r="H19" s="187"/>
      <c r="I19" s="187"/>
      <c r="J19" s="187"/>
      <c r="K19" s="187"/>
      <c r="L19" s="187"/>
      <c r="M19" s="187"/>
      <c r="N19" s="187"/>
      <c r="O19" s="187"/>
      <c r="P19" s="187"/>
      <c r="Q19" s="187"/>
      <c r="R19" s="187"/>
      <c r="S19" s="187"/>
      <c r="T19" s="187"/>
    </row>
    <row r="20" spans="2:20" s="20" customFormat="1" ht="12" customHeight="1" x14ac:dyDescent="0.2">
      <c r="B20" s="187"/>
      <c r="C20" s="2871"/>
      <c r="D20" s="2871"/>
      <c r="E20" s="2871"/>
      <c r="F20" s="2871"/>
      <c r="G20" s="2871"/>
      <c r="H20" s="2871"/>
      <c r="I20" s="2871"/>
      <c r="J20" s="2871"/>
      <c r="K20" s="2871"/>
      <c r="L20" s="2871"/>
      <c r="M20" s="2871"/>
      <c r="N20" s="2871"/>
      <c r="O20" s="2871"/>
      <c r="P20" s="187"/>
      <c r="Q20" s="187"/>
      <c r="R20" s="187"/>
      <c r="S20" s="187"/>
      <c r="T20" s="187"/>
    </row>
    <row r="21" spans="2:20" s="20" customFormat="1" ht="12" customHeight="1" x14ac:dyDescent="0.2">
      <c r="B21" s="187"/>
      <c r="C21" s="2872"/>
      <c r="D21" s="2872"/>
      <c r="E21" s="2872"/>
      <c r="F21" s="2872"/>
      <c r="G21" s="2872"/>
      <c r="H21" s="2872"/>
      <c r="I21" s="2872"/>
      <c r="J21" s="2872"/>
      <c r="K21" s="2872"/>
      <c r="L21" s="2872"/>
      <c r="M21" s="2872"/>
      <c r="N21" s="2872"/>
      <c r="O21" s="2872"/>
      <c r="P21" s="187"/>
      <c r="Q21" s="187"/>
      <c r="R21" s="187"/>
      <c r="S21" s="187"/>
      <c r="T21" s="187"/>
    </row>
    <row r="22" spans="2:20" s="20" customFormat="1" ht="6" customHeight="1" x14ac:dyDescent="0.2">
      <c r="B22" s="187"/>
      <c r="C22" s="187"/>
      <c r="D22" s="187"/>
      <c r="E22" s="187"/>
      <c r="F22" s="187"/>
      <c r="G22" s="187"/>
      <c r="H22" s="187"/>
      <c r="I22" s="187"/>
      <c r="J22" s="187"/>
      <c r="K22" s="187"/>
      <c r="L22" s="187"/>
      <c r="M22" s="187"/>
      <c r="N22" s="187"/>
      <c r="O22" s="187"/>
      <c r="P22" s="187"/>
      <c r="Q22" s="187"/>
      <c r="R22" s="187"/>
      <c r="S22" s="187"/>
      <c r="T22" s="187"/>
    </row>
    <row r="23" spans="2:20" s="20" customFormat="1" ht="12" x14ac:dyDescent="0.2">
      <c r="B23" s="376" t="s">
        <v>2082</v>
      </c>
      <c r="C23" s="187"/>
      <c r="D23" s="187"/>
      <c r="E23" s="187"/>
      <c r="F23" s="187"/>
      <c r="G23" s="187"/>
      <c r="H23" s="187"/>
      <c r="I23" s="187"/>
      <c r="J23" s="187"/>
      <c r="K23" s="187"/>
      <c r="L23" s="187"/>
      <c r="M23" s="187"/>
      <c r="N23" s="187"/>
      <c r="O23" s="187"/>
      <c r="P23" s="187"/>
      <c r="Q23" s="187"/>
      <c r="R23" s="187"/>
      <c r="S23" s="187"/>
      <c r="T23" s="187"/>
    </row>
    <row r="24" spans="2:20" s="32" customFormat="1" ht="12" customHeight="1" x14ac:dyDescent="0.2">
      <c r="B24" s="191"/>
      <c r="C24" s="191" t="s">
        <v>2083</v>
      </c>
      <c r="D24" s="191"/>
      <c r="E24" s="191"/>
      <c r="F24" s="191"/>
      <c r="G24" s="191"/>
      <c r="H24" s="191"/>
      <c r="I24" s="191"/>
      <c r="J24" s="191"/>
      <c r="K24" s="191"/>
      <c r="L24" s="191"/>
      <c r="M24" s="191"/>
      <c r="N24" s="191"/>
      <c r="O24" s="191"/>
      <c r="P24" s="191"/>
      <c r="Q24" s="191"/>
      <c r="R24" s="191"/>
      <c r="S24" s="191"/>
      <c r="T24" s="191"/>
    </row>
    <row r="25" spans="2:20" s="32" customFormat="1" ht="10.35" customHeight="1" x14ac:dyDescent="0.2">
      <c r="B25" s="191"/>
      <c r="C25" s="191"/>
      <c r="D25" s="2870" t="s">
        <v>2084</v>
      </c>
      <c r="E25" s="2870"/>
      <c r="F25" s="2870"/>
      <c r="G25" s="2870"/>
      <c r="H25" s="2870"/>
      <c r="I25" s="2870"/>
      <c r="J25" s="2870"/>
      <c r="K25" s="2870"/>
      <c r="L25" s="1947"/>
      <c r="M25" s="191"/>
      <c r="N25" s="191"/>
      <c r="O25" s="191"/>
      <c r="P25" s="191"/>
      <c r="Q25" s="191"/>
      <c r="R25" s="191"/>
      <c r="S25" s="191"/>
      <c r="T25" s="191"/>
    </row>
    <row r="26" spans="2:20" s="32" customFormat="1" ht="10.35" customHeight="1" x14ac:dyDescent="0.2">
      <c r="B26" s="191"/>
      <c r="C26" s="191"/>
      <c r="D26" s="2870" t="s">
        <v>2085</v>
      </c>
      <c r="E26" s="2869"/>
      <c r="F26" s="2869"/>
      <c r="G26" s="2869"/>
      <c r="H26" s="2869"/>
      <c r="I26" s="2869"/>
      <c r="J26" s="2869"/>
      <c r="K26" s="2869"/>
      <c r="L26" s="1947"/>
      <c r="M26" s="191"/>
      <c r="N26" s="191"/>
      <c r="O26" s="191"/>
      <c r="P26" s="191"/>
      <c r="Q26" s="191"/>
      <c r="R26" s="191"/>
      <c r="S26" s="191"/>
      <c r="T26" s="191"/>
    </row>
    <row r="27" spans="2:20" s="32" customFormat="1" ht="10.35" customHeight="1" x14ac:dyDescent="0.2">
      <c r="B27" s="191"/>
      <c r="C27" s="191"/>
      <c r="D27" s="2870" t="s">
        <v>2086</v>
      </c>
      <c r="E27" s="2869"/>
      <c r="F27" s="2869"/>
      <c r="G27" s="2869"/>
      <c r="H27" s="2869"/>
      <c r="I27" s="2869"/>
      <c r="J27" s="2869"/>
      <c r="K27" s="2869"/>
      <c r="L27" s="1947"/>
      <c r="M27" s="191"/>
      <c r="N27" s="191"/>
      <c r="O27" s="191"/>
      <c r="P27" s="191"/>
      <c r="Q27" s="191"/>
      <c r="R27" s="191"/>
      <c r="S27" s="191"/>
      <c r="T27" s="191"/>
    </row>
    <row r="28" spans="2:20" s="32" customFormat="1" ht="10.35" customHeight="1" x14ac:dyDescent="0.2">
      <c r="B28" s="191"/>
      <c r="C28" s="191"/>
      <c r="D28" s="2870" t="s">
        <v>2087</v>
      </c>
      <c r="E28" s="2869"/>
      <c r="F28" s="2869"/>
      <c r="G28" s="2869"/>
      <c r="H28" s="2869"/>
      <c r="I28" s="2869"/>
      <c r="J28" s="2869"/>
      <c r="K28" s="2869"/>
      <c r="L28" s="1947"/>
      <c r="M28" s="191"/>
      <c r="N28" s="191"/>
      <c r="O28" s="191"/>
      <c r="P28" s="191"/>
      <c r="Q28" s="191"/>
      <c r="R28" s="191"/>
      <c r="S28" s="191"/>
      <c r="T28" s="191"/>
    </row>
    <row r="29" spans="2:20" s="32" customFormat="1" ht="10.35" customHeight="1" x14ac:dyDescent="0.2">
      <c r="B29" s="191"/>
      <c r="C29" s="191"/>
      <c r="D29" s="2870" t="s">
        <v>2088</v>
      </c>
      <c r="E29" s="2869"/>
      <c r="F29" s="2869"/>
      <c r="G29" s="2869"/>
      <c r="H29" s="2869"/>
      <c r="I29" s="2869"/>
      <c r="J29" s="2869"/>
      <c r="K29" s="2869"/>
      <c r="L29" s="1947"/>
      <c r="M29" s="191"/>
      <c r="N29" s="191"/>
      <c r="O29" s="191"/>
      <c r="P29" s="191"/>
      <c r="Q29" s="191"/>
      <c r="R29" s="191"/>
      <c r="S29" s="191"/>
      <c r="T29" s="191"/>
    </row>
    <row r="30" spans="2:20" s="32" customFormat="1" ht="10.5" customHeight="1" x14ac:dyDescent="0.2">
      <c r="B30" s="191"/>
      <c r="C30" s="191"/>
      <c r="D30" s="2346"/>
      <c r="E30" s="2870" t="s">
        <v>2089</v>
      </c>
      <c r="F30" s="2869"/>
      <c r="G30" s="2869"/>
      <c r="H30" s="2869"/>
      <c r="I30" s="2869"/>
      <c r="J30" s="2869"/>
      <c r="K30" s="2869"/>
      <c r="L30" s="1948">
        <f>SUM(L25:L29)</f>
        <v>0</v>
      </c>
      <c r="M30" s="191"/>
      <c r="N30" s="191"/>
      <c r="O30" s="191"/>
      <c r="P30" s="191"/>
      <c r="Q30" s="191"/>
      <c r="R30" s="191"/>
      <c r="S30" s="191"/>
      <c r="T30" s="191"/>
    </row>
    <row r="31" spans="2:20" s="32" customFormat="1" ht="10.35" customHeight="1" x14ac:dyDescent="0.2">
      <c r="B31" s="191"/>
      <c r="C31" s="191"/>
      <c r="D31" s="2346"/>
      <c r="E31" s="2343"/>
      <c r="F31" s="2342"/>
      <c r="G31" s="2342"/>
      <c r="H31" s="2342"/>
      <c r="I31" s="2342"/>
      <c r="J31" s="2342"/>
      <c r="K31" s="2342"/>
      <c r="L31" s="1949"/>
      <c r="M31" s="191"/>
      <c r="N31" s="191"/>
      <c r="O31" s="191"/>
      <c r="P31" s="191"/>
      <c r="Q31" s="191"/>
      <c r="R31" s="191"/>
      <c r="S31" s="191"/>
      <c r="T31" s="191"/>
    </row>
    <row r="32" spans="2:20" s="32" customFormat="1" ht="10.35" customHeight="1" x14ac:dyDescent="0.2">
      <c r="B32" s="191"/>
      <c r="C32" s="191" t="s">
        <v>2090</v>
      </c>
      <c r="D32" s="191"/>
      <c r="E32" s="191"/>
      <c r="F32" s="191"/>
      <c r="G32" s="191"/>
      <c r="H32" s="191"/>
      <c r="I32" s="191"/>
      <c r="J32" s="191"/>
      <c r="K32" s="191"/>
      <c r="L32" s="191"/>
      <c r="M32" s="191"/>
      <c r="N32" s="191"/>
      <c r="O32" s="191"/>
      <c r="P32" s="191"/>
      <c r="Q32" s="191"/>
      <c r="R32" s="191"/>
      <c r="S32" s="191"/>
      <c r="T32" s="2377"/>
    </row>
    <row r="33" spans="3:23" s="32" customFormat="1" ht="10.35" customHeight="1" x14ac:dyDescent="0.2">
      <c r="C33" s="191"/>
      <c r="D33" s="2870" t="s">
        <v>2091</v>
      </c>
      <c r="E33" s="2870"/>
      <c r="F33" s="2870"/>
      <c r="G33" s="2870"/>
      <c r="H33" s="2870"/>
      <c r="I33" s="2870"/>
      <c r="J33" s="2870"/>
      <c r="K33" s="2870"/>
      <c r="L33" s="1947"/>
      <c r="M33" s="191"/>
      <c r="N33" s="191"/>
      <c r="O33" s="191"/>
      <c r="P33" s="191"/>
      <c r="Q33" s="191"/>
      <c r="R33" s="191"/>
      <c r="S33" s="191"/>
      <c r="T33" s="2881"/>
      <c r="U33" s="2881"/>
      <c r="V33" s="2881"/>
      <c r="W33" s="2881"/>
    </row>
    <row r="34" spans="3:23" s="32" customFormat="1" ht="10.35" customHeight="1" x14ac:dyDescent="0.2">
      <c r="C34" s="191"/>
      <c r="D34" s="2870" t="s">
        <v>2092</v>
      </c>
      <c r="E34" s="2870"/>
      <c r="F34" s="2870"/>
      <c r="G34" s="2870"/>
      <c r="H34" s="2870"/>
      <c r="I34" s="2870"/>
      <c r="J34" s="2870"/>
      <c r="K34" s="2870"/>
      <c r="L34" s="1947"/>
      <c r="M34" s="191"/>
      <c r="N34" s="191"/>
      <c r="O34" s="191"/>
      <c r="P34" s="191"/>
      <c r="Q34" s="191"/>
      <c r="R34" s="191"/>
      <c r="S34" s="191"/>
      <c r="T34" s="2347"/>
      <c r="U34" s="2347"/>
      <c r="V34" s="2347"/>
      <c r="W34" s="2347"/>
    </row>
    <row r="35" spans="3:23" s="32" customFormat="1" ht="10.35" customHeight="1" x14ac:dyDescent="0.2">
      <c r="C35" s="191"/>
      <c r="D35" s="2870" t="s">
        <v>2093</v>
      </c>
      <c r="E35" s="2870"/>
      <c r="F35" s="2870"/>
      <c r="G35" s="2870"/>
      <c r="H35" s="2870"/>
      <c r="I35" s="2870"/>
      <c r="J35" s="2870"/>
      <c r="K35" s="2870"/>
      <c r="L35" s="1947"/>
      <c r="M35" s="191"/>
      <c r="N35" s="191"/>
      <c r="O35" s="191"/>
      <c r="P35" s="191"/>
      <c r="Q35" s="191"/>
      <c r="R35" s="191"/>
      <c r="S35" s="191"/>
      <c r="T35" s="2347"/>
      <c r="U35" s="2347"/>
      <c r="V35" s="2347"/>
      <c r="W35" s="2347"/>
    </row>
    <row r="36" spans="3:23" s="32" customFormat="1" ht="10.35" customHeight="1" x14ac:dyDescent="0.2">
      <c r="C36" s="191"/>
      <c r="D36" s="2870" t="s">
        <v>2094</v>
      </c>
      <c r="E36" s="2870"/>
      <c r="F36" s="2870"/>
      <c r="G36" s="2870"/>
      <c r="H36" s="2870"/>
      <c r="I36" s="2870"/>
      <c r="J36" s="2870"/>
      <c r="K36" s="2870"/>
      <c r="L36" s="1947"/>
      <c r="M36" s="191"/>
      <c r="N36" s="191"/>
      <c r="O36" s="191"/>
      <c r="P36" s="191"/>
      <c r="Q36" s="191"/>
      <c r="R36" s="191"/>
      <c r="S36" s="191"/>
      <c r="T36" s="2347"/>
      <c r="U36" s="2347"/>
      <c r="V36" s="2347"/>
      <c r="W36" s="2347"/>
    </row>
    <row r="37" spans="3:23" s="32" customFormat="1" ht="10.35" customHeight="1" x14ac:dyDescent="0.2">
      <c r="C37" s="191"/>
      <c r="D37" s="2870" t="s">
        <v>2095</v>
      </c>
      <c r="E37" s="2870"/>
      <c r="F37" s="2870"/>
      <c r="G37" s="2870"/>
      <c r="H37" s="2870"/>
      <c r="I37" s="2870"/>
      <c r="J37" s="2870"/>
      <c r="K37" s="2870"/>
      <c r="L37" s="1947"/>
      <c r="M37" s="191"/>
      <c r="N37" s="191"/>
      <c r="O37" s="191"/>
      <c r="P37" s="191"/>
      <c r="Q37" s="191"/>
      <c r="R37" s="191"/>
      <c r="S37" s="191"/>
      <c r="T37" s="2347"/>
      <c r="U37" s="2347"/>
      <c r="V37" s="2347"/>
      <c r="W37" s="2347"/>
    </row>
    <row r="38" spans="3:23" s="32" customFormat="1" ht="10.35" customHeight="1" x14ac:dyDescent="0.2">
      <c r="C38" s="191"/>
      <c r="D38" s="2870" t="s">
        <v>2096</v>
      </c>
      <c r="E38" s="2870"/>
      <c r="F38" s="2870"/>
      <c r="G38" s="2870"/>
      <c r="H38" s="2870"/>
      <c r="I38" s="2870"/>
      <c r="J38" s="2870"/>
      <c r="K38" s="2870"/>
      <c r="L38" s="1947"/>
      <c r="M38" s="191"/>
      <c r="N38" s="191"/>
      <c r="O38" s="191"/>
      <c r="P38" s="191"/>
      <c r="Q38" s="191"/>
      <c r="R38" s="191"/>
      <c r="S38" s="191"/>
      <c r="T38" s="2347"/>
      <c r="U38" s="2347"/>
      <c r="V38" s="2347"/>
      <c r="W38" s="2347"/>
    </row>
    <row r="39" spans="3:23" s="32" customFormat="1" ht="10.35" customHeight="1" x14ac:dyDescent="0.2">
      <c r="C39" s="191"/>
      <c r="D39" s="2343"/>
      <c r="E39" s="2870" t="s">
        <v>2097</v>
      </c>
      <c r="F39" s="2869"/>
      <c r="G39" s="2869"/>
      <c r="H39" s="2869"/>
      <c r="I39" s="2869"/>
      <c r="J39" s="2869"/>
      <c r="K39" s="2869"/>
      <c r="L39" s="1950">
        <f>SUM(L33:L38)</f>
        <v>0</v>
      </c>
      <c r="M39" s="191"/>
      <c r="N39" s="191"/>
      <c r="O39" s="191"/>
      <c r="P39" s="191"/>
      <c r="Q39" s="191"/>
      <c r="R39" s="191"/>
      <c r="S39" s="191"/>
      <c r="T39" s="2347"/>
      <c r="U39" s="2347"/>
      <c r="V39" s="2347"/>
      <c r="W39" s="2347"/>
    </row>
    <row r="40" spans="3:23" s="32" customFormat="1" ht="9" customHeight="1" x14ac:dyDescent="0.2">
      <c r="C40" s="191"/>
      <c r="D40" s="2343"/>
      <c r="E40" s="2343"/>
      <c r="F40" s="2342"/>
      <c r="G40" s="2342"/>
      <c r="H40" s="2342"/>
      <c r="I40" s="2342"/>
      <c r="J40" s="2342"/>
      <c r="K40" s="2342"/>
      <c r="L40" s="1949"/>
      <c r="M40" s="191"/>
      <c r="N40" s="191"/>
      <c r="O40" s="191"/>
      <c r="P40" s="191"/>
      <c r="Q40" s="191"/>
      <c r="R40" s="191"/>
      <c r="S40" s="191"/>
      <c r="T40" s="2881"/>
      <c r="U40" s="2881"/>
      <c r="V40" s="2881"/>
      <c r="W40" s="2881"/>
    </row>
    <row r="41" spans="3:23" s="32" customFormat="1" ht="10.35" customHeight="1" x14ac:dyDescent="0.2">
      <c r="C41" s="191" t="s">
        <v>2098</v>
      </c>
      <c r="D41" s="191"/>
      <c r="E41" s="191"/>
      <c r="F41" s="191"/>
      <c r="G41" s="191"/>
      <c r="H41" s="191"/>
      <c r="I41" s="191"/>
      <c r="J41" s="191"/>
      <c r="K41" s="191"/>
      <c r="L41" s="1949"/>
      <c r="M41" s="191"/>
      <c r="N41" s="191"/>
      <c r="O41" s="191"/>
      <c r="P41" s="191"/>
      <c r="Q41" s="191"/>
      <c r="R41" s="191"/>
      <c r="S41" s="191"/>
      <c r="T41" s="2881"/>
      <c r="U41" s="2881"/>
      <c r="V41" s="2881"/>
      <c r="W41" s="2881"/>
    </row>
    <row r="42" spans="3:23" s="32" customFormat="1" ht="10.35" customHeight="1" x14ac:dyDescent="0.2">
      <c r="C42" s="191"/>
      <c r="D42" s="2870" t="s">
        <v>2099</v>
      </c>
      <c r="E42" s="2869"/>
      <c r="F42" s="2869"/>
      <c r="G42" s="2869"/>
      <c r="H42" s="2869"/>
      <c r="I42" s="2869"/>
      <c r="J42" s="2869"/>
      <c r="K42" s="2869"/>
      <c r="L42" s="1947"/>
      <c r="M42" s="191"/>
      <c r="N42" s="191"/>
      <c r="O42" s="191"/>
      <c r="P42" s="191"/>
      <c r="Q42" s="191"/>
      <c r="R42" s="191"/>
      <c r="S42" s="191"/>
      <c r="T42" s="2881"/>
      <c r="U42" s="2881"/>
      <c r="V42" s="2881"/>
      <c r="W42" s="2881"/>
    </row>
    <row r="43" spans="3:23" s="32" customFormat="1" ht="10.35" customHeight="1" x14ac:dyDescent="0.2">
      <c r="C43" s="191"/>
      <c r="D43" s="2870" t="s">
        <v>2100</v>
      </c>
      <c r="E43" s="2869"/>
      <c r="F43" s="2869"/>
      <c r="G43" s="2869"/>
      <c r="H43" s="2869"/>
      <c r="I43" s="2869"/>
      <c r="J43" s="2869"/>
      <c r="K43" s="2869"/>
      <c r="L43" s="1947"/>
      <c r="M43" s="191"/>
      <c r="N43" s="191"/>
      <c r="O43" s="191"/>
      <c r="P43" s="191"/>
      <c r="Q43" s="191"/>
      <c r="R43" s="191"/>
      <c r="S43" s="191"/>
      <c r="T43" s="2881"/>
      <c r="U43" s="2881"/>
      <c r="V43" s="2881"/>
      <c r="W43" s="2881"/>
    </row>
    <row r="44" spans="3:23" s="32" customFormat="1" ht="10.35" customHeight="1" x14ac:dyDescent="0.2">
      <c r="C44" s="191"/>
      <c r="D44" s="2870" t="s">
        <v>2101</v>
      </c>
      <c r="E44" s="2869"/>
      <c r="F44" s="2869"/>
      <c r="G44" s="2869"/>
      <c r="H44" s="2869"/>
      <c r="I44" s="2869"/>
      <c r="J44" s="2869"/>
      <c r="K44" s="2869"/>
      <c r="L44" s="1947"/>
      <c r="M44" s="191"/>
      <c r="N44" s="191"/>
      <c r="O44" s="191"/>
      <c r="P44" s="191"/>
      <c r="Q44" s="191"/>
      <c r="R44" s="191"/>
      <c r="S44" s="191"/>
      <c r="T44" s="191"/>
      <c r="U44" s="191"/>
      <c r="V44" s="191"/>
      <c r="W44" s="191"/>
    </row>
    <row r="45" spans="3:23" s="32" customFormat="1" ht="10.35" customHeight="1" x14ac:dyDescent="0.2">
      <c r="C45" s="191"/>
      <c r="D45" s="2870" t="s">
        <v>1807</v>
      </c>
      <c r="E45" s="2869"/>
      <c r="F45" s="2869"/>
      <c r="G45" s="2869"/>
      <c r="H45" s="2869"/>
      <c r="I45" s="2869"/>
      <c r="J45" s="2869"/>
      <c r="K45" s="2869"/>
      <c r="L45" s="1947"/>
      <c r="M45" s="191"/>
      <c r="N45" s="191"/>
      <c r="O45" s="191"/>
      <c r="P45" s="191"/>
      <c r="Q45" s="191"/>
      <c r="R45" s="191"/>
      <c r="S45" s="191"/>
      <c r="T45" s="191"/>
      <c r="U45" s="191"/>
      <c r="V45" s="191"/>
      <c r="W45" s="191"/>
    </row>
    <row r="46" spans="3:23" s="32" customFormat="1" ht="11.25" customHeight="1" x14ac:dyDescent="0.2">
      <c r="C46" s="191"/>
      <c r="D46" s="2346"/>
      <c r="E46" s="2870" t="s">
        <v>2102</v>
      </c>
      <c r="F46" s="2869"/>
      <c r="G46" s="2869"/>
      <c r="H46" s="2869"/>
      <c r="I46" s="2869"/>
      <c r="J46" s="2869"/>
      <c r="K46" s="2869"/>
      <c r="L46" s="1948">
        <f>SUM(L42:L45)</f>
        <v>0</v>
      </c>
      <c r="M46" s="191"/>
      <c r="N46" s="191"/>
      <c r="O46" s="191"/>
      <c r="P46" s="191"/>
      <c r="Q46" s="191"/>
      <c r="R46" s="191"/>
      <c r="S46" s="191"/>
      <c r="T46" s="191"/>
      <c r="U46" s="191"/>
      <c r="V46" s="191"/>
      <c r="W46" s="191"/>
    </row>
    <row r="47" spans="3:23" s="32" customFormat="1" ht="10.35" customHeight="1" x14ac:dyDescent="0.2">
      <c r="C47" s="191"/>
      <c r="D47" s="2346"/>
      <c r="E47" s="2343"/>
      <c r="F47" s="2342"/>
      <c r="G47" s="2342"/>
      <c r="H47" s="2342"/>
      <c r="I47" s="2342"/>
      <c r="J47" s="2342"/>
      <c r="K47" s="2342"/>
      <c r="L47" s="1949"/>
      <c r="M47" s="191"/>
      <c r="N47" s="191"/>
      <c r="O47" s="191"/>
      <c r="P47" s="191"/>
      <c r="Q47" s="191"/>
      <c r="R47" s="191"/>
      <c r="S47" s="191"/>
      <c r="T47" s="191"/>
      <c r="U47" s="191"/>
      <c r="V47" s="191"/>
      <c r="W47" s="191"/>
    </row>
    <row r="48" spans="3:23" s="32" customFormat="1" ht="10.35" customHeight="1" x14ac:dyDescent="0.2">
      <c r="C48" s="191" t="s">
        <v>2103</v>
      </c>
      <c r="D48" s="191"/>
      <c r="E48" s="191"/>
      <c r="F48" s="191"/>
      <c r="G48" s="191"/>
      <c r="H48" s="191"/>
      <c r="I48" s="191"/>
      <c r="J48" s="191"/>
      <c r="K48" s="191"/>
      <c r="L48" s="191"/>
      <c r="M48" s="191"/>
      <c r="N48" s="191"/>
      <c r="O48" s="191"/>
      <c r="P48" s="191"/>
      <c r="Q48" s="191"/>
      <c r="R48" s="191"/>
      <c r="S48" s="191"/>
      <c r="T48" s="2377"/>
      <c r="U48"/>
      <c r="V48"/>
      <c r="W48"/>
    </row>
    <row r="49" spans="3:23" s="32" customFormat="1" ht="10.35" customHeight="1" x14ac:dyDescent="0.2">
      <c r="C49" s="191"/>
      <c r="D49" s="2870" t="s">
        <v>2104</v>
      </c>
      <c r="E49" s="2870"/>
      <c r="F49" s="2870"/>
      <c r="G49" s="2870"/>
      <c r="H49" s="2870"/>
      <c r="I49" s="2870"/>
      <c r="J49" s="2870"/>
      <c r="K49" s="2870"/>
      <c r="L49" s="1947"/>
      <c r="M49" s="191"/>
      <c r="N49" s="191"/>
      <c r="O49" s="191"/>
      <c r="P49" s="191"/>
      <c r="Q49" s="191"/>
      <c r="R49" s="191"/>
      <c r="S49" s="191"/>
      <c r="T49" s="2881"/>
      <c r="U49" s="2881"/>
      <c r="V49" s="2881"/>
      <c r="W49" s="2881"/>
    </row>
    <row r="50" spans="3:23" s="32" customFormat="1" ht="10.35" customHeight="1" x14ac:dyDescent="0.2">
      <c r="C50" s="191"/>
      <c r="D50" s="2870" t="s">
        <v>2105</v>
      </c>
      <c r="E50" s="2870"/>
      <c r="F50" s="2870"/>
      <c r="G50" s="2870"/>
      <c r="H50" s="2870"/>
      <c r="I50" s="2870"/>
      <c r="J50" s="2870"/>
      <c r="K50" s="2870"/>
      <c r="L50" s="1947"/>
      <c r="M50" s="191"/>
      <c r="N50" s="191"/>
      <c r="O50" s="191"/>
      <c r="P50" s="191"/>
      <c r="Q50" s="191"/>
      <c r="R50" s="191"/>
      <c r="S50" s="191"/>
      <c r="T50" s="2881"/>
      <c r="U50" s="2881"/>
      <c r="V50" s="2881"/>
      <c r="W50" s="2881"/>
    </row>
    <row r="51" spans="3:23" s="32" customFormat="1" ht="10.35" customHeight="1" x14ac:dyDescent="0.2">
      <c r="C51" s="191"/>
      <c r="D51" s="2870" t="s">
        <v>2106</v>
      </c>
      <c r="E51" s="2870"/>
      <c r="F51" s="2870"/>
      <c r="G51" s="2870"/>
      <c r="H51" s="2870"/>
      <c r="I51" s="2870"/>
      <c r="J51" s="2870"/>
      <c r="K51" s="2870"/>
      <c r="L51" s="1947"/>
      <c r="M51" s="191"/>
      <c r="N51" s="191"/>
      <c r="O51" s="191"/>
      <c r="P51" s="191"/>
      <c r="Q51" s="191"/>
      <c r="R51" s="191"/>
      <c r="S51" s="191"/>
      <c r="T51" s="2347"/>
      <c r="U51" s="2347"/>
      <c r="V51" s="2347"/>
      <c r="W51" s="2347"/>
    </row>
    <row r="52" spans="3:23" s="32" customFormat="1" ht="10.35" customHeight="1" x14ac:dyDescent="0.2">
      <c r="C52" s="191"/>
      <c r="D52" s="2870" t="s">
        <v>2107</v>
      </c>
      <c r="E52" s="2870"/>
      <c r="F52" s="2870"/>
      <c r="G52" s="2870"/>
      <c r="H52" s="2870"/>
      <c r="I52" s="2870"/>
      <c r="J52" s="2870"/>
      <c r="K52" s="2870"/>
      <c r="L52" s="1947"/>
      <c r="M52" s="191"/>
      <c r="N52" s="191"/>
      <c r="O52" s="191"/>
      <c r="P52" s="191"/>
      <c r="Q52" s="191"/>
      <c r="R52" s="191"/>
      <c r="S52" s="191"/>
      <c r="T52" s="2347"/>
      <c r="U52" s="2347"/>
      <c r="V52" s="2347"/>
      <c r="W52" s="2347"/>
    </row>
    <row r="53" spans="3:23" s="32" customFormat="1" ht="10.35" customHeight="1" x14ac:dyDescent="0.2">
      <c r="C53" s="191"/>
      <c r="D53" s="2870" t="s">
        <v>2108</v>
      </c>
      <c r="E53" s="2870"/>
      <c r="F53" s="2870"/>
      <c r="G53" s="2870"/>
      <c r="H53" s="2870"/>
      <c r="I53" s="2870"/>
      <c r="J53" s="2870"/>
      <c r="K53" s="2870"/>
      <c r="L53" s="1947"/>
      <c r="M53" s="191"/>
      <c r="N53" s="191"/>
      <c r="O53" s="191"/>
      <c r="P53" s="191"/>
      <c r="Q53" s="191"/>
      <c r="R53" s="191"/>
      <c r="S53" s="191"/>
      <c r="T53" s="2347"/>
      <c r="U53" s="2347"/>
      <c r="V53" s="2347"/>
      <c r="W53" s="2347"/>
    </row>
    <row r="54" spans="3:23" s="32" customFormat="1" ht="10.35" customHeight="1" x14ac:dyDescent="0.2">
      <c r="C54" s="191"/>
      <c r="D54" s="2870" t="s">
        <v>2109</v>
      </c>
      <c r="E54" s="2870"/>
      <c r="F54" s="2870"/>
      <c r="G54" s="2870"/>
      <c r="H54" s="2870"/>
      <c r="I54" s="2870"/>
      <c r="J54" s="2870"/>
      <c r="K54" s="2870"/>
      <c r="L54" s="1947"/>
      <c r="M54" s="191"/>
      <c r="N54" s="191"/>
      <c r="O54" s="191"/>
      <c r="P54" s="191"/>
      <c r="Q54" s="191"/>
      <c r="R54" s="191"/>
      <c r="S54" s="191"/>
      <c r="T54" s="2347"/>
      <c r="U54" s="2347"/>
      <c r="V54" s="2347"/>
      <c r="W54" s="2347"/>
    </row>
    <row r="55" spans="3:23" s="32" customFormat="1" ht="10.35" customHeight="1" x14ac:dyDescent="0.2">
      <c r="C55" s="191"/>
      <c r="D55" s="2870" t="s">
        <v>2110</v>
      </c>
      <c r="E55" s="2870"/>
      <c r="F55" s="2870"/>
      <c r="G55" s="2870"/>
      <c r="H55" s="2870"/>
      <c r="I55" s="2870"/>
      <c r="J55" s="2870"/>
      <c r="K55" s="2870"/>
      <c r="L55" s="1947"/>
      <c r="M55" s="191"/>
      <c r="N55" s="191"/>
      <c r="O55" s="191"/>
      <c r="P55" s="191"/>
      <c r="Q55" s="191"/>
      <c r="R55" s="191"/>
      <c r="S55" s="191"/>
      <c r="T55" s="2347"/>
      <c r="U55" s="2347"/>
      <c r="V55" s="2347"/>
      <c r="W55" s="2347"/>
    </row>
    <row r="56" spans="3:23" s="32" customFormat="1" ht="10.35" customHeight="1" x14ac:dyDescent="0.2">
      <c r="C56" s="191"/>
      <c r="D56" s="2870" t="s">
        <v>2111</v>
      </c>
      <c r="E56" s="2870"/>
      <c r="F56" s="2870"/>
      <c r="G56" s="2870"/>
      <c r="H56" s="2870"/>
      <c r="I56" s="2870"/>
      <c r="J56" s="2870"/>
      <c r="K56" s="2870"/>
      <c r="L56" s="1947"/>
      <c r="M56" s="191"/>
      <c r="N56" s="191"/>
      <c r="O56" s="191"/>
      <c r="P56" s="191"/>
      <c r="Q56" s="191"/>
      <c r="R56" s="191"/>
      <c r="S56" s="191"/>
      <c r="T56" s="2347"/>
      <c r="U56" s="2347"/>
      <c r="V56" s="2347"/>
      <c r="W56" s="2347"/>
    </row>
    <row r="57" spans="3:23" s="32" customFormat="1" ht="10.35" customHeight="1" x14ac:dyDescent="0.2">
      <c r="C57" s="191"/>
      <c r="D57" s="2870" t="s">
        <v>2112</v>
      </c>
      <c r="E57" s="2870"/>
      <c r="F57" s="2870"/>
      <c r="G57" s="2870"/>
      <c r="H57" s="2870"/>
      <c r="I57" s="2870"/>
      <c r="J57" s="2870"/>
      <c r="K57" s="2870"/>
      <c r="L57" s="1947"/>
      <c r="M57" s="191"/>
      <c r="N57" s="191"/>
      <c r="O57" s="191"/>
      <c r="P57" s="191"/>
      <c r="Q57" s="191"/>
      <c r="R57" s="191"/>
      <c r="S57" s="191"/>
      <c r="T57" s="2347"/>
      <c r="U57" s="2347"/>
      <c r="V57" s="2347"/>
      <c r="W57" s="2347"/>
    </row>
    <row r="58" spans="3:23" s="32" customFormat="1" ht="11.25" customHeight="1" x14ac:dyDescent="0.2">
      <c r="C58" s="191"/>
      <c r="D58" s="2346"/>
      <c r="E58" s="2870" t="s">
        <v>2113</v>
      </c>
      <c r="F58" s="2869"/>
      <c r="G58" s="2869"/>
      <c r="H58" s="2869"/>
      <c r="I58" s="2869"/>
      <c r="J58" s="2869"/>
      <c r="K58" s="2869"/>
      <c r="L58" s="1950">
        <f>SUM(L49:L57)</f>
        <v>0</v>
      </c>
      <c r="M58" s="191"/>
      <c r="N58" s="191"/>
      <c r="O58" s="191"/>
      <c r="P58" s="191"/>
      <c r="Q58" s="191"/>
      <c r="R58" s="191"/>
      <c r="S58" s="191"/>
      <c r="T58" s="2881"/>
      <c r="U58" s="2881"/>
      <c r="V58" s="2881"/>
      <c r="W58" s="2881"/>
    </row>
    <row r="59" spans="3:23" s="32" customFormat="1" ht="10.35" customHeight="1" x14ac:dyDescent="0.2">
      <c r="C59" s="191"/>
      <c r="D59" s="2346"/>
      <c r="E59" s="2343"/>
      <c r="F59" s="2342"/>
      <c r="G59" s="2342"/>
      <c r="H59" s="2342"/>
      <c r="I59" s="2342"/>
      <c r="J59" s="2342"/>
      <c r="K59" s="2342"/>
      <c r="L59" s="1951"/>
      <c r="M59" s="191"/>
      <c r="N59" s="191"/>
      <c r="O59" s="191"/>
      <c r="P59" s="191"/>
      <c r="Q59" s="191"/>
      <c r="R59" s="191"/>
      <c r="S59" s="191"/>
      <c r="T59" s="2881"/>
      <c r="U59" s="2881"/>
      <c r="V59" s="2881"/>
      <c r="W59" s="2881"/>
    </row>
    <row r="60" spans="3:23" s="32" customFormat="1" ht="10.35" customHeight="1" x14ac:dyDescent="0.2">
      <c r="C60" s="191" t="s">
        <v>2114</v>
      </c>
      <c r="D60" s="191"/>
      <c r="E60" s="191"/>
      <c r="F60" s="191"/>
      <c r="G60" s="191"/>
      <c r="H60" s="191"/>
      <c r="I60" s="191"/>
      <c r="J60" s="191"/>
      <c r="K60" s="191"/>
      <c r="L60" s="1951"/>
      <c r="M60" s="191"/>
      <c r="N60" s="191"/>
      <c r="O60" s="191"/>
      <c r="P60" s="191"/>
      <c r="Q60" s="191"/>
      <c r="R60" s="191"/>
      <c r="S60" s="191"/>
      <c r="T60" s="2881"/>
      <c r="U60" s="2881"/>
      <c r="V60" s="2881"/>
      <c r="W60" s="2881"/>
    </row>
    <row r="61" spans="3:23" s="32" customFormat="1" ht="10.35" customHeight="1" x14ac:dyDescent="0.2">
      <c r="C61" s="191"/>
      <c r="D61" s="2870" t="s">
        <v>1810</v>
      </c>
      <c r="E61" s="2869"/>
      <c r="F61" s="2869"/>
      <c r="G61" s="2869"/>
      <c r="H61" s="2869"/>
      <c r="I61" s="2869"/>
      <c r="J61" s="2869"/>
      <c r="K61" s="2869"/>
      <c r="L61" s="1947"/>
      <c r="M61" s="191"/>
      <c r="N61" s="191"/>
      <c r="O61" s="191"/>
      <c r="P61" s="191"/>
      <c r="Q61" s="191"/>
      <c r="R61" s="191"/>
      <c r="S61" s="191"/>
      <c r="T61" s="2881"/>
      <c r="U61" s="2881"/>
      <c r="V61" s="2881"/>
      <c r="W61" s="2881"/>
    </row>
    <row r="62" spans="3:23" s="32" customFormat="1" ht="10.35" customHeight="1" x14ac:dyDescent="0.2">
      <c r="C62" s="191"/>
      <c r="D62" s="2870" t="s">
        <v>1615</v>
      </c>
      <c r="E62" s="2869"/>
      <c r="F62" s="2869"/>
      <c r="G62" s="2869"/>
      <c r="H62" s="2869"/>
      <c r="I62" s="2869"/>
      <c r="J62" s="2869"/>
      <c r="K62" s="2869"/>
      <c r="L62" s="1947"/>
      <c r="M62" s="191"/>
      <c r="N62" s="191"/>
      <c r="O62" s="191"/>
      <c r="P62" s="191"/>
      <c r="Q62" s="191"/>
      <c r="R62" s="191"/>
      <c r="S62" s="191"/>
      <c r="T62" s="2881"/>
      <c r="U62" s="2881"/>
      <c r="V62" s="2881"/>
      <c r="W62" s="2881"/>
    </row>
    <row r="63" spans="3:23" s="32" customFormat="1" ht="10.35" customHeight="1" x14ac:dyDescent="0.2">
      <c r="C63" s="191"/>
      <c r="D63" s="2870" t="s">
        <v>1629</v>
      </c>
      <c r="E63" s="2869"/>
      <c r="F63" s="2869"/>
      <c r="G63" s="2869"/>
      <c r="H63" s="2869"/>
      <c r="I63" s="2869"/>
      <c r="J63" s="2869"/>
      <c r="K63" s="2869"/>
      <c r="L63" s="1947"/>
      <c r="M63" s="191"/>
      <c r="N63" s="191"/>
      <c r="O63" s="191"/>
      <c r="P63" s="191"/>
      <c r="Q63" s="191"/>
      <c r="R63" s="191"/>
      <c r="S63" s="191"/>
      <c r="T63" s="191"/>
      <c r="U63" s="191"/>
      <c r="V63" s="191"/>
      <c r="W63" s="191"/>
    </row>
    <row r="64" spans="3:23" s="32" customFormat="1" ht="12" customHeight="1" thickBot="1" x14ac:dyDescent="0.25">
      <c r="C64" s="2880" t="s">
        <v>2115</v>
      </c>
      <c r="D64" s="2880"/>
      <c r="E64" s="2880"/>
      <c r="F64" s="2880"/>
      <c r="G64" s="2880"/>
      <c r="H64" s="2880"/>
      <c r="I64" s="2880"/>
      <c r="J64" s="2880"/>
      <c r="K64" s="191"/>
      <c r="L64" s="1952">
        <f>SUM(L61:L63)</f>
        <v>0</v>
      </c>
      <c r="M64" s="191"/>
      <c r="N64" s="191"/>
      <c r="O64" s="191"/>
      <c r="P64" s="191"/>
      <c r="Q64" s="191"/>
      <c r="R64" s="191"/>
      <c r="S64" s="191"/>
      <c r="T64" s="191"/>
      <c r="U64" s="191"/>
      <c r="V64" s="191"/>
      <c r="W64" s="191"/>
    </row>
    <row r="65" spans="2:12" s="32" customFormat="1" ht="10.35" customHeight="1" thickTop="1" x14ac:dyDescent="0.2">
      <c r="B65" s="191"/>
      <c r="C65" s="2346"/>
      <c r="D65" s="2346"/>
      <c r="E65" s="2346"/>
      <c r="F65" s="2346"/>
      <c r="G65" s="2346"/>
      <c r="H65" s="2346"/>
      <c r="I65" s="2346"/>
      <c r="J65" s="2346"/>
      <c r="K65" s="191"/>
      <c r="L65" s="1949"/>
    </row>
    <row r="66" spans="2:12" s="32" customFormat="1" ht="10.35" customHeight="1" x14ac:dyDescent="0.2">
      <c r="B66" s="191" t="s">
        <v>2116</v>
      </c>
      <c r="C66" s="2346"/>
      <c r="D66" s="2346"/>
      <c r="E66" s="2346"/>
      <c r="F66" s="2346"/>
      <c r="G66" s="2346"/>
      <c r="H66" s="2346"/>
      <c r="I66" s="2346"/>
      <c r="J66" s="2346"/>
      <c r="K66" s="191"/>
      <c r="L66" s="834" t="str">
        <f>IF(ROUND(L30+L39-L46-L58=L64,2),"In bal.","Out of bal.")</f>
        <v>In bal.</v>
      </c>
    </row>
    <row r="67" spans="2:12" s="20" customFormat="1" ht="6" customHeight="1" x14ac:dyDescent="0.2">
      <c r="B67" s="187"/>
      <c r="C67" s="1953"/>
      <c r="D67" s="187"/>
      <c r="E67" s="187"/>
      <c r="F67" s="187"/>
      <c r="G67" s="187"/>
      <c r="H67" s="187"/>
      <c r="I67" s="187"/>
      <c r="J67" s="187"/>
      <c r="K67" s="187"/>
      <c r="L67" s="1954"/>
    </row>
    <row r="68" spans="2:12" s="20" customFormat="1" ht="12" x14ac:dyDescent="0.2">
      <c r="B68" s="376" t="s">
        <v>2117</v>
      </c>
      <c r="C68" s="187"/>
      <c r="D68" s="187"/>
      <c r="E68" s="187"/>
      <c r="F68" s="187"/>
      <c r="G68" s="187"/>
      <c r="H68" s="187"/>
      <c r="I68" s="187"/>
      <c r="J68" s="187"/>
      <c r="K68" s="187"/>
      <c r="L68" s="1954"/>
    </row>
    <row r="69" spans="2:12" s="32" customFormat="1" ht="11.25" customHeight="1" x14ac:dyDescent="0.2">
      <c r="B69" s="191"/>
      <c r="C69" s="2869" t="s">
        <v>2118</v>
      </c>
      <c r="D69" s="2869"/>
      <c r="E69" s="2869"/>
      <c r="F69" s="2869"/>
      <c r="G69" s="2869"/>
      <c r="H69" s="2869"/>
      <c r="I69" s="2869"/>
      <c r="J69" s="2869"/>
      <c r="K69" s="2869"/>
      <c r="L69" s="1947"/>
    </row>
    <row r="70" spans="2:12" s="32" customFormat="1" ht="10.35" customHeight="1" x14ac:dyDescent="0.2">
      <c r="B70" s="191"/>
      <c r="C70" s="2869" t="s">
        <v>2119</v>
      </c>
      <c r="D70" s="2869"/>
      <c r="E70" s="2869"/>
      <c r="F70" s="2869"/>
      <c r="G70" s="2869"/>
      <c r="H70" s="2869"/>
      <c r="I70" s="2869"/>
      <c r="J70" s="2869"/>
      <c r="K70" s="2869"/>
      <c r="L70" s="1947"/>
    </row>
    <row r="71" spans="2:12" s="32" customFormat="1" ht="10.35" customHeight="1" x14ac:dyDescent="0.2">
      <c r="B71" s="191"/>
      <c r="C71" s="2869" t="s">
        <v>2120</v>
      </c>
      <c r="D71" s="2869"/>
      <c r="E71" s="2869"/>
      <c r="F71" s="2869"/>
      <c r="G71" s="2869"/>
      <c r="H71" s="2869"/>
      <c r="I71" s="2869"/>
      <c r="J71" s="2869"/>
      <c r="K71" s="2869"/>
      <c r="L71" s="1947"/>
    </row>
    <row r="72" spans="2:12" s="32" customFormat="1" ht="10.35" customHeight="1" x14ac:dyDescent="0.2">
      <c r="B72" s="191"/>
      <c r="C72" s="2869" t="s">
        <v>2121</v>
      </c>
      <c r="D72" s="2869"/>
      <c r="E72" s="2869"/>
      <c r="F72" s="2869"/>
      <c r="G72" s="2869"/>
      <c r="H72" s="2869"/>
      <c r="I72" s="2869"/>
      <c r="J72" s="2869"/>
      <c r="K72" s="2869"/>
      <c r="L72" s="1947"/>
    </row>
    <row r="73" spans="2:12" s="32" customFormat="1" ht="10.35" customHeight="1" x14ac:dyDescent="0.2">
      <c r="B73" s="191"/>
      <c r="C73" s="191"/>
      <c r="D73" s="2870" t="s">
        <v>2122</v>
      </c>
      <c r="E73" s="2870"/>
      <c r="F73" s="2870"/>
      <c r="G73" s="2870"/>
      <c r="H73" s="2870"/>
      <c r="I73" s="2870"/>
      <c r="J73" s="2870"/>
      <c r="K73" s="2870"/>
      <c r="L73" s="1948">
        <f>SUM(L69:L72)</f>
        <v>0</v>
      </c>
    </row>
    <row r="74" spans="2:12" s="32" customFormat="1" ht="10.35" customHeight="1" x14ac:dyDescent="0.2">
      <c r="B74" s="191"/>
      <c r="C74" s="191" t="s">
        <v>2123</v>
      </c>
      <c r="D74" s="191"/>
      <c r="E74" s="191"/>
      <c r="F74" s="191"/>
      <c r="G74" s="191"/>
      <c r="H74" s="191"/>
      <c r="I74" s="191"/>
      <c r="J74" s="191"/>
      <c r="K74" s="191"/>
      <c r="L74" s="1949"/>
    </row>
    <row r="75" spans="2:12" s="32" customFormat="1" ht="10.35" customHeight="1" x14ac:dyDescent="0.2">
      <c r="B75" s="191"/>
      <c r="C75" s="191"/>
      <c r="D75" s="2869" t="s">
        <v>2124</v>
      </c>
      <c r="E75" s="2869"/>
      <c r="F75" s="2869"/>
      <c r="G75" s="2869"/>
      <c r="H75" s="2869"/>
      <c r="I75" s="2869"/>
      <c r="J75" s="2869"/>
      <c r="K75" s="2869"/>
      <c r="L75" s="1947"/>
    </row>
    <row r="76" spans="2:12" s="32" customFormat="1" ht="10.35" customHeight="1" x14ac:dyDescent="0.2">
      <c r="B76" s="191"/>
      <c r="C76" s="191"/>
      <c r="D76" s="2869" t="s">
        <v>2125</v>
      </c>
      <c r="E76" s="2869"/>
      <c r="F76" s="2869"/>
      <c r="G76" s="2869"/>
      <c r="H76" s="2869"/>
      <c r="I76" s="2869"/>
      <c r="J76" s="2869"/>
      <c r="K76" s="2869"/>
      <c r="L76" s="1947"/>
    </row>
    <row r="77" spans="2:12" s="32" customFormat="1" ht="10.35" customHeight="1" x14ac:dyDescent="0.2">
      <c r="B77" s="191"/>
      <c r="C77" s="191"/>
      <c r="D77" s="2869" t="s">
        <v>2126</v>
      </c>
      <c r="E77" s="2869"/>
      <c r="F77" s="2869"/>
      <c r="G77" s="2869"/>
      <c r="H77" s="2869"/>
      <c r="I77" s="2869"/>
      <c r="J77" s="2869"/>
      <c r="K77" s="2869"/>
      <c r="L77" s="1947"/>
    </row>
    <row r="78" spans="2:12" s="32" customFormat="1" ht="10.35" customHeight="1" x14ac:dyDescent="0.2">
      <c r="B78" s="191"/>
      <c r="C78" s="2869" t="s">
        <v>2127</v>
      </c>
      <c r="D78" s="2869"/>
      <c r="E78" s="2869"/>
      <c r="F78" s="2869"/>
      <c r="G78" s="2869"/>
      <c r="H78" s="2869"/>
      <c r="I78" s="2869"/>
      <c r="J78" s="2869"/>
      <c r="K78" s="2869"/>
      <c r="L78" s="1947"/>
    </row>
    <row r="79" spans="2:12" s="32" customFormat="1" ht="10.35" customHeight="1" x14ac:dyDescent="0.2">
      <c r="B79" s="191"/>
      <c r="C79" s="2869" t="s">
        <v>2128</v>
      </c>
      <c r="D79" s="2869"/>
      <c r="E79" s="2869"/>
      <c r="F79" s="2869"/>
      <c r="G79" s="2869"/>
      <c r="H79" s="2869"/>
      <c r="I79" s="2869"/>
      <c r="J79" s="2869"/>
      <c r="K79" s="2869"/>
      <c r="L79" s="1947"/>
    </row>
    <row r="80" spans="2:12" s="32" customFormat="1" ht="10.35" customHeight="1" x14ac:dyDescent="0.2">
      <c r="B80" s="191"/>
      <c r="C80" s="2869" t="s">
        <v>2129</v>
      </c>
      <c r="D80" s="2869"/>
      <c r="E80" s="2869"/>
      <c r="F80" s="2869"/>
      <c r="G80" s="2869"/>
      <c r="H80" s="2869"/>
      <c r="I80" s="2869"/>
      <c r="J80" s="2869"/>
      <c r="K80" s="2869"/>
      <c r="L80" s="1947"/>
    </row>
    <row r="81" spans="1:12" s="32" customFormat="1" ht="10.35" customHeight="1" x14ac:dyDescent="0.2">
      <c r="A81" s="191"/>
      <c r="B81" s="191"/>
      <c r="C81" s="2869" t="s">
        <v>2130</v>
      </c>
      <c r="D81" s="2869"/>
      <c r="E81" s="2869"/>
      <c r="F81" s="2869"/>
      <c r="G81" s="2869"/>
      <c r="H81" s="2869"/>
      <c r="I81" s="2869"/>
      <c r="J81" s="2869"/>
      <c r="K81" s="2869"/>
      <c r="L81" s="1947"/>
    </row>
    <row r="82" spans="1:12" s="32" customFormat="1" ht="10.35" customHeight="1" x14ac:dyDescent="0.2">
      <c r="A82" s="191"/>
      <c r="B82" s="191"/>
      <c r="C82" s="2869" t="s">
        <v>2131</v>
      </c>
      <c r="D82" s="2869"/>
      <c r="E82" s="2869"/>
      <c r="F82" s="2869"/>
      <c r="G82" s="2869"/>
      <c r="H82" s="2869"/>
      <c r="I82" s="2869"/>
      <c r="J82" s="2869"/>
      <c r="K82" s="2869"/>
      <c r="L82" s="1947"/>
    </row>
    <row r="83" spans="1:12" s="32" customFormat="1" ht="10.35" customHeight="1" x14ac:dyDescent="0.2">
      <c r="A83" s="191"/>
      <c r="B83" s="191"/>
      <c r="C83" s="2870" t="s">
        <v>2132</v>
      </c>
      <c r="D83" s="2870"/>
      <c r="E83" s="2870"/>
      <c r="F83" s="2870"/>
      <c r="G83" s="2870"/>
      <c r="H83" s="2870"/>
      <c r="I83" s="2870"/>
      <c r="J83" s="2870"/>
      <c r="K83" s="2870"/>
      <c r="L83" s="1948">
        <f>SUM(L73:L82)</f>
        <v>0</v>
      </c>
    </row>
    <row r="84" spans="1:12" s="32" customFormat="1" ht="10.35" customHeight="1" x14ac:dyDescent="0.2">
      <c r="A84" s="191"/>
      <c r="B84" s="191"/>
      <c r="C84" s="2869" t="s">
        <v>2133</v>
      </c>
      <c r="D84" s="2869"/>
      <c r="E84" s="2869"/>
      <c r="F84" s="2869"/>
      <c r="G84" s="2869"/>
      <c r="H84" s="2869"/>
      <c r="I84" s="2869"/>
      <c r="J84" s="2869"/>
      <c r="K84" s="2869"/>
      <c r="L84" s="1947"/>
    </row>
    <row r="85" spans="1:12" s="32" customFormat="1" ht="14.25" customHeight="1" thickBot="1" x14ac:dyDescent="0.25">
      <c r="A85" s="191"/>
      <c r="B85" s="191"/>
      <c r="C85" s="2869" t="s">
        <v>2134</v>
      </c>
      <c r="D85" s="2869"/>
      <c r="E85" s="2869"/>
      <c r="F85" s="2869"/>
      <c r="G85" s="2869"/>
      <c r="H85" s="2869"/>
      <c r="I85" s="2869"/>
      <c r="J85" s="2869"/>
      <c r="K85" s="2869"/>
      <c r="L85" s="1952">
        <f>SUM(L83:L84)</f>
        <v>0</v>
      </c>
    </row>
    <row r="86" spans="1:12" s="20" customFormat="1" ht="6" customHeight="1" thickTop="1" x14ac:dyDescent="0.2">
      <c r="A86" s="187"/>
      <c r="B86" s="187"/>
      <c r="C86" s="187"/>
      <c r="D86" s="187"/>
      <c r="E86" s="187"/>
      <c r="F86" s="187"/>
      <c r="G86" s="187"/>
      <c r="H86" s="187"/>
      <c r="I86" s="187"/>
      <c r="J86" s="187"/>
      <c r="K86" s="187"/>
      <c r="L86" s="1954"/>
    </row>
    <row r="87" spans="1:12" x14ac:dyDescent="0.2">
      <c r="B87" s="159" t="s">
        <v>2135</v>
      </c>
      <c r="L87" s="834" t="str">
        <f>IF(ROUND(L64-L85=0,2),"OK","Error")</f>
        <v>OK</v>
      </c>
    </row>
    <row r="89" spans="1:12" ht="15" x14ac:dyDescent="0.2">
      <c r="A89" s="445" t="str">
        <f ca="1">MID(CELL("filename",A68),FIND("]",CELL("filename",A68))+1,256)</f>
        <v>635</v>
      </c>
      <c r="B89" s="445" t="s">
        <v>636</v>
      </c>
    </row>
    <row r="90" spans="1:12" ht="15" x14ac:dyDescent="0.2">
      <c r="A90" s="445" t="s">
        <v>380</v>
      </c>
      <c r="B90" s="445" t="str">
        <f t="shared" ref="B90:B99" ca="1" si="0">IF(ISNA(INDEX(ErrorTable,MATCH($A$89&amp;$A90&amp;FALSE,ErrorKey,0),6)),"",INDEX(ErrorTable,MATCH($A$89&amp;$A90&amp;FALSE,ErrorKey,0),6))</f>
        <v>GASB number is blank.</v>
      </c>
    </row>
    <row r="91" spans="1:12" ht="15" x14ac:dyDescent="0.2">
      <c r="A91" s="445" t="s">
        <v>381</v>
      </c>
      <c r="B91" s="445" t="str">
        <f t="shared" ca="1" si="0"/>
        <v/>
      </c>
    </row>
    <row r="92" spans="1:12" ht="15" x14ac:dyDescent="0.2">
      <c r="A92" s="445" t="s">
        <v>382</v>
      </c>
      <c r="B92" s="445" t="str">
        <f t="shared" ca="1" si="0"/>
        <v/>
      </c>
    </row>
    <row r="93" spans="1:12" ht="15" x14ac:dyDescent="0.2">
      <c r="A93" s="445" t="s">
        <v>383</v>
      </c>
      <c r="B93" s="445" t="str">
        <f t="shared" ca="1" si="0"/>
        <v/>
      </c>
    </row>
    <row r="94" spans="1:12" ht="15" x14ac:dyDescent="0.2">
      <c r="A94" s="445" t="s">
        <v>384</v>
      </c>
      <c r="B94" s="445" t="str">
        <f t="shared" ca="1" si="0"/>
        <v/>
      </c>
    </row>
    <row r="95" spans="1:12" ht="15" x14ac:dyDescent="0.2">
      <c r="A95" s="445" t="s">
        <v>385</v>
      </c>
      <c r="B95" s="445" t="str">
        <f t="shared" ca="1" si="0"/>
        <v/>
      </c>
    </row>
    <row r="96" spans="1:12" ht="15" x14ac:dyDescent="0.2">
      <c r="A96" s="445" t="s">
        <v>386</v>
      </c>
      <c r="B96" s="445" t="str">
        <f t="shared" ca="1" si="0"/>
        <v/>
      </c>
    </row>
    <row r="97" spans="1:2" ht="15" x14ac:dyDescent="0.2">
      <c r="A97" s="445" t="s">
        <v>387</v>
      </c>
      <c r="B97" s="445" t="str">
        <f t="shared" ca="1" si="0"/>
        <v/>
      </c>
    </row>
    <row r="98" spans="1:2" ht="15" x14ac:dyDescent="0.2">
      <c r="A98" s="445" t="s">
        <v>388</v>
      </c>
      <c r="B98" s="445" t="str">
        <f t="shared" ca="1" si="0"/>
        <v/>
      </c>
    </row>
    <row r="99" spans="1:2" ht="15" x14ac:dyDescent="0.2">
      <c r="A99" s="445" t="s">
        <v>389</v>
      </c>
      <c r="B99" s="445" t="str">
        <f t="shared" ca="1" si="0"/>
        <v/>
      </c>
    </row>
  </sheetData>
  <sheetProtection algorithmName="SHA-512" hashValue="dXaIf6mjzwHu1VUuaLLnFPhHm+dowMneTLQRRE8izKOnQRXY2jU/2w2PTq3g/6G3rSCvPEhZzQzVIwxtIXYvlg==" saltValue="HdGFlQrCaQ8G6awpUlePaA==" spinCount="100000" sheet="1" objects="1" scenarios="1" autoFilter="0"/>
  <customSheetViews>
    <customSheetView guid="{9FCFC836-1CA5-48BF-958D-24D2EA94B219}" showGridLines="0" fitToPage="1" hiddenColumns="1" topLeftCell="B1">
      <selection activeCell="B12" sqref="B12"/>
      <pageMargins left="0" right="0" top="0" bottom="0" header="0" footer="0"/>
      <pageSetup orientation="portrait" r:id="rId1"/>
      <headerFooter alignWithMargins="0">
        <oddFooter>&amp;R&amp;A</oddFooter>
      </headerFooter>
    </customSheetView>
    <customSheetView guid="{BEA4BE86-04D1-4C96-9358-7A260B9D2B2D}" showGridLines="0" fitToPage="1" showRuler="0">
      <selection sqref="A1:N1"/>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N1"/>
      <pageMargins left="0" right="0" top="0" bottom="0" header="0" footer="0"/>
      <pageSetup orientation="portrait"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ageSetup orientation="portrait" r:id="rId4"/>
      <headerFooter alignWithMargins="0">
        <oddFooter>&amp;R&amp;A</oddFooter>
      </headerFooter>
    </customSheetView>
  </customSheetViews>
  <mergeCells count="71">
    <mergeCell ref="T61:W61"/>
    <mergeCell ref="T62:W62"/>
    <mergeCell ref="D51:K51"/>
    <mergeCell ref="D54:K54"/>
    <mergeCell ref="D34:K34"/>
    <mergeCell ref="D35:K35"/>
    <mergeCell ref="D37:K37"/>
    <mergeCell ref="D38:K38"/>
    <mergeCell ref="E39:K39"/>
    <mergeCell ref="T49:W49"/>
    <mergeCell ref="T50:W50"/>
    <mergeCell ref="T58:W58"/>
    <mergeCell ref="T59:W59"/>
    <mergeCell ref="T60:W60"/>
    <mergeCell ref="D49:K49"/>
    <mergeCell ref="E58:K58"/>
    <mergeCell ref="T33:W33"/>
    <mergeCell ref="T40:W40"/>
    <mergeCell ref="T41:W41"/>
    <mergeCell ref="T42:W42"/>
    <mergeCell ref="T43:W43"/>
    <mergeCell ref="C82:K82"/>
    <mergeCell ref="C84:K84"/>
    <mergeCell ref="C85:K85"/>
    <mergeCell ref="C83:K83"/>
    <mergeCell ref="D61:K61"/>
    <mergeCell ref="D62:K62"/>
    <mergeCell ref="D63:K63"/>
    <mergeCell ref="C78:K78"/>
    <mergeCell ref="C79:K79"/>
    <mergeCell ref="C69:K69"/>
    <mergeCell ref="C72:K72"/>
    <mergeCell ref="D73:K73"/>
    <mergeCell ref="C64:J64"/>
    <mergeCell ref="C70:K70"/>
    <mergeCell ref="C71:K71"/>
    <mergeCell ref="C81:K81"/>
    <mergeCell ref="D29:K29"/>
    <mergeCell ref="D43:K43"/>
    <mergeCell ref="D44:K44"/>
    <mergeCell ref="D45:K45"/>
    <mergeCell ref="D42:K42"/>
    <mergeCell ref="E30:K30"/>
    <mergeCell ref="D33:K33"/>
    <mergeCell ref="D36:K36"/>
    <mergeCell ref="E46:K46"/>
    <mergeCell ref="P1:P3"/>
    <mergeCell ref="C20:O20"/>
    <mergeCell ref="C21:O21"/>
    <mergeCell ref="D25:K25"/>
    <mergeCell ref="G7:I7"/>
    <mergeCell ref="G5:I5"/>
    <mergeCell ref="D28:K28"/>
    <mergeCell ref="B1:O1"/>
    <mergeCell ref="B2:O2"/>
    <mergeCell ref="B3:O3"/>
    <mergeCell ref="L5:O5"/>
    <mergeCell ref="L6:O6"/>
    <mergeCell ref="L7:O7"/>
    <mergeCell ref="D26:K26"/>
    <mergeCell ref="D27:K27"/>
    <mergeCell ref="D75:K75"/>
    <mergeCell ref="D76:K76"/>
    <mergeCell ref="D77:K77"/>
    <mergeCell ref="C80:K80"/>
    <mergeCell ref="D50:K50"/>
    <mergeCell ref="D52:K52"/>
    <mergeCell ref="D53:K53"/>
    <mergeCell ref="D57:K57"/>
    <mergeCell ref="D55:K55"/>
    <mergeCell ref="D56:K56"/>
  </mergeCells>
  <phoneticPr fontId="16" type="noConversion"/>
  <conditionalFormatting sqref="P1:P3">
    <cfRule type="cellIs" dxfId="41" priority="1" stopIfTrue="1" operator="equal">
      <formula>"na"</formula>
    </cfRule>
  </conditionalFormatting>
  <dataValidations count="1">
    <dataValidation type="textLength" operator="equal" allowBlank="1" showInputMessage="1" showErrorMessage="1" errorTitle="Invalid data!" error="GASB number must be 4 digits." sqref="G7:I7" xr:uid="{00000000-0002-0000-3B00-000000000000}">
      <formula1>4</formula1>
    </dataValidation>
  </dataValidations>
  <hyperlinks>
    <hyperlink ref="B1:O1" location="Index!A1" display="Index!A1" xr:uid="{00000000-0004-0000-3B00-000000000000}"/>
  </hyperlinks>
  <pageMargins left="0.6" right="0.6" top="0.5" bottom="0.5" header="0.3" footer="0.3"/>
  <pageSetup scale="77" fitToWidth="0" orientation="portrait" r:id="rId5"/>
  <legacyDrawing r:id="rId6"/>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1"/>
  <dimension ref="A1:M50"/>
  <sheetViews>
    <sheetView showGridLines="0" zoomScaleNormal="100" zoomScaleSheetLayoutView="100" workbookViewId="0">
      <selection activeCell="A2" sqref="A2:L2"/>
    </sheetView>
  </sheetViews>
  <sheetFormatPr defaultRowHeight="12.75" x14ac:dyDescent="0.2"/>
  <cols>
    <col min="2" max="2" width="18.5703125" customWidth="1"/>
    <col min="3" max="3" width="2" customWidth="1"/>
    <col min="11" max="11" width="7.5703125" customWidth="1"/>
    <col min="12" max="13" width="5.42578125" customWidth="1"/>
  </cols>
  <sheetData>
    <row r="1" spans="1:13" ht="15.75" x14ac:dyDescent="0.25">
      <c r="A1" s="2886" t="str">
        <f>+Index!A1</f>
        <v xml:space="preserve">                                                               Office of the State Controller                                                                </v>
      </c>
      <c r="B1" s="2886"/>
      <c r="C1" s="2886"/>
      <c r="D1" s="2886"/>
      <c r="E1" s="2886"/>
      <c r="F1" s="2886"/>
      <c r="G1" s="2886"/>
      <c r="H1" s="2886"/>
      <c r="I1" s="2886"/>
      <c r="J1" s="2886"/>
      <c r="K1" s="2886"/>
      <c r="L1" s="2886"/>
      <c r="M1" s="2456" t="str">
        <f>IF(Index!$B$89="na","NA","")</f>
        <v/>
      </c>
    </row>
    <row r="2" spans="1:13" ht="15.75" x14ac:dyDescent="0.25">
      <c r="A2" s="2439" t="str">
        <f>Index!A2</f>
        <v>2023 ACFR Worksheets</v>
      </c>
      <c r="B2" s="2439"/>
      <c r="C2" s="2439"/>
      <c r="D2" s="2439"/>
      <c r="E2" s="2439"/>
      <c r="F2" s="2439"/>
      <c r="G2" s="2439"/>
      <c r="H2" s="2439"/>
      <c r="I2" s="2439"/>
      <c r="J2" s="2439"/>
      <c r="K2" s="2439"/>
      <c r="L2" s="2439"/>
      <c r="M2" s="2456"/>
    </row>
    <row r="3" spans="1:13" ht="15" customHeight="1" x14ac:dyDescent="0.25">
      <c r="A3" s="2887" t="s">
        <v>2136</v>
      </c>
      <c r="B3" s="2887"/>
      <c r="C3" s="2887"/>
      <c r="D3" s="2887"/>
      <c r="E3" s="2887"/>
      <c r="F3" s="2887"/>
      <c r="G3" s="2887"/>
      <c r="H3" s="2887"/>
      <c r="I3" s="2887"/>
      <c r="J3" s="2887"/>
      <c r="K3" s="2887"/>
      <c r="L3" s="2887"/>
      <c r="M3" s="2456"/>
    </row>
    <row r="4" spans="1:13" x14ac:dyDescent="0.2">
      <c r="A4" s="1095"/>
    </row>
    <row r="5" spans="1:13" x14ac:dyDescent="0.2">
      <c r="H5" s="1096" t="s">
        <v>317</v>
      </c>
      <c r="I5" s="2573" t="str">
        <f>+Index!E10</f>
        <v>01</v>
      </c>
      <c r="J5" s="2573"/>
      <c r="K5" s="2573"/>
      <c r="L5" s="2573"/>
    </row>
    <row r="6" spans="1:13" x14ac:dyDescent="0.2">
      <c r="H6" s="1096" t="s">
        <v>318</v>
      </c>
      <c r="I6" s="2885" t="str">
        <f>Index!E11</f>
        <v>North Carolina General Assembly</v>
      </c>
      <c r="J6" s="2885"/>
      <c r="K6" s="2885"/>
      <c r="L6" s="2885"/>
    </row>
    <row r="7" spans="1:13" x14ac:dyDescent="0.2">
      <c r="H7" s="1096" t="s">
        <v>2137</v>
      </c>
      <c r="I7" s="2885" t="str">
        <f>CONCATENATE(Index!$E$12," ",Index!$E$14)</f>
        <v xml:space="preserve"> </v>
      </c>
      <c r="J7" s="2885"/>
      <c r="K7" s="2885"/>
      <c r="L7" s="2885"/>
    </row>
    <row r="8" spans="1:13" x14ac:dyDescent="0.2">
      <c r="H8" s="1096" t="s">
        <v>71</v>
      </c>
      <c r="I8" s="2885">
        <f>Index!$E$13</f>
        <v>0</v>
      </c>
      <c r="J8" s="2885"/>
      <c r="K8" s="2885"/>
      <c r="L8" s="2885"/>
    </row>
    <row r="9" spans="1:13" ht="13.5" thickBot="1" x14ac:dyDescent="0.25">
      <c r="A9" s="472"/>
      <c r="B9" s="472"/>
      <c r="C9" s="472"/>
      <c r="D9" s="472"/>
      <c r="E9" s="472"/>
      <c r="F9" s="472"/>
      <c r="G9" s="472"/>
      <c r="H9" s="472"/>
      <c r="I9" s="472"/>
      <c r="J9" s="472"/>
      <c r="K9" s="472"/>
      <c r="L9" s="472"/>
    </row>
    <row r="21" spans="1:12" ht="23.25" customHeight="1" x14ac:dyDescent="0.2">
      <c r="A21" t="s">
        <v>2138</v>
      </c>
    </row>
    <row r="22" spans="1:12" x14ac:dyDescent="0.2">
      <c r="A22" s="2889" t="s">
        <v>2139</v>
      </c>
      <c r="B22" s="2889"/>
      <c r="C22" s="2889"/>
      <c r="D22" s="2889"/>
      <c r="E22" s="2889"/>
      <c r="F22" s="2889"/>
      <c r="G22" s="2889"/>
      <c r="H22" s="2889"/>
      <c r="I22" s="2889"/>
      <c r="J22" s="2889"/>
      <c r="K22" s="2889"/>
      <c r="L22" s="2889"/>
    </row>
    <row r="24" spans="1:12" x14ac:dyDescent="0.2">
      <c r="A24" t="s">
        <v>2140</v>
      </c>
    </row>
    <row r="26" spans="1:12" ht="20.100000000000001" customHeight="1" x14ac:dyDescent="0.2">
      <c r="A26" s="1" t="s">
        <v>2141</v>
      </c>
      <c r="C26" s="2002" t="s">
        <v>542</v>
      </c>
      <c r="D26" s="2693"/>
      <c r="E26" s="2693"/>
      <c r="F26" s="2693"/>
      <c r="G26" s="2693"/>
      <c r="H26" s="2693"/>
      <c r="I26" s="2693"/>
      <c r="J26" s="2693"/>
      <c r="K26" s="2693"/>
      <c r="L26" s="2693"/>
    </row>
    <row r="27" spans="1:12" ht="20.100000000000001" customHeight="1" x14ac:dyDescent="0.2">
      <c r="A27" s="376" t="s">
        <v>2142</v>
      </c>
      <c r="C27" s="2002" t="s">
        <v>545</v>
      </c>
      <c r="D27" s="2883"/>
      <c r="E27" s="2883"/>
      <c r="F27" s="2883"/>
      <c r="G27" s="2883"/>
      <c r="H27" s="2883"/>
      <c r="I27" s="2883"/>
      <c r="J27" s="2883"/>
      <c r="K27" s="2883"/>
      <c r="L27" s="2883"/>
    </row>
    <row r="28" spans="1:12" ht="20.100000000000001" customHeight="1" x14ac:dyDescent="0.2">
      <c r="A28" s="2"/>
      <c r="C28" s="2002" t="s">
        <v>548</v>
      </c>
      <c r="D28" s="2883"/>
      <c r="E28" s="2883"/>
      <c r="F28" s="2883"/>
      <c r="G28" s="2883"/>
      <c r="H28" s="2883"/>
      <c r="I28" s="2883"/>
      <c r="J28" s="2883"/>
      <c r="K28" s="2883"/>
      <c r="L28" s="2883"/>
    </row>
    <row r="29" spans="1:12" ht="20.100000000000001" customHeight="1" x14ac:dyDescent="0.2"/>
    <row r="30" spans="1:12" ht="20.100000000000001" customHeight="1" x14ac:dyDescent="0.2">
      <c r="A30" s="1" t="s">
        <v>2143</v>
      </c>
      <c r="C30" s="2002" t="s">
        <v>542</v>
      </c>
      <c r="D30" s="2693"/>
      <c r="E30" s="2693"/>
      <c r="F30" s="2693"/>
      <c r="G30" s="2693"/>
      <c r="H30" s="2693"/>
      <c r="I30" s="2693"/>
      <c r="J30" s="2693"/>
      <c r="K30" s="2693"/>
      <c r="L30" s="2693"/>
    </row>
    <row r="31" spans="1:12" ht="20.100000000000001" customHeight="1" x14ac:dyDescent="0.2">
      <c r="A31" s="211" t="s">
        <v>2144</v>
      </c>
      <c r="C31" s="2002" t="s">
        <v>545</v>
      </c>
      <c r="D31" s="2883"/>
      <c r="E31" s="2883"/>
      <c r="F31" s="2883"/>
      <c r="G31" s="2883"/>
      <c r="H31" s="2883"/>
      <c r="I31" s="2883"/>
      <c r="J31" s="2883"/>
      <c r="K31" s="2883"/>
      <c r="L31" s="2883"/>
    </row>
    <row r="32" spans="1:12" ht="20.100000000000001" customHeight="1" x14ac:dyDescent="0.2">
      <c r="A32" s="2"/>
      <c r="C32" s="2002" t="s">
        <v>548</v>
      </c>
      <c r="D32" s="2883"/>
      <c r="E32" s="2883"/>
      <c r="F32" s="2883"/>
      <c r="G32" s="2883"/>
      <c r="H32" s="2883"/>
      <c r="I32" s="2883"/>
      <c r="J32" s="2883"/>
      <c r="K32" s="2883"/>
      <c r="L32" s="2883"/>
    </row>
    <row r="33" spans="1:13" ht="8.25" customHeight="1" x14ac:dyDescent="0.2">
      <c r="A33" s="159"/>
    </row>
    <row r="34" spans="1:13" ht="20.100000000000001" customHeight="1" x14ac:dyDescent="0.2">
      <c r="A34" s="1" t="s">
        <v>2145</v>
      </c>
      <c r="C34" s="2002" t="s">
        <v>542</v>
      </c>
      <c r="D34" s="2693"/>
      <c r="E34" s="2693"/>
      <c r="F34" s="2693"/>
      <c r="G34" s="2693"/>
      <c r="H34" s="2693"/>
      <c r="I34" s="2693"/>
      <c r="J34" s="2693"/>
      <c r="K34" s="2693"/>
      <c r="L34" s="2693"/>
    </row>
    <row r="35" spans="1:13" ht="20.100000000000001" customHeight="1" x14ac:dyDescent="0.2">
      <c r="A35" s="376" t="s">
        <v>2146</v>
      </c>
      <c r="C35" s="2002" t="s">
        <v>545</v>
      </c>
      <c r="D35" s="2883"/>
      <c r="E35" s="2883"/>
      <c r="F35" s="2883"/>
      <c r="G35" s="2883"/>
      <c r="H35" s="2883"/>
      <c r="I35" s="2883"/>
      <c r="J35" s="2883"/>
      <c r="K35" s="2883"/>
      <c r="L35" s="2883"/>
    </row>
    <row r="36" spans="1:13" ht="20.100000000000001" customHeight="1" x14ac:dyDescent="0.2">
      <c r="A36" s="2"/>
      <c r="C36" s="2002" t="s">
        <v>548</v>
      </c>
      <c r="D36" s="2882"/>
      <c r="E36" s="2882"/>
      <c r="F36" s="2882"/>
      <c r="G36" s="2882"/>
      <c r="H36" s="2882"/>
      <c r="I36" s="2882"/>
      <c r="J36" s="2882"/>
      <c r="K36" s="2882"/>
      <c r="L36" s="2882"/>
    </row>
    <row r="37" spans="1:13" ht="20.100000000000001" customHeight="1" x14ac:dyDescent="0.2">
      <c r="A37" s="2"/>
      <c r="D37" s="126"/>
      <c r="E37" s="126"/>
      <c r="F37" s="126"/>
      <c r="G37" s="126"/>
      <c r="H37" s="126"/>
      <c r="I37" s="126"/>
      <c r="J37" s="126"/>
      <c r="K37" s="126"/>
      <c r="L37" s="126"/>
    </row>
    <row r="38" spans="1:13" x14ac:dyDescent="0.2">
      <c r="A38" s="1" t="s">
        <v>2147</v>
      </c>
      <c r="K38" s="1099"/>
      <c r="L38" s="1099"/>
      <c r="M38" s="1097"/>
    </row>
    <row r="39" spans="1:13" ht="20.100000000000001" customHeight="1" x14ac:dyDescent="0.2">
      <c r="A39" s="376" t="s">
        <v>2148</v>
      </c>
      <c r="B39" s="159"/>
      <c r="C39" s="2002" t="s">
        <v>542</v>
      </c>
      <c r="D39" s="2888"/>
      <c r="E39" s="2888"/>
      <c r="F39" s="2888"/>
      <c r="G39" s="2888"/>
      <c r="H39" s="2888"/>
      <c r="I39" s="2888"/>
      <c r="J39" s="2888"/>
      <c r="K39" s="2888"/>
      <c r="L39" s="2888"/>
      <c r="M39" s="1097"/>
    </row>
    <row r="40" spans="1:13" ht="20.100000000000001" customHeight="1" x14ac:dyDescent="0.2">
      <c r="A40" s="1"/>
      <c r="B40" s="159"/>
      <c r="C40" s="2002" t="s">
        <v>545</v>
      </c>
      <c r="D40" s="2884"/>
      <c r="E40" s="2884"/>
      <c r="F40" s="2884"/>
      <c r="G40" s="2884"/>
      <c r="H40" s="2884"/>
      <c r="I40" s="2884"/>
      <c r="J40" s="2884"/>
      <c r="K40" s="2884"/>
      <c r="L40" s="2884"/>
      <c r="M40" s="1097"/>
    </row>
    <row r="41" spans="1:13" ht="20.100000000000001" customHeight="1" x14ac:dyDescent="0.2">
      <c r="A41" s="1"/>
      <c r="B41" s="159"/>
      <c r="C41" s="2002" t="s">
        <v>548</v>
      </c>
      <c r="D41" s="2884"/>
      <c r="E41" s="2884"/>
      <c r="F41" s="2884"/>
      <c r="G41" s="2884"/>
      <c r="H41" s="2884"/>
      <c r="I41" s="2884"/>
      <c r="J41" s="2884"/>
      <c r="K41" s="2884"/>
      <c r="L41" s="2884"/>
      <c r="M41" s="1097"/>
    </row>
    <row r="42" spans="1:13" x14ac:dyDescent="0.2">
      <c r="K42" s="1099"/>
      <c r="L42" s="1099"/>
      <c r="M42" s="1097"/>
    </row>
    <row r="43" spans="1:13" ht="24" customHeight="1" x14ac:dyDescent="0.2">
      <c r="A43" s="1" t="s">
        <v>2149</v>
      </c>
      <c r="I43" s="2637"/>
      <c r="J43" s="2637"/>
      <c r="K43" s="2637"/>
      <c r="L43" s="2637"/>
    </row>
    <row r="44" spans="1:13" ht="20.100000000000001" customHeight="1" x14ac:dyDescent="0.2">
      <c r="A44" s="376" t="s">
        <v>2150</v>
      </c>
      <c r="C44" s="2002" t="s">
        <v>542</v>
      </c>
      <c r="D44" s="2693"/>
      <c r="E44" s="2693"/>
      <c r="F44" s="2693"/>
      <c r="G44" s="2693"/>
      <c r="H44" s="2693"/>
      <c r="I44" s="2693"/>
      <c r="J44" s="2693"/>
      <c r="K44" s="2693"/>
      <c r="L44" s="2693"/>
    </row>
    <row r="45" spans="1:13" ht="20.100000000000001" customHeight="1" x14ac:dyDescent="0.2">
      <c r="A45" s="1"/>
      <c r="C45" s="2002" t="s">
        <v>545</v>
      </c>
      <c r="D45" s="2883"/>
      <c r="E45" s="2883"/>
      <c r="F45" s="2883"/>
      <c r="G45" s="2883"/>
      <c r="H45" s="2883"/>
      <c r="I45" s="2883"/>
      <c r="J45" s="2883"/>
      <c r="K45" s="2883"/>
      <c r="L45" s="2883"/>
    </row>
    <row r="46" spans="1:13" ht="20.100000000000001" customHeight="1" x14ac:dyDescent="0.2">
      <c r="A46" s="1"/>
      <c r="C46" s="2002" t="s">
        <v>548</v>
      </c>
      <c r="D46" s="2883"/>
      <c r="E46" s="2883"/>
      <c r="F46" s="2883"/>
      <c r="G46" s="2883"/>
      <c r="H46" s="2883"/>
      <c r="I46" s="2883"/>
      <c r="J46" s="2883"/>
      <c r="K46" s="2883"/>
      <c r="L46" s="2883"/>
    </row>
    <row r="47" spans="1:13" ht="15.75" customHeight="1" x14ac:dyDescent="0.2">
      <c r="A47" s="1"/>
      <c r="I47" s="166"/>
      <c r="J47" s="166"/>
      <c r="K47" s="166"/>
      <c r="L47" s="166"/>
    </row>
    <row r="48" spans="1:13" x14ac:dyDescent="0.2">
      <c r="A48" s="1" t="s">
        <v>2151</v>
      </c>
    </row>
    <row r="49" spans="1:1" x14ac:dyDescent="0.2">
      <c r="A49" s="1" t="s">
        <v>2152</v>
      </c>
    </row>
    <row r="50" spans="1:1" x14ac:dyDescent="0.2">
      <c r="A50" s="1"/>
    </row>
  </sheetData>
  <sheetProtection algorithmName="SHA-512" hashValue="UGmGvYTgztnVNg5wRNDBF+NzlyoVDf0GCihgPmDkSS+MI5YmbtRDCuLhaHQvqiYEYO/vyK2atYYM58SS7rSI0A==" saltValue="TJQx7s849Wj3SjgkkXlxDw==" spinCount="100000" sheet="1" objects="1" scenarios="1" autoFilter="0"/>
  <mergeCells count="25">
    <mergeCell ref="M1:M3"/>
    <mergeCell ref="D40:L40"/>
    <mergeCell ref="I43:L43"/>
    <mergeCell ref="I8:L8"/>
    <mergeCell ref="D34:L34"/>
    <mergeCell ref="A1:L1"/>
    <mergeCell ref="A2:L2"/>
    <mergeCell ref="A3:L3"/>
    <mergeCell ref="I5:L5"/>
    <mergeCell ref="I6:L6"/>
    <mergeCell ref="I7:L7"/>
    <mergeCell ref="D30:L30"/>
    <mergeCell ref="D26:L26"/>
    <mergeCell ref="D39:L39"/>
    <mergeCell ref="D41:L41"/>
    <mergeCell ref="A22:L22"/>
    <mergeCell ref="D36:L36"/>
    <mergeCell ref="D44:L44"/>
    <mergeCell ref="D45:L45"/>
    <mergeCell ref="D46:L46"/>
    <mergeCell ref="D27:L27"/>
    <mergeCell ref="D28:L28"/>
    <mergeCell ref="D31:L31"/>
    <mergeCell ref="D32:L32"/>
    <mergeCell ref="D35:L35"/>
  </mergeCells>
  <conditionalFormatting sqref="M1:M3">
    <cfRule type="cellIs" dxfId="40" priority="1" stopIfTrue="1" operator="equal">
      <formula>"na"</formula>
    </cfRule>
  </conditionalFormatting>
  <hyperlinks>
    <hyperlink ref="A22" r:id="rId1" display="http://ncosc.s3.amazonaws.com/s3fs-public/documents/GASB_Resources/Financial_Reporting_Updates/gasb_standard_77.pdf" xr:uid="{00000000-0004-0000-3C00-000000000000}"/>
    <hyperlink ref="A22:L22" r:id="rId2" display="Financial Reporting Update GASB 77" xr:uid="{00000000-0004-0000-3C00-000001000000}"/>
    <hyperlink ref="A1:L1" location="Index!A1" display="Index!A1" xr:uid="{DC4C6F33-8261-4198-BD7C-CD47816F6ED1}"/>
  </hyperlinks>
  <pageMargins left="0.6" right="0.6" top="0.5" bottom="0.5" header="0.3" footer="0.3"/>
  <pageSetup scale="85" orientation="portrait" r:id="rId3"/>
  <drawing r:id="rId4"/>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S71"/>
  <sheetViews>
    <sheetView showGridLines="0" topLeftCell="C1" zoomScaleNormal="100" workbookViewId="0">
      <selection activeCell="A2" sqref="A2"/>
    </sheetView>
  </sheetViews>
  <sheetFormatPr defaultColWidth="9.42578125" defaultRowHeight="12.75" x14ac:dyDescent="0.2"/>
  <cols>
    <col min="1" max="1" width="0" style="667" hidden="1" customWidth="1"/>
    <col min="2" max="2" width="9.42578125" style="7" hidden="1" customWidth="1"/>
    <col min="3" max="3" width="12.5703125" style="7" customWidth="1"/>
    <col min="4" max="4" width="4.5703125" style="7" customWidth="1"/>
    <col min="5" max="5" width="8.42578125" style="7" customWidth="1"/>
    <col min="6" max="6" width="1.5703125" style="7" customWidth="1"/>
    <col min="7" max="7" width="15.42578125" style="7" customWidth="1"/>
    <col min="8" max="8" width="1.5703125" style="7" customWidth="1"/>
    <col min="9" max="9" width="15.42578125" style="7" customWidth="1"/>
    <col min="10" max="10" width="1.5703125" style="7" customWidth="1"/>
    <col min="11" max="11" width="15.42578125" style="7" customWidth="1"/>
    <col min="12" max="12" width="1.5703125" style="7" customWidth="1"/>
    <col min="13" max="13" width="15.42578125" style="7" customWidth="1"/>
    <col min="14" max="14" width="1.5703125" style="7" customWidth="1"/>
    <col min="15" max="15" width="15.42578125" style="7" customWidth="1"/>
    <col min="16" max="16" width="1.5703125" style="7" customWidth="1"/>
    <col min="17" max="17" width="15.42578125" style="7" customWidth="1"/>
    <col min="18" max="18" width="4.5703125" style="7" customWidth="1"/>
    <col min="19" max="19" width="7" style="7" hidden="1" customWidth="1"/>
    <col min="20" max="16384" width="9.42578125" style="7"/>
  </cols>
  <sheetData>
    <row r="1" spans="1:18" s="93" customFormat="1" ht="15" customHeight="1" x14ac:dyDescent="0.25">
      <c r="A1" s="667" t="str">
        <f t="shared" ref="A1:A36" si="0">AgyIdx</f>
        <v>01</v>
      </c>
      <c r="C1" s="2455" t="str">
        <f>+Index!$A$1</f>
        <v xml:space="preserve">                                                               Office of the State Controller                                                                </v>
      </c>
      <c r="D1" s="2455"/>
      <c r="E1" s="2455"/>
      <c r="F1" s="2455"/>
      <c r="G1" s="2455"/>
      <c r="H1" s="2455"/>
      <c r="I1" s="2455"/>
      <c r="J1" s="2455"/>
      <c r="K1" s="2455"/>
      <c r="L1" s="2455"/>
      <c r="M1" s="2455"/>
      <c r="N1" s="2455"/>
      <c r="O1" s="2455"/>
      <c r="P1" s="2455"/>
      <c r="Q1" s="2455"/>
      <c r="R1" s="2520" t="str">
        <f>IF(Index!$B$90="na","NA","")</f>
        <v/>
      </c>
    </row>
    <row r="2" spans="1:18" s="93" customFormat="1" ht="15" customHeight="1" x14ac:dyDescent="0.25">
      <c r="A2" s="667" t="str">
        <f t="shared" si="0"/>
        <v>01</v>
      </c>
      <c r="C2" s="2895" t="str">
        <f>+Index!$A$2</f>
        <v>2023 ACFR Worksheets</v>
      </c>
      <c r="D2" s="2895"/>
      <c r="E2" s="2895"/>
      <c r="F2" s="2895"/>
      <c r="G2" s="2895"/>
      <c r="H2" s="2895"/>
      <c r="I2" s="2895"/>
      <c r="J2" s="2895"/>
      <c r="K2" s="2895"/>
      <c r="L2" s="2895"/>
      <c r="M2" s="2895"/>
      <c r="N2" s="2895"/>
      <c r="O2" s="2895"/>
      <c r="P2" s="2895"/>
      <c r="Q2" s="2895"/>
      <c r="R2" s="2520"/>
    </row>
    <row r="3" spans="1:18" s="93" customFormat="1" ht="15" customHeight="1" x14ac:dyDescent="0.25">
      <c r="A3" s="667" t="str">
        <f t="shared" si="0"/>
        <v>01</v>
      </c>
      <c r="C3" s="2895" t="s">
        <v>2153</v>
      </c>
      <c r="D3" s="2895"/>
      <c r="E3" s="2895"/>
      <c r="F3" s="2895"/>
      <c r="G3" s="2895"/>
      <c r="H3" s="2895"/>
      <c r="I3" s="2895"/>
      <c r="J3" s="2895"/>
      <c r="K3" s="2895"/>
      <c r="L3" s="2895"/>
      <c r="M3" s="2895"/>
      <c r="N3" s="2895"/>
      <c r="O3" s="2895"/>
      <c r="P3" s="2895"/>
      <c r="Q3" s="2895"/>
      <c r="R3" s="2520"/>
    </row>
    <row r="4" spans="1:18" s="93" customFormat="1" ht="15" customHeight="1" x14ac:dyDescent="0.25">
      <c r="A4" s="667" t="str">
        <f t="shared" si="0"/>
        <v>01</v>
      </c>
      <c r="C4" s="2895" t="s">
        <v>2154</v>
      </c>
      <c r="D4" s="2895"/>
      <c r="E4" s="2895"/>
      <c r="F4" s="2895"/>
      <c r="G4" s="2895"/>
      <c r="H4" s="2895"/>
      <c r="I4" s="2895"/>
      <c r="J4" s="2895"/>
      <c r="K4" s="2895"/>
      <c r="L4" s="2895"/>
      <c r="M4" s="2895"/>
      <c r="N4" s="2895"/>
      <c r="O4" s="2895"/>
      <c r="P4" s="2895"/>
      <c r="Q4" s="2895"/>
    </row>
    <row r="5" spans="1:18" s="94" customFormat="1" ht="15" customHeight="1" x14ac:dyDescent="0.2">
      <c r="A5" s="667" t="str">
        <f t="shared" si="0"/>
        <v>01</v>
      </c>
      <c r="M5" s="257"/>
    </row>
    <row r="6" spans="1:18" s="94" customFormat="1" ht="15" customHeight="1" x14ac:dyDescent="0.2">
      <c r="A6" s="667" t="str">
        <f t="shared" si="0"/>
        <v>01</v>
      </c>
      <c r="C6" s="212" t="s">
        <v>317</v>
      </c>
      <c r="E6" s="2899" t="str">
        <f>+Index!$E$10</f>
        <v>01</v>
      </c>
      <c r="F6" s="2899"/>
      <c r="G6" s="2899"/>
      <c r="J6" s="212"/>
      <c r="K6" s="212" t="s">
        <v>2155</v>
      </c>
      <c r="L6" s="2896" t="str">
        <f>+Index!$E$11</f>
        <v>North Carolina General Assembly</v>
      </c>
      <c r="M6" s="2896"/>
      <c r="N6" s="2896"/>
      <c r="O6" s="2896"/>
      <c r="P6" s="2896"/>
      <c r="Q6" s="2896"/>
    </row>
    <row r="7" spans="1:18" s="94" customFormat="1" ht="15" customHeight="1" x14ac:dyDescent="0.2">
      <c r="A7" s="667" t="str">
        <f t="shared" si="0"/>
        <v>01</v>
      </c>
      <c r="E7" s="1955"/>
      <c r="F7" s="1955"/>
      <c r="G7" s="1955"/>
      <c r="J7" s="212"/>
      <c r="K7" s="212" t="s">
        <v>319</v>
      </c>
      <c r="L7" s="2897" t="str">
        <f>CONCATENATE(Index!$E$12," ",Index!$E$14)</f>
        <v xml:space="preserve"> </v>
      </c>
      <c r="M7" s="2897"/>
      <c r="N7" s="2897"/>
      <c r="O7" s="2897"/>
      <c r="P7" s="2897"/>
      <c r="Q7" s="2897"/>
    </row>
    <row r="8" spans="1:18" s="94" customFormat="1" ht="15" customHeight="1" x14ac:dyDescent="0.2">
      <c r="A8" s="667" t="str">
        <f t="shared" si="0"/>
        <v>01</v>
      </c>
      <c r="C8" s="94" t="s">
        <v>568</v>
      </c>
      <c r="E8" s="2899" t="s">
        <v>754</v>
      </c>
      <c r="F8" s="2899"/>
      <c r="G8" s="2899"/>
      <c r="J8" s="212"/>
      <c r="K8" s="212" t="s">
        <v>71</v>
      </c>
      <c r="L8" s="2898">
        <f>+Index!$E$13</f>
        <v>0</v>
      </c>
      <c r="M8" s="2898"/>
      <c r="N8" s="2898"/>
      <c r="O8" s="2898"/>
      <c r="P8" s="2898"/>
      <c r="Q8" s="2898"/>
    </row>
    <row r="9" spans="1:18" s="94" customFormat="1" ht="12" customHeight="1" thickBot="1" x14ac:dyDescent="0.25">
      <c r="A9" s="667" t="str">
        <f t="shared" si="0"/>
        <v>01</v>
      </c>
      <c r="C9" s="163"/>
      <c r="D9" s="163"/>
      <c r="E9" s="163"/>
      <c r="F9" s="163"/>
      <c r="G9" s="163"/>
      <c r="H9" s="163"/>
      <c r="I9" s="163"/>
      <c r="J9" s="163"/>
      <c r="K9" s="163"/>
      <c r="L9" s="163"/>
      <c r="M9" s="163"/>
      <c r="N9" s="163"/>
      <c r="O9" s="163"/>
      <c r="P9" s="163"/>
      <c r="Q9" s="163"/>
    </row>
    <row r="10" spans="1:18" s="94" customFormat="1" ht="12" customHeight="1" x14ac:dyDescent="0.2">
      <c r="A10" s="667" t="str">
        <f t="shared" si="0"/>
        <v>01</v>
      </c>
    </row>
    <row r="11" spans="1:18" s="94" customFormat="1" ht="12.75" customHeight="1" x14ac:dyDescent="0.25">
      <c r="A11" s="667" t="str">
        <f t="shared" si="0"/>
        <v>01</v>
      </c>
      <c r="C11" s="164"/>
      <c r="D11" s="164"/>
      <c r="E11" s="164"/>
      <c r="F11" s="164"/>
      <c r="G11" s="2350"/>
      <c r="H11" s="164"/>
      <c r="I11" s="2891" t="s">
        <v>2156</v>
      </c>
      <c r="J11" s="2891"/>
      <c r="K11" s="2891"/>
      <c r="L11" s="2891"/>
      <c r="M11" s="2891"/>
      <c r="N11" s="1499"/>
      <c r="O11" s="1499"/>
      <c r="P11" s="1499"/>
      <c r="Q11" s="1499"/>
    </row>
    <row r="12" spans="1:18" s="94" customFormat="1" ht="12.75" customHeight="1" x14ac:dyDescent="0.25">
      <c r="A12" s="667" t="str">
        <f t="shared" si="0"/>
        <v>01</v>
      </c>
      <c r="C12" s="164"/>
      <c r="D12" s="164"/>
      <c r="E12" s="164"/>
      <c r="F12" s="164"/>
      <c r="G12" s="674"/>
      <c r="H12" s="164"/>
      <c r="I12" s="1956"/>
      <c r="J12" s="170"/>
      <c r="K12" s="213"/>
      <c r="L12" s="215"/>
      <c r="M12" s="2350" t="s">
        <v>2157</v>
      </c>
      <c r="N12" s="170"/>
      <c r="O12" s="165"/>
      <c r="P12" s="164"/>
      <c r="Q12" s="164"/>
    </row>
    <row r="13" spans="1:18" s="94" customFormat="1" ht="12.75" customHeight="1" x14ac:dyDescent="0.25">
      <c r="A13" s="667" t="str">
        <f t="shared" si="0"/>
        <v>01</v>
      </c>
      <c r="C13" s="164"/>
      <c r="D13" s="164"/>
      <c r="E13" s="164"/>
      <c r="F13" s="164"/>
      <c r="G13" s="2350" t="s">
        <v>955</v>
      </c>
      <c r="H13" s="164"/>
      <c r="I13" s="2350"/>
      <c r="J13" s="170"/>
      <c r="K13" s="214"/>
      <c r="L13" s="215"/>
      <c r="M13" s="2350" t="s">
        <v>2158</v>
      </c>
      <c r="N13" s="170"/>
      <c r="O13" s="165"/>
      <c r="P13" s="164"/>
      <c r="Q13" s="164"/>
    </row>
    <row r="14" spans="1:18" s="94" customFormat="1" ht="12.75" customHeight="1" x14ac:dyDescent="0.25">
      <c r="A14" s="667" t="str">
        <f t="shared" si="0"/>
        <v>01</v>
      </c>
      <c r="C14" s="2892"/>
      <c r="D14" s="2637"/>
      <c r="E14" s="2637"/>
      <c r="F14" s="164"/>
      <c r="G14" s="2350" t="s">
        <v>2159</v>
      </c>
      <c r="H14" s="164"/>
      <c r="I14" s="2350" t="s">
        <v>2160</v>
      </c>
      <c r="J14" s="170"/>
      <c r="K14" s="2350" t="s">
        <v>2157</v>
      </c>
      <c r="L14" s="216"/>
      <c r="M14" s="2350" t="s">
        <v>2161</v>
      </c>
      <c r="N14" s="170"/>
      <c r="O14" s="2350" t="s">
        <v>2162</v>
      </c>
      <c r="P14" s="164"/>
      <c r="Q14" s="164"/>
    </row>
    <row r="15" spans="1:18" s="94" customFormat="1" ht="12.75" customHeight="1" x14ac:dyDescent="0.25">
      <c r="A15" s="667" t="str">
        <f t="shared" si="0"/>
        <v>01</v>
      </c>
      <c r="C15" s="2891" t="s">
        <v>2163</v>
      </c>
      <c r="D15" s="2573"/>
      <c r="E15" s="2573"/>
      <c r="F15" s="164"/>
      <c r="G15" s="2349" t="s">
        <v>2164</v>
      </c>
      <c r="H15" s="164"/>
      <c r="I15" s="2349" t="s">
        <v>2165</v>
      </c>
      <c r="J15" s="170"/>
      <c r="K15" s="2349" t="s">
        <v>2166</v>
      </c>
      <c r="L15" s="215"/>
      <c r="M15" s="2349" t="s">
        <v>2167</v>
      </c>
      <c r="N15" s="170"/>
      <c r="O15" s="2349" t="s">
        <v>2168</v>
      </c>
      <c r="P15" s="164"/>
      <c r="Q15" s="675" t="s">
        <v>955</v>
      </c>
    </row>
    <row r="16" spans="1:18" s="95" customFormat="1" ht="12" customHeight="1" x14ac:dyDescent="0.2">
      <c r="A16" s="667" t="str">
        <f t="shared" si="0"/>
        <v>01</v>
      </c>
      <c r="B16" s="1500"/>
      <c r="C16" s="1500"/>
      <c r="D16" s="167"/>
      <c r="E16" s="167"/>
      <c r="F16" s="167"/>
      <c r="G16" s="668" t="s">
        <v>592</v>
      </c>
      <c r="H16" s="669"/>
      <c r="I16" s="668" t="s">
        <v>593</v>
      </c>
      <c r="J16" s="669"/>
      <c r="K16" s="668" t="s">
        <v>594</v>
      </c>
      <c r="L16" s="669"/>
      <c r="M16" s="668" t="s">
        <v>595</v>
      </c>
      <c r="N16" s="669"/>
      <c r="O16" s="668" t="s">
        <v>596</v>
      </c>
      <c r="P16" s="669"/>
      <c r="Q16" s="668" t="s">
        <v>597</v>
      </c>
      <c r="R16" s="1500"/>
    </row>
    <row r="17" spans="1:19" s="95" customFormat="1" ht="13.5" customHeight="1" x14ac:dyDescent="0.2">
      <c r="A17" s="667" t="str">
        <f t="shared" si="0"/>
        <v>01</v>
      </c>
      <c r="B17" s="1500"/>
      <c r="C17" s="169" t="s">
        <v>2169</v>
      </c>
      <c r="D17" s="167"/>
      <c r="E17" s="167"/>
      <c r="F17" s="167"/>
      <c r="G17" s="168"/>
      <c r="H17" s="167"/>
      <c r="I17" s="168"/>
      <c r="J17" s="167"/>
      <c r="K17" s="168"/>
      <c r="L17" s="167"/>
      <c r="M17" s="168"/>
      <c r="N17" s="167"/>
      <c r="O17" s="168"/>
      <c r="P17" s="167"/>
      <c r="Q17" s="168"/>
      <c r="R17" s="1500"/>
      <c r="S17" s="1500"/>
    </row>
    <row r="18" spans="1:19" s="94" customFormat="1" ht="12" customHeight="1" x14ac:dyDescent="0.25">
      <c r="A18" s="667" t="str">
        <f t="shared" si="0"/>
        <v>01</v>
      </c>
      <c r="C18" s="170" t="s">
        <v>2170</v>
      </c>
      <c r="D18" s="164"/>
      <c r="E18" s="164"/>
      <c r="F18" s="164"/>
      <c r="G18" s="164"/>
      <c r="H18" s="164"/>
      <c r="I18" s="164"/>
      <c r="J18" s="164"/>
      <c r="K18" s="164"/>
      <c r="L18" s="164"/>
      <c r="M18" s="164"/>
      <c r="N18" s="164"/>
      <c r="O18" s="164"/>
      <c r="P18" s="164"/>
      <c r="Q18" s="164"/>
      <c r="R18" s="164"/>
    </row>
    <row r="19" spans="1:19" s="94" customFormat="1" ht="12" customHeight="1" x14ac:dyDescent="0.2">
      <c r="A19" s="667" t="str">
        <f t="shared" si="0"/>
        <v>01</v>
      </c>
      <c r="B19" s="94" t="s">
        <v>2171</v>
      </c>
      <c r="C19" s="2890"/>
      <c r="D19" s="2890"/>
      <c r="E19" s="2890"/>
      <c r="F19" s="164"/>
      <c r="G19" s="335"/>
      <c r="H19" s="218"/>
      <c r="I19" s="335"/>
      <c r="J19" s="218"/>
      <c r="K19" s="335"/>
      <c r="L19" s="218"/>
      <c r="M19" s="335"/>
      <c r="N19" s="218"/>
      <c r="O19" s="335"/>
      <c r="P19" s="218"/>
      <c r="Q19" s="217">
        <f>SUM(I19:P19)</f>
        <v>0</v>
      </c>
      <c r="R19" s="339" t="str">
        <f>IF(S19=FALSE,"*","")</f>
        <v/>
      </c>
      <c r="S19" s="340" t="b">
        <f t="shared" ref="S19:S29" si="1">+G19=Q19</f>
        <v>1</v>
      </c>
    </row>
    <row r="20" spans="1:19" s="94" customFormat="1" ht="12" customHeight="1" x14ac:dyDescent="0.2">
      <c r="A20" s="667" t="str">
        <f t="shared" si="0"/>
        <v>01</v>
      </c>
      <c r="B20" s="94" t="s">
        <v>2172</v>
      </c>
      <c r="C20" s="2890"/>
      <c r="D20" s="2890"/>
      <c r="E20" s="2890"/>
      <c r="F20" s="164"/>
      <c r="G20" s="335"/>
      <c r="H20" s="218"/>
      <c r="I20" s="335"/>
      <c r="J20" s="218"/>
      <c r="K20" s="336"/>
      <c r="L20" s="218"/>
      <c r="M20" s="336"/>
      <c r="N20" s="218"/>
      <c r="O20" s="336"/>
      <c r="P20" s="218"/>
      <c r="Q20" s="217">
        <f t="shared" ref="Q20:Q34" si="2">SUM(I20:P20)</f>
        <v>0</v>
      </c>
      <c r="R20" s="339" t="str">
        <f t="shared" ref="R20:R34" si="3">IF(S20=FALSE,"*","")</f>
        <v/>
      </c>
      <c r="S20" s="340" t="b">
        <f t="shared" si="1"/>
        <v>1</v>
      </c>
    </row>
    <row r="21" spans="1:19" s="94" customFormat="1" ht="12" customHeight="1" x14ac:dyDescent="0.2">
      <c r="A21" s="667" t="str">
        <f t="shared" si="0"/>
        <v>01</v>
      </c>
      <c r="B21" s="94" t="s">
        <v>2173</v>
      </c>
      <c r="C21" s="2890"/>
      <c r="D21" s="2890"/>
      <c r="E21" s="2890"/>
      <c r="F21" s="164"/>
      <c r="G21" s="336"/>
      <c r="H21" s="218"/>
      <c r="I21" s="336"/>
      <c r="J21" s="218"/>
      <c r="K21" s="336"/>
      <c r="L21" s="218"/>
      <c r="M21" s="336"/>
      <c r="N21" s="218"/>
      <c r="O21" s="336"/>
      <c r="P21" s="218"/>
      <c r="Q21" s="217">
        <f t="shared" si="2"/>
        <v>0</v>
      </c>
      <c r="R21" s="339" t="str">
        <f t="shared" si="3"/>
        <v/>
      </c>
      <c r="S21" s="340" t="b">
        <f t="shared" si="1"/>
        <v>1</v>
      </c>
    </row>
    <row r="22" spans="1:19" s="94" customFormat="1" ht="12" customHeight="1" x14ac:dyDescent="0.2">
      <c r="A22" s="667" t="str">
        <f t="shared" si="0"/>
        <v>01</v>
      </c>
      <c r="B22" s="94" t="s">
        <v>2174</v>
      </c>
      <c r="C22" s="2893"/>
      <c r="D22" s="2893"/>
      <c r="E22" s="2893"/>
      <c r="F22" s="164"/>
      <c r="G22" s="335"/>
      <c r="H22" s="218"/>
      <c r="I22" s="336"/>
      <c r="J22" s="218"/>
      <c r="K22" s="336"/>
      <c r="L22" s="218"/>
      <c r="M22" s="336"/>
      <c r="N22" s="218"/>
      <c r="O22" s="336"/>
      <c r="P22" s="218"/>
      <c r="Q22" s="217">
        <f t="shared" si="2"/>
        <v>0</v>
      </c>
      <c r="R22" s="339" t="str">
        <f t="shared" si="3"/>
        <v/>
      </c>
      <c r="S22" s="340" t="b">
        <f t="shared" si="1"/>
        <v>1</v>
      </c>
    </row>
    <row r="23" spans="1:19" s="94" customFormat="1" ht="12" customHeight="1" x14ac:dyDescent="0.2">
      <c r="A23" s="667" t="str">
        <f t="shared" si="0"/>
        <v>01</v>
      </c>
      <c r="B23" s="94" t="s">
        <v>2175</v>
      </c>
      <c r="C23" s="2890"/>
      <c r="D23" s="2890"/>
      <c r="E23" s="2890"/>
      <c r="F23" s="164"/>
      <c r="G23" s="335"/>
      <c r="H23" s="218"/>
      <c r="I23" s="335"/>
      <c r="J23" s="218"/>
      <c r="K23" s="336"/>
      <c r="L23" s="218"/>
      <c r="M23" s="336"/>
      <c r="N23" s="218"/>
      <c r="O23" s="336"/>
      <c r="P23" s="218"/>
      <c r="Q23" s="217">
        <f t="shared" si="2"/>
        <v>0</v>
      </c>
      <c r="R23" s="339" t="str">
        <f t="shared" si="3"/>
        <v/>
      </c>
      <c r="S23" s="340" t="b">
        <f t="shared" si="1"/>
        <v>1</v>
      </c>
    </row>
    <row r="24" spans="1:19" s="94" customFormat="1" ht="12" customHeight="1" x14ac:dyDescent="0.2">
      <c r="A24" s="667" t="str">
        <f t="shared" si="0"/>
        <v>01</v>
      </c>
      <c r="B24" s="94" t="s">
        <v>2176</v>
      </c>
      <c r="C24" s="2890"/>
      <c r="D24" s="2890"/>
      <c r="E24" s="2890"/>
      <c r="F24" s="164"/>
      <c r="G24" s="336"/>
      <c r="H24" s="218"/>
      <c r="I24" s="335"/>
      <c r="J24" s="218"/>
      <c r="K24" s="336"/>
      <c r="L24" s="218"/>
      <c r="M24" s="336"/>
      <c r="N24" s="218"/>
      <c r="O24" s="336"/>
      <c r="P24" s="218"/>
      <c r="Q24" s="217">
        <f t="shared" ref="Q24:Q29" si="4">SUM(I24:P24)</f>
        <v>0</v>
      </c>
      <c r="R24" s="339" t="str">
        <f t="shared" si="3"/>
        <v/>
      </c>
      <c r="S24" s="340" t="b">
        <f t="shared" si="1"/>
        <v>1</v>
      </c>
    </row>
    <row r="25" spans="1:19" s="94" customFormat="1" ht="15" customHeight="1" x14ac:dyDescent="0.2">
      <c r="A25" s="667" t="str">
        <f t="shared" si="0"/>
        <v>01</v>
      </c>
      <c r="B25" s="94" t="s">
        <v>2176</v>
      </c>
      <c r="C25" s="2890"/>
      <c r="D25" s="2890"/>
      <c r="E25" s="2890"/>
      <c r="F25" s="164"/>
      <c r="G25" s="336"/>
      <c r="H25" s="218"/>
      <c r="I25" s="335"/>
      <c r="J25" s="218"/>
      <c r="K25" s="336"/>
      <c r="L25" s="218"/>
      <c r="M25" s="336"/>
      <c r="N25" s="218"/>
      <c r="O25" s="336"/>
      <c r="P25" s="218"/>
      <c r="Q25" s="217">
        <f t="shared" si="4"/>
        <v>0</v>
      </c>
      <c r="R25" s="339" t="str">
        <f t="shared" si="3"/>
        <v/>
      </c>
      <c r="S25" s="340" t="b">
        <f t="shared" si="1"/>
        <v>1</v>
      </c>
    </row>
    <row r="26" spans="1:19" s="94" customFormat="1" ht="15" customHeight="1" x14ac:dyDescent="0.2">
      <c r="A26" s="667" t="str">
        <f t="shared" si="0"/>
        <v>01</v>
      </c>
      <c r="C26" s="2890"/>
      <c r="D26" s="2890"/>
      <c r="E26" s="2890"/>
      <c r="F26" s="164"/>
      <c r="G26" s="335"/>
      <c r="H26" s="218"/>
      <c r="I26" s="335"/>
      <c r="J26" s="218"/>
      <c r="K26" s="335"/>
      <c r="L26" s="218"/>
      <c r="M26" s="335"/>
      <c r="N26" s="218"/>
      <c r="O26" s="335"/>
      <c r="P26" s="218"/>
      <c r="Q26" s="217">
        <f t="shared" si="4"/>
        <v>0</v>
      </c>
      <c r="R26" s="339" t="str">
        <f t="shared" si="3"/>
        <v/>
      </c>
      <c r="S26" s="340" t="b">
        <f t="shared" si="1"/>
        <v>1</v>
      </c>
    </row>
    <row r="27" spans="1:19" s="94" customFormat="1" ht="14.25" customHeight="1" x14ac:dyDescent="0.2">
      <c r="A27" s="667" t="str">
        <f t="shared" si="0"/>
        <v>01</v>
      </c>
      <c r="C27" s="2890"/>
      <c r="D27" s="2890"/>
      <c r="E27" s="2890"/>
      <c r="F27" s="164"/>
      <c r="G27" s="335"/>
      <c r="H27" s="218"/>
      <c r="I27" s="336"/>
      <c r="J27" s="218"/>
      <c r="K27" s="336"/>
      <c r="L27" s="218"/>
      <c r="M27" s="336"/>
      <c r="N27" s="218"/>
      <c r="O27" s="336"/>
      <c r="P27" s="218"/>
      <c r="Q27" s="217">
        <f t="shared" si="4"/>
        <v>0</v>
      </c>
      <c r="R27" s="339" t="str">
        <f t="shared" si="3"/>
        <v/>
      </c>
      <c r="S27" s="340" t="b">
        <f t="shared" si="1"/>
        <v>1</v>
      </c>
    </row>
    <row r="28" spans="1:19" s="94" customFormat="1" ht="14.25" customHeight="1" x14ac:dyDescent="0.2">
      <c r="A28" s="667" t="str">
        <f t="shared" si="0"/>
        <v>01</v>
      </c>
      <c r="C28" s="2890"/>
      <c r="D28" s="2890"/>
      <c r="E28" s="2890"/>
      <c r="F28" s="164"/>
      <c r="G28" s="335"/>
      <c r="H28" s="218"/>
      <c r="I28" s="336"/>
      <c r="J28" s="218"/>
      <c r="K28" s="336"/>
      <c r="L28" s="218"/>
      <c r="M28" s="336"/>
      <c r="N28" s="218"/>
      <c r="O28" s="336"/>
      <c r="P28" s="218"/>
      <c r="Q28" s="217">
        <f t="shared" si="4"/>
        <v>0</v>
      </c>
      <c r="R28" s="339" t="str">
        <f t="shared" si="3"/>
        <v/>
      </c>
      <c r="S28" s="340" t="b">
        <f t="shared" si="1"/>
        <v>1</v>
      </c>
    </row>
    <row r="29" spans="1:19" s="94" customFormat="1" ht="14.25" customHeight="1" x14ac:dyDescent="0.2">
      <c r="A29" s="667" t="str">
        <f t="shared" si="0"/>
        <v>01</v>
      </c>
      <c r="C29" s="2890"/>
      <c r="D29" s="2890"/>
      <c r="E29" s="2890"/>
      <c r="F29" s="164"/>
      <c r="G29" s="335"/>
      <c r="H29" s="218"/>
      <c r="I29" s="336"/>
      <c r="J29" s="218"/>
      <c r="K29" s="336"/>
      <c r="L29" s="218"/>
      <c r="M29" s="336"/>
      <c r="N29" s="218"/>
      <c r="O29" s="336"/>
      <c r="P29" s="218"/>
      <c r="Q29" s="217">
        <f t="shared" si="4"/>
        <v>0</v>
      </c>
      <c r="R29" s="339" t="str">
        <f t="shared" si="3"/>
        <v/>
      </c>
      <c r="S29" s="340" t="b">
        <f t="shared" si="1"/>
        <v>1</v>
      </c>
    </row>
    <row r="30" spans="1:19" s="94" customFormat="1" ht="15" customHeight="1" x14ac:dyDescent="0.25">
      <c r="A30" s="667" t="str">
        <f t="shared" si="0"/>
        <v>01</v>
      </c>
      <c r="B30" s="94" t="s">
        <v>2177</v>
      </c>
      <c r="C30" s="170" t="s">
        <v>2178</v>
      </c>
      <c r="D30" s="164"/>
      <c r="E30" s="164"/>
      <c r="F30" s="164"/>
      <c r="G30" s="218"/>
      <c r="H30" s="218"/>
      <c r="I30" s="218"/>
      <c r="J30" s="218"/>
      <c r="K30" s="218"/>
      <c r="L30" s="218"/>
      <c r="M30" s="218"/>
      <c r="N30" s="218"/>
      <c r="O30" s="218"/>
      <c r="P30" s="218"/>
      <c r="Q30" s="218"/>
      <c r="R30" s="341"/>
      <c r="S30" s="340"/>
    </row>
    <row r="31" spans="1:19" s="94" customFormat="1" ht="12" customHeight="1" x14ac:dyDescent="0.2">
      <c r="A31" s="667" t="str">
        <f t="shared" si="0"/>
        <v>01</v>
      </c>
      <c r="B31" s="94" t="s">
        <v>2179</v>
      </c>
      <c r="C31" s="2890"/>
      <c r="D31" s="2890"/>
      <c r="E31" s="2890"/>
      <c r="F31" s="164"/>
      <c r="G31" s="335"/>
      <c r="H31" s="218"/>
      <c r="I31" s="335"/>
      <c r="J31" s="218"/>
      <c r="K31" s="335"/>
      <c r="L31" s="218"/>
      <c r="M31" s="335"/>
      <c r="N31" s="218"/>
      <c r="O31" s="335"/>
      <c r="P31" s="218"/>
      <c r="Q31" s="217">
        <f t="shared" si="2"/>
        <v>0</v>
      </c>
      <c r="R31" s="339" t="str">
        <f t="shared" si="3"/>
        <v/>
      </c>
      <c r="S31" s="340" t="b">
        <f>+G31=Q31</f>
        <v>1</v>
      </c>
    </row>
    <row r="32" spans="1:19" s="94" customFormat="1" ht="12" customHeight="1" x14ac:dyDescent="0.2">
      <c r="A32" s="667" t="str">
        <f t="shared" si="0"/>
        <v>01</v>
      </c>
      <c r="B32" s="94" t="s">
        <v>2180</v>
      </c>
      <c r="C32" s="2893"/>
      <c r="D32" s="2893"/>
      <c r="E32" s="2893"/>
      <c r="F32" s="164"/>
      <c r="G32" s="335"/>
      <c r="H32" s="218"/>
      <c r="I32" s="336"/>
      <c r="J32" s="218"/>
      <c r="K32" s="336"/>
      <c r="L32" s="218"/>
      <c r="M32" s="336"/>
      <c r="N32" s="218"/>
      <c r="O32" s="336"/>
      <c r="P32" s="218"/>
      <c r="Q32" s="217">
        <f t="shared" si="2"/>
        <v>0</v>
      </c>
      <c r="R32" s="339" t="str">
        <f t="shared" si="3"/>
        <v/>
      </c>
      <c r="S32" s="340" t="b">
        <f>+G32=Q32</f>
        <v>1</v>
      </c>
    </row>
    <row r="33" spans="1:19" s="94" customFormat="1" ht="12" customHeight="1" x14ac:dyDescent="0.2">
      <c r="A33" s="667" t="str">
        <f t="shared" si="0"/>
        <v>01</v>
      </c>
      <c r="C33" s="2894"/>
      <c r="D33" s="2894"/>
      <c r="E33" s="2894"/>
      <c r="F33" s="164"/>
      <c r="G33" s="335"/>
      <c r="H33" s="218"/>
      <c r="I33" s="884"/>
      <c r="J33" s="218"/>
      <c r="K33" s="884"/>
      <c r="L33" s="218"/>
      <c r="M33" s="884"/>
      <c r="N33" s="218"/>
      <c r="O33" s="884"/>
      <c r="P33" s="218"/>
      <c r="Q33" s="217">
        <f t="shared" si="2"/>
        <v>0</v>
      </c>
      <c r="R33" s="339" t="str">
        <f t="shared" si="3"/>
        <v/>
      </c>
      <c r="S33" s="340" t="b">
        <f>+G33=Q33</f>
        <v>1</v>
      </c>
    </row>
    <row r="34" spans="1:19" s="94" customFormat="1" ht="12" customHeight="1" thickBot="1" x14ac:dyDescent="0.25">
      <c r="A34" s="667" t="str">
        <f t="shared" si="0"/>
        <v>01</v>
      </c>
      <c r="B34" s="94" t="s">
        <v>2181</v>
      </c>
      <c r="C34" s="2890"/>
      <c r="D34" s="2890"/>
      <c r="E34" s="2890"/>
      <c r="F34" s="164"/>
      <c r="G34" s="337"/>
      <c r="H34" s="218"/>
      <c r="I34" s="338"/>
      <c r="J34" s="218"/>
      <c r="K34" s="338"/>
      <c r="L34" s="218"/>
      <c r="M34" s="338"/>
      <c r="N34" s="218"/>
      <c r="O34" s="338"/>
      <c r="P34" s="218"/>
      <c r="Q34" s="220">
        <f t="shared" si="2"/>
        <v>0</v>
      </c>
      <c r="R34" s="339" t="str">
        <f t="shared" si="3"/>
        <v/>
      </c>
      <c r="S34" s="340" t="b">
        <f>+G34=Q34</f>
        <v>1</v>
      </c>
    </row>
    <row r="35" spans="1:19" s="94" customFormat="1" ht="15" customHeight="1" thickBot="1" x14ac:dyDescent="0.25">
      <c r="A35" s="667" t="str">
        <f t="shared" si="0"/>
        <v>01</v>
      </c>
      <c r="B35" s="94" t="s">
        <v>2182</v>
      </c>
      <c r="C35" s="171" t="s">
        <v>2183</v>
      </c>
      <c r="D35" s="164"/>
      <c r="E35" s="164"/>
      <c r="F35" s="164"/>
      <c r="G35" s="221">
        <f>SUM(G19:G34)</f>
        <v>0</v>
      </c>
      <c r="H35" s="218"/>
      <c r="I35" s="221">
        <f>SUM(I19:I34)</f>
        <v>0</v>
      </c>
      <c r="J35" s="218"/>
      <c r="K35" s="221">
        <f>SUM(K19:K34)</f>
        <v>0</v>
      </c>
      <c r="L35" s="218"/>
      <c r="M35" s="221">
        <f>SUM(M19:M34)</f>
        <v>0</v>
      </c>
      <c r="N35" s="218"/>
      <c r="O35" s="221">
        <f>SUM(O19:O34)</f>
        <v>0</v>
      </c>
      <c r="P35" s="218"/>
      <c r="Q35" s="221">
        <f>SUM(Q19:Q34)</f>
        <v>0</v>
      </c>
      <c r="R35" s="341"/>
      <c r="S35" s="340"/>
    </row>
    <row r="36" spans="1:19" s="94" customFormat="1" ht="12" customHeight="1" thickTop="1" x14ac:dyDescent="0.2">
      <c r="A36" s="667" t="str">
        <f t="shared" si="0"/>
        <v>01</v>
      </c>
      <c r="C36" s="164"/>
      <c r="D36" s="164"/>
      <c r="E36" s="164"/>
      <c r="F36" s="164"/>
      <c r="G36" s="223"/>
      <c r="H36" s="218"/>
      <c r="I36" s="218"/>
      <c r="J36" s="218"/>
      <c r="K36" s="218"/>
      <c r="L36" s="218"/>
      <c r="M36" s="218"/>
      <c r="N36" s="218"/>
      <c r="O36" s="218"/>
      <c r="P36" s="218"/>
      <c r="Q36" s="218"/>
      <c r="R36" s="341"/>
      <c r="S36" s="340"/>
    </row>
    <row r="37" spans="1:19" s="94" customFormat="1" ht="12.75" customHeight="1" x14ac:dyDescent="0.2">
      <c r="A37" s="667" t="str">
        <f t="shared" ref="A37:A64" si="5">AgyIdx</f>
        <v>01</v>
      </c>
      <c r="C37" s="169" t="s">
        <v>2184</v>
      </c>
      <c r="D37" s="164"/>
      <c r="E37" s="164"/>
      <c r="F37" s="164"/>
      <c r="G37" s="218"/>
      <c r="H37" s="218"/>
      <c r="I37" s="218"/>
      <c r="J37" s="218"/>
      <c r="K37" s="218"/>
      <c r="L37" s="218"/>
      <c r="M37" s="218"/>
      <c r="N37" s="218"/>
      <c r="O37" s="218"/>
      <c r="P37" s="218"/>
      <c r="Q37" s="218"/>
      <c r="R37" s="341"/>
      <c r="S37" s="340"/>
    </row>
    <row r="38" spans="1:19" s="94" customFormat="1" ht="12" customHeight="1" x14ac:dyDescent="0.25">
      <c r="A38" s="667" t="str">
        <f t="shared" si="5"/>
        <v>01</v>
      </c>
      <c r="C38" s="170" t="s">
        <v>2185</v>
      </c>
      <c r="D38" s="164"/>
      <c r="E38" s="164"/>
      <c r="F38" s="164"/>
      <c r="G38" s="218"/>
      <c r="H38" s="218"/>
      <c r="I38" s="218"/>
      <c r="J38" s="218"/>
      <c r="K38" s="218"/>
      <c r="L38" s="218"/>
      <c r="M38" s="218"/>
      <c r="N38" s="218"/>
      <c r="O38" s="218"/>
      <c r="P38" s="218"/>
      <c r="Q38" s="218"/>
      <c r="R38" s="341"/>
      <c r="S38" s="340"/>
    </row>
    <row r="39" spans="1:19" s="94" customFormat="1" ht="12" customHeight="1" x14ac:dyDescent="0.2">
      <c r="A39" s="667" t="str">
        <f t="shared" si="5"/>
        <v>01</v>
      </c>
      <c r="B39" s="94" t="s">
        <v>2186</v>
      </c>
      <c r="C39" s="2890"/>
      <c r="D39" s="2890"/>
      <c r="E39" s="2890"/>
      <c r="F39" s="164"/>
      <c r="G39" s="335"/>
      <c r="H39" s="218"/>
      <c r="I39" s="335"/>
      <c r="J39" s="218"/>
      <c r="K39" s="335"/>
      <c r="L39" s="218"/>
      <c r="M39" s="335"/>
      <c r="N39" s="218"/>
      <c r="O39" s="335"/>
      <c r="P39" s="218"/>
      <c r="Q39" s="217">
        <f t="shared" ref="Q39:Q44" si="6">SUM(I39:P39)</f>
        <v>0</v>
      </c>
      <c r="R39" s="339" t="str">
        <f t="shared" ref="R39:R44" si="7">IF(S39=FALSE,"*","")</f>
        <v/>
      </c>
      <c r="S39" s="340" t="b">
        <f t="shared" ref="S39:S44" si="8">+G39=Q39</f>
        <v>1</v>
      </c>
    </row>
    <row r="40" spans="1:19" s="94" customFormat="1" ht="12" customHeight="1" x14ac:dyDescent="0.2">
      <c r="A40" s="667" t="str">
        <f t="shared" si="5"/>
        <v>01</v>
      </c>
      <c r="B40" s="94" t="s">
        <v>2187</v>
      </c>
      <c r="C40" s="2890"/>
      <c r="D40" s="2890"/>
      <c r="E40" s="2890"/>
      <c r="F40" s="164"/>
      <c r="G40" s="335"/>
      <c r="H40" s="218"/>
      <c r="I40" s="335"/>
      <c r="J40" s="218"/>
      <c r="K40" s="335"/>
      <c r="L40" s="218"/>
      <c r="M40" s="335"/>
      <c r="N40" s="218"/>
      <c r="O40" s="335"/>
      <c r="P40" s="218"/>
      <c r="Q40" s="217">
        <f t="shared" si="6"/>
        <v>0</v>
      </c>
      <c r="R40" s="339" t="str">
        <f t="shared" si="7"/>
        <v/>
      </c>
      <c r="S40" s="340" t="b">
        <f t="shared" si="8"/>
        <v>1</v>
      </c>
    </row>
    <row r="41" spans="1:19" s="94" customFormat="1" ht="12" customHeight="1" x14ac:dyDescent="0.2">
      <c r="A41" s="667" t="str">
        <f t="shared" si="5"/>
        <v>01</v>
      </c>
      <c r="B41" s="94" t="s">
        <v>2188</v>
      </c>
      <c r="C41" s="2890"/>
      <c r="D41" s="2890"/>
      <c r="E41" s="2890"/>
      <c r="F41" s="164"/>
      <c r="G41" s="335"/>
      <c r="H41" s="218"/>
      <c r="I41" s="335"/>
      <c r="J41" s="218"/>
      <c r="K41" s="335"/>
      <c r="L41" s="218"/>
      <c r="M41" s="335"/>
      <c r="N41" s="218"/>
      <c r="O41" s="335"/>
      <c r="P41" s="218"/>
      <c r="Q41" s="217">
        <f t="shared" si="6"/>
        <v>0</v>
      </c>
      <c r="R41" s="339" t="str">
        <f t="shared" si="7"/>
        <v/>
      </c>
      <c r="S41" s="340" t="b">
        <f t="shared" si="8"/>
        <v>1</v>
      </c>
    </row>
    <row r="42" spans="1:19" s="94" customFormat="1" ht="12" customHeight="1" x14ac:dyDescent="0.2">
      <c r="A42" s="667" t="str">
        <f t="shared" si="5"/>
        <v>01</v>
      </c>
      <c r="B42" s="94" t="s">
        <v>2189</v>
      </c>
      <c r="C42" s="2890"/>
      <c r="D42" s="2890"/>
      <c r="E42" s="2890"/>
      <c r="F42" s="164"/>
      <c r="G42" s="335"/>
      <c r="H42" s="218"/>
      <c r="I42" s="335"/>
      <c r="J42" s="218"/>
      <c r="K42" s="335"/>
      <c r="L42" s="218"/>
      <c r="M42" s="335"/>
      <c r="N42" s="218"/>
      <c r="O42" s="335"/>
      <c r="P42" s="218"/>
      <c r="Q42" s="217">
        <f t="shared" si="6"/>
        <v>0</v>
      </c>
      <c r="R42" s="339" t="str">
        <f t="shared" si="7"/>
        <v/>
      </c>
      <c r="S42" s="340" t="b">
        <f t="shared" si="8"/>
        <v>1</v>
      </c>
    </row>
    <row r="43" spans="1:19" s="94" customFormat="1" ht="12" customHeight="1" x14ac:dyDescent="0.2">
      <c r="A43" s="667" t="str">
        <f t="shared" si="5"/>
        <v>01</v>
      </c>
      <c r="B43" s="94" t="s">
        <v>2190</v>
      </c>
      <c r="C43" s="2890"/>
      <c r="D43" s="2890"/>
      <c r="E43" s="2890"/>
      <c r="F43" s="164"/>
      <c r="G43" s="335"/>
      <c r="H43" s="218"/>
      <c r="I43" s="335"/>
      <c r="J43" s="218"/>
      <c r="K43" s="335"/>
      <c r="L43" s="218"/>
      <c r="M43" s="335"/>
      <c r="N43" s="218"/>
      <c r="O43" s="335"/>
      <c r="P43" s="218"/>
      <c r="Q43" s="217">
        <f t="shared" si="6"/>
        <v>0</v>
      </c>
      <c r="R43" s="339" t="str">
        <f t="shared" si="7"/>
        <v/>
      </c>
      <c r="S43" s="340" t="b">
        <f t="shared" si="8"/>
        <v>1</v>
      </c>
    </row>
    <row r="44" spans="1:19" s="94" customFormat="1" ht="12" customHeight="1" thickBot="1" x14ac:dyDescent="0.25">
      <c r="A44" s="667" t="str">
        <f t="shared" si="5"/>
        <v>01</v>
      </c>
      <c r="B44" s="94" t="s">
        <v>2191</v>
      </c>
      <c r="C44" s="2890"/>
      <c r="D44" s="2890"/>
      <c r="E44" s="2890"/>
      <c r="F44" s="164"/>
      <c r="G44" s="337"/>
      <c r="H44" s="218"/>
      <c r="I44" s="338"/>
      <c r="J44" s="218"/>
      <c r="K44" s="338"/>
      <c r="L44" s="218"/>
      <c r="M44" s="338"/>
      <c r="N44" s="218"/>
      <c r="O44" s="338"/>
      <c r="P44" s="218"/>
      <c r="Q44" s="217">
        <f t="shared" si="6"/>
        <v>0</v>
      </c>
      <c r="R44" s="339" t="str">
        <f t="shared" si="7"/>
        <v/>
      </c>
      <c r="S44" s="340" t="b">
        <f t="shared" si="8"/>
        <v>1</v>
      </c>
    </row>
    <row r="45" spans="1:19" s="94" customFormat="1" ht="15" customHeight="1" thickBot="1" x14ac:dyDescent="0.25">
      <c r="A45" s="667" t="str">
        <f t="shared" si="5"/>
        <v>01</v>
      </c>
      <c r="B45" s="94" t="s">
        <v>2192</v>
      </c>
      <c r="C45" s="171" t="s">
        <v>2193</v>
      </c>
      <c r="D45" s="164"/>
      <c r="E45" s="164"/>
      <c r="F45" s="164"/>
      <c r="G45" s="222">
        <f>SUM(G39:G44)</f>
        <v>0</v>
      </c>
      <c r="H45" s="218"/>
      <c r="I45" s="222">
        <f>SUM(I39:I44)</f>
        <v>0</v>
      </c>
      <c r="J45" s="218"/>
      <c r="K45" s="222">
        <f>SUM(K39:K44)</f>
        <v>0</v>
      </c>
      <c r="L45" s="218"/>
      <c r="M45" s="222">
        <f>SUM(M39:M44)</f>
        <v>0</v>
      </c>
      <c r="N45" s="218"/>
      <c r="O45" s="222">
        <f>SUM(O39:O44)</f>
        <v>0</v>
      </c>
      <c r="P45" s="218"/>
      <c r="Q45" s="222">
        <f>SUM(Q39:Q44)</f>
        <v>0</v>
      </c>
      <c r="R45" s="341"/>
      <c r="S45" s="1142">
        <f>COUNTIF(S19:S44,FALSE)</f>
        <v>0</v>
      </c>
    </row>
    <row r="46" spans="1:19" ht="15" customHeight="1" thickTop="1" x14ac:dyDescent="0.2">
      <c r="A46" s="667" t="str">
        <f t="shared" si="5"/>
        <v>01</v>
      </c>
      <c r="G46" s="8"/>
      <c r="H46" s="8"/>
      <c r="I46" s="8"/>
      <c r="J46" s="8"/>
      <c r="K46" s="8"/>
      <c r="L46" s="8"/>
      <c r="M46" s="8"/>
      <c r="N46" s="8"/>
      <c r="O46" s="8"/>
      <c r="P46" s="8"/>
      <c r="Q46" s="8"/>
    </row>
    <row r="47" spans="1:19" ht="15" customHeight="1" x14ac:dyDescent="0.2">
      <c r="A47" s="667" t="str">
        <f t="shared" si="5"/>
        <v>01</v>
      </c>
      <c r="G47" s="8"/>
      <c r="H47" s="8"/>
      <c r="I47" s="8"/>
      <c r="J47" s="8"/>
      <c r="K47" s="8"/>
      <c r="L47" s="8"/>
      <c r="M47" s="8"/>
      <c r="N47" s="8"/>
      <c r="O47" s="8"/>
      <c r="P47" s="8"/>
      <c r="Q47" s="8"/>
    </row>
    <row r="48" spans="1:19" ht="15" customHeight="1" x14ac:dyDescent="0.2">
      <c r="A48" s="667" t="str">
        <f t="shared" si="5"/>
        <v>01</v>
      </c>
      <c r="G48" s="8"/>
      <c r="H48" s="8"/>
      <c r="I48" s="8"/>
      <c r="J48" s="8"/>
      <c r="K48" s="8"/>
      <c r="L48" s="8"/>
      <c r="M48" s="8"/>
      <c r="N48" s="8"/>
      <c r="O48" s="8"/>
      <c r="P48" s="8"/>
      <c r="Q48" s="8"/>
    </row>
    <row r="49" spans="1:17" ht="15" customHeight="1" x14ac:dyDescent="0.2">
      <c r="A49" s="667" t="str">
        <f t="shared" si="5"/>
        <v>01</v>
      </c>
      <c r="B49" s="445" t="str">
        <f ca="1">MID(CELL("filename",B15),FIND("]",CELL("filename",B15))+1,256)</f>
        <v>705</v>
      </c>
      <c r="C49" s="445" t="s">
        <v>636</v>
      </c>
      <c r="G49" s="8"/>
      <c r="H49" s="8"/>
      <c r="I49" s="8"/>
      <c r="J49" s="8"/>
      <c r="K49" s="8"/>
      <c r="L49" s="8"/>
      <c r="M49" s="8"/>
      <c r="N49" s="8"/>
      <c r="O49" s="8"/>
      <c r="P49" s="8"/>
      <c r="Q49" s="8"/>
    </row>
    <row r="50" spans="1:17" ht="15" customHeight="1" x14ac:dyDescent="0.2">
      <c r="A50" s="667" t="str">
        <f t="shared" si="5"/>
        <v>01</v>
      </c>
      <c r="B50" s="445" t="s">
        <v>380</v>
      </c>
      <c r="C50" s="445" t="str">
        <f t="shared" ref="C50:C59" ca="1" si="9">IF(ISNA(INDEX(ErrorTable,MATCH($B$49&amp;$B50&amp;FALSE,ErrorKey,0),6)),"",INDEX(ErrorTable,MATCH($B$49&amp;$B50&amp;FALSE,ErrorKey,0),6))</f>
        <v/>
      </c>
      <c r="G50" s="8"/>
      <c r="H50" s="8"/>
      <c r="I50" s="8"/>
      <c r="J50" s="8"/>
      <c r="K50" s="8"/>
      <c r="L50" s="8"/>
      <c r="M50" s="8"/>
      <c r="N50" s="8"/>
      <c r="O50" s="8"/>
      <c r="P50" s="8"/>
      <c r="Q50" s="8"/>
    </row>
    <row r="51" spans="1:17" ht="15" customHeight="1" x14ac:dyDescent="0.2">
      <c r="A51" s="667" t="str">
        <f t="shared" si="5"/>
        <v>01</v>
      </c>
      <c r="B51" s="445" t="s">
        <v>381</v>
      </c>
      <c r="C51" s="445" t="str">
        <f t="shared" ca="1" si="9"/>
        <v/>
      </c>
      <c r="G51" s="8"/>
      <c r="H51" s="8"/>
      <c r="I51" s="8"/>
      <c r="J51" s="8"/>
      <c r="K51" s="8"/>
      <c r="L51" s="8"/>
      <c r="M51" s="8"/>
      <c r="N51" s="8"/>
      <c r="O51" s="8"/>
      <c r="P51" s="8"/>
      <c r="Q51" s="8"/>
    </row>
    <row r="52" spans="1:17" ht="15" customHeight="1" x14ac:dyDescent="0.2">
      <c r="A52" s="667" t="str">
        <f t="shared" si="5"/>
        <v>01</v>
      </c>
      <c r="B52" s="445" t="s">
        <v>382</v>
      </c>
      <c r="C52" s="445" t="str">
        <f t="shared" ca="1" si="9"/>
        <v/>
      </c>
      <c r="G52" s="8"/>
      <c r="H52" s="8"/>
      <c r="I52" s="8"/>
      <c r="J52" s="8"/>
      <c r="K52" s="8"/>
      <c r="L52" s="8"/>
      <c r="M52" s="8"/>
      <c r="N52" s="8"/>
      <c r="O52" s="8"/>
      <c r="P52" s="8"/>
      <c r="Q52" s="8"/>
    </row>
    <row r="53" spans="1:17" ht="15" customHeight="1" x14ac:dyDescent="0.2">
      <c r="A53" s="667" t="str">
        <f t="shared" si="5"/>
        <v>01</v>
      </c>
      <c r="B53" s="445" t="s">
        <v>383</v>
      </c>
      <c r="C53" s="445" t="str">
        <f t="shared" ca="1" si="9"/>
        <v/>
      </c>
      <c r="G53" s="8"/>
      <c r="H53" s="8"/>
      <c r="I53" s="8"/>
      <c r="J53" s="8"/>
      <c r="K53" s="8"/>
      <c r="L53" s="8"/>
      <c r="M53" s="8"/>
      <c r="N53" s="8"/>
      <c r="O53" s="8"/>
      <c r="P53" s="8"/>
      <c r="Q53" s="8"/>
    </row>
    <row r="54" spans="1:17" ht="15" customHeight="1" x14ac:dyDescent="0.2">
      <c r="A54" s="667" t="str">
        <f t="shared" si="5"/>
        <v>01</v>
      </c>
      <c r="B54" s="445" t="s">
        <v>384</v>
      </c>
      <c r="C54" s="445" t="str">
        <f t="shared" ca="1" si="9"/>
        <v/>
      </c>
      <c r="G54" s="8"/>
      <c r="H54" s="8"/>
      <c r="I54" s="8"/>
      <c r="J54" s="8"/>
      <c r="K54" s="8"/>
      <c r="L54" s="8"/>
      <c r="M54" s="8"/>
      <c r="N54" s="8"/>
      <c r="O54" s="8"/>
      <c r="P54" s="8"/>
      <c r="Q54" s="8"/>
    </row>
    <row r="55" spans="1:17" ht="15" customHeight="1" x14ac:dyDescent="0.2">
      <c r="A55" s="667" t="str">
        <f t="shared" si="5"/>
        <v>01</v>
      </c>
      <c r="B55" s="445" t="s">
        <v>385</v>
      </c>
      <c r="C55" s="445" t="str">
        <f t="shared" ca="1" si="9"/>
        <v/>
      </c>
      <c r="G55" s="8"/>
      <c r="H55" s="8"/>
      <c r="I55" s="8"/>
      <c r="J55" s="8"/>
      <c r="K55" s="8"/>
      <c r="L55" s="8"/>
      <c r="M55" s="8"/>
      <c r="N55" s="8"/>
      <c r="O55" s="8"/>
      <c r="P55" s="8"/>
      <c r="Q55" s="8"/>
    </row>
    <row r="56" spans="1:17" ht="15" customHeight="1" x14ac:dyDescent="0.2">
      <c r="A56" s="667" t="str">
        <f t="shared" si="5"/>
        <v>01</v>
      </c>
      <c r="B56" s="445" t="s">
        <v>386</v>
      </c>
      <c r="C56" s="445" t="str">
        <f t="shared" ca="1" si="9"/>
        <v/>
      </c>
      <c r="G56" s="8"/>
      <c r="H56" s="8"/>
      <c r="I56" s="8"/>
      <c r="J56" s="8"/>
      <c r="K56" s="8"/>
      <c r="L56" s="8"/>
      <c r="M56" s="8"/>
      <c r="N56" s="8"/>
      <c r="O56" s="8"/>
      <c r="P56" s="8"/>
      <c r="Q56" s="8"/>
    </row>
    <row r="57" spans="1:17" ht="15" customHeight="1" x14ac:dyDescent="0.2">
      <c r="A57" s="667" t="str">
        <f t="shared" si="5"/>
        <v>01</v>
      </c>
      <c r="B57" s="445" t="s">
        <v>387</v>
      </c>
      <c r="C57" s="445" t="str">
        <f t="shared" ca="1" si="9"/>
        <v/>
      </c>
      <c r="G57" s="8"/>
      <c r="H57" s="8"/>
      <c r="I57" s="8"/>
      <c r="J57" s="8"/>
      <c r="K57" s="8"/>
      <c r="L57" s="8"/>
      <c r="M57" s="8"/>
      <c r="N57" s="8"/>
      <c r="O57" s="8"/>
      <c r="P57" s="8"/>
      <c r="Q57" s="8"/>
    </row>
    <row r="58" spans="1:17" ht="15" customHeight="1" x14ac:dyDescent="0.2">
      <c r="A58" s="667" t="str">
        <f t="shared" si="5"/>
        <v>01</v>
      </c>
      <c r="B58" s="445" t="s">
        <v>388</v>
      </c>
      <c r="C58" s="445" t="str">
        <f t="shared" ca="1" si="9"/>
        <v/>
      </c>
    </row>
    <row r="59" spans="1:17" ht="15" customHeight="1" x14ac:dyDescent="0.2">
      <c r="A59" s="667" t="str">
        <f t="shared" si="5"/>
        <v>01</v>
      </c>
      <c r="B59" s="445" t="s">
        <v>389</v>
      </c>
      <c r="C59" s="445" t="str">
        <f t="shared" ca="1" si="9"/>
        <v/>
      </c>
    </row>
    <row r="60" spans="1:17" ht="15" customHeight="1" x14ac:dyDescent="0.2">
      <c r="A60" s="667" t="str">
        <f t="shared" si="5"/>
        <v>01</v>
      </c>
    </row>
    <row r="61" spans="1:17" ht="15" customHeight="1" x14ac:dyDescent="0.2">
      <c r="A61" s="667" t="str">
        <f t="shared" si="5"/>
        <v>01</v>
      </c>
    </row>
    <row r="62" spans="1:17" ht="15" customHeight="1" x14ac:dyDescent="0.2">
      <c r="A62" s="667" t="str">
        <f t="shared" si="5"/>
        <v>01</v>
      </c>
    </row>
    <row r="63" spans="1:17" ht="15" customHeight="1" x14ac:dyDescent="0.2">
      <c r="A63" s="667" t="str">
        <f t="shared" si="5"/>
        <v>01</v>
      </c>
    </row>
    <row r="64" spans="1:17" ht="15" customHeight="1" x14ac:dyDescent="0.2">
      <c r="A64" s="667" t="str">
        <f t="shared" si="5"/>
        <v>01</v>
      </c>
    </row>
    <row r="65" ht="15" customHeight="1" x14ac:dyDescent="0.2"/>
    <row r="66" ht="15" customHeight="1" x14ac:dyDescent="0.2"/>
    <row r="67" ht="15" customHeight="1" x14ac:dyDescent="0.2"/>
    <row r="68" ht="15" customHeight="1" x14ac:dyDescent="0.2"/>
    <row r="69" ht="15" customHeight="1" x14ac:dyDescent="0.2"/>
    <row r="70" ht="15" customHeight="1" x14ac:dyDescent="0.2"/>
    <row r="71" ht="11.1" customHeight="1" x14ac:dyDescent="0.2"/>
  </sheetData>
  <sheetProtection algorithmName="SHA-512" hashValue="tkOv/FembdZ6EE1pFe1Ek4XiWbyzykweiA1tD1+Txg1bKfqknMGGIOv0jgXkCGCPkuHB5vsNWsKUdRn1MxE1uw==" saltValue="vwS9bxxQ7APAAHMOTbPowQ==" spinCount="100000" sheet="1" objects="1" scenarios="1" autoFilter="0"/>
  <customSheetViews>
    <customSheetView guid="{9FCFC836-1CA5-48BF-958D-24D2EA94B219}" showGridLines="0" fitToPage="1" hiddenColumns="1" topLeftCell="C1">
      <selection activeCell="B12" sqref="B12"/>
      <pageMargins left="0" right="0" top="0" bottom="0" header="0" footer="0"/>
      <printOptions horizontalCentered="1"/>
      <pageSetup scale="96" orientation="landscape" horizontalDpi="1200" verticalDpi="1200" r:id="rId1"/>
      <headerFooter alignWithMargins="0">
        <oddFooter>&amp;R&amp;A</oddFooter>
      </headerFooter>
    </customSheetView>
    <customSheetView guid="{BEA4BE86-04D1-4C96-9358-7A260B9D2B2D}" showGridLines="0" fitToPage="1" showRuler="0">
      <selection activeCell="C8" sqref="C8:E8"/>
      <pageMargins left="0" right="0" top="0" bottom="0" header="0" footer="0"/>
      <printOptions horizontalCentered="1"/>
      <pageSetup orientation="landscape" horizontalDpi="4294967292" verticalDpi="300" r:id="rId2"/>
      <headerFooter alignWithMargins="0">
        <oddFooter>&amp;R&amp;A</oddFooter>
      </headerFooter>
    </customSheetView>
    <customSheetView guid="{1250FD07-FF56-4A9D-AF9E-C27124A7EBE9}" showGridLines="0" fitToPage="1" showRuler="0">
      <selection activeCell="C8" sqref="C8:E8"/>
      <pageMargins left="0" right="0" top="0" bottom="0" header="0" footer="0"/>
      <printOptions horizontalCentered="1"/>
      <pageSetup orientation="landscape" horizontalDpi="4294967292" verticalDpi="300" r:id="rId3"/>
      <headerFooter alignWithMargins="0">
        <oddFooter>&amp;R&amp;A</oddFooter>
      </headerFooter>
    </customSheetView>
    <customSheetView guid="{B08879A4-635B-4C39-9937-AC7883D562FC}" showGridLines="0" fitToPage="1" hiddenColumns="1" topLeftCell="C1">
      <selection activeCell="B12" sqref="B12"/>
      <pageMargins left="0" right="0" top="0" bottom="0" header="0" footer="0"/>
      <printOptions horizontalCentered="1"/>
      <pageSetup scale="96" orientation="landscape" horizontalDpi="1200" verticalDpi="1200" r:id="rId4"/>
      <headerFooter alignWithMargins="0">
        <oddFooter>&amp;R&amp;A</oddFooter>
      </headerFooter>
    </customSheetView>
  </customSheetViews>
  <mergeCells count="34">
    <mergeCell ref="L6:Q6"/>
    <mergeCell ref="L7:Q7"/>
    <mergeCell ref="L8:Q8"/>
    <mergeCell ref="E6:G6"/>
    <mergeCell ref="E8:G8"/>
    <mergeCell ref="R1:R3"/>
    <mergeCell ref="C1:Q1"/>
    <mergeCell ref="C2:Q2"/>
    <mergeCell ref="C3:Q3"/>
    <mergeCell ref="C4:Q4"/>
    <mergeCell ref="C34:E34"/>
    <mergeCell ref="C31:E31"/>
    <mergeCell ref="C32:E32"/>
    <mergeCell ref="C28:E28"/>
    <mergeCell ref="C29:E29"/>
    <mergeCell ref="C33:E33"/>
    <mergeCell ref="C44:E44"/>
    <mergeCell ref="C39:E39"/>
    <mergeCell ref="C40:E40"/>
    <mergeCell ref="C41:E41"/>
    <mergeCell ref="C42:E42"/>
    <mergeCell ref="C43:E43"/>
    <mergeCell ref="C27:E27"/>
    <mergeCell ref="C20:E20"/>
    <mergeCell ref="I11:M11"/>
    <mergeCell ref="C19:E19"/>
    <mergeCell ref="C14:E14"/>
    <mergeCell ref="C26:E26"/>
    <mergeCell ref="C25:E25"/>
    <mergeCell ref="C24:E24"/>
    <mergeCell ref="C21:E21"/>
    <mergeCell ref="C22:E22"/>
    <mergeCell ref="C23:E23"/>
    <mergeCell ref="C15:E15"/>
  </mergeCells>
  <phoneticPr fontId="16" type="noConversion"/>
  <conditionalFormatting sqref="R1:R3">
    <cfRule type="cellIs" dxfId="39" priority="1" stopIfTrue="1" operator="equal">
      <formula>"na"</formula>
    </cfRule>
  </conditionalFormatting>
  <hyperlinks>
    <hyperlink ref="C1" location="Index!A1" display="Index!A1" xr:uid="{00000000-0004-0000-3D00-000000000000}"/>
  </hyperlinks>
  <pageMargins left="0.6" right="0.6" top="0.5" bottom="0.5" header="0.3" footer="0.3"/>
  <pageSetup scale="85" orientation="landscape" r:id="rId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fitToPage="1"/>
  </sheetPr>
  <dimension ref="A1:U85"/>
  <sheetViews>
    <sheetView showGridLines="0" topLeftCell="B1" zoomScale="115" zoomScaleNormal="115" workbookViewId="0">
      <selection activeCell="A2" sqref="A2"/>
    </sheetView>
  </sheetViews>
  <sheetFormatPr defaultColWidth="9.42578125" defaultRowHeight="12.75" x14ac:dyDescent="0.2"/>
  <cols>
    <col min="1" max="1" width="9.42578125" style="4" hidden="1" customWidth="1"/>
    <col min="2" max="2" width="6.5703125" style="4" customWidth="1"/>
    <col min="3" max="3" width="1.5703125" style="4" customWidth="1"/>
    <col min="4" max="4" width="9.42578125" style="4" customWidth="1"/>
    <col min="5" max="5" width="10.85546875" style="4" customWidth="1"/>
    <col min="6" max="6" width="1.5703125" style="4" customWidth="1"/>
    <col min="7" max="7" width="10.42578125" style="4" customWidth="1"/>
    <col min="8" max="8" width="0.5703125" style="4" customWidth="1"/>
    <col min="9" max="9" width="4.5703125" style="4" customWidth="1"/>
    <col min="10" max="10" width="0.5703125" style="4" customWidth="1"/>
    <col min="11" max="11" width="13.42578125" style="4" customWidth="1"/>
    <col min="12" max="12" width="2.5703125" style="4" customWidth="1"/>
    <col min="13" max="13" width="15.42578125" style="4" customWidth="1"/>
    <col min="14" max="14" width="1.42578125" style="4" customWidth="1"/>
    <col min="15" max="15" width="13.42578125" style="4" customWidth="1"/>
    <col min="16" max="16" width="1.42578125" style="4" customWidth="1"/>
    <col min="17" max="17" width="13.42578125" style="4" bestFit="1" customWidth="1"/>
    <col min="18" max="18" width="0.5703125" style="4" customWidth="1"/>
    <col min="19" max="19" width="6.42578125" style="4" customWidth="1"/>
    <col min="20" max="20" width="8.42578125" style="4" customWidth="1"/>
    <col min="21" max="21" width="10.5703125" style="4" bestFit="1" customWidth="1"/>
    <col min="22" max="22" width="2.42578125" style="4" customWidth="1"/>
    <col min="23" max="23" width="9.42578125" style="4"/>
    <col min="24" max="24" width="2.42578125" style="4" customWidth="1"/>
    <col min="25" max="25" width="11.5703125" style="4" customWidth="1"/>
    <col min="26" max="26" width="0.42578125" style="4" customWidth="1"/>
    <col min="27" max="16384" width="9.42578125" style="4"/>
  </cols>
  <sheetData>
    <row r="1" spans="1:21" ht="25.15" customHeight="1" x14ac:dyDescent="0.25">
      <c r="A1" s="4" t="str">
        <f t="shared" ref="A1:A32" si="0">AgyIdx</f>
        <v>01</v>
      </c>
      <c r="B1" s="2455" t="str">
        <f>+Index!$A$1</f>
        <v xml:space="preserve">                                                               Office of the State Controller                                                                </v>
      </c>
      <c r="C1" s="2455"/>
      <c r="D1" s="2455"/>
      <c r="E1" s="2455"/>
      <c r="F1" s="2455"/>
      <c r="G1" s="2455"/>
      <c r="H1" s="2455"/>
      <c r="I1" s="2455"/>
      <c r="J1" s="2455"/>
      <c r="K1" s="2455"/>
      <c r="L1" s="2455"/>
      <c r="M1" s="2455"/>
      <c r="N1" s="2455"/>
      <c r="O1" s="2455"/>
      <c r="P1" s="2455"/>
      <c r="Q1" s="2455"/>
      <c r="R1" s="2455"/>
      <c r="S1" s="2241" t="str">
        <f>IF(Index!$B$91="na","NA","")</f>
        <v/>
      </c>
      <c r="U1" s="2520"/>
    </row>
    <row r="2" spans="1:21" ht="15" customHeight="1" x14ac:dyDescent="0.25">
      <c r="A2" s="4" t="str">
        <f t="shared" si="0"/>
        <v>01</v>
      </c>
      <c r="B2" s="2901" t="str">
        <f>+Index!$A$2</f>
        <v>2023 ACFR Worksheets</v>
      </c>
      <c r="C2" s="2901"/>
      <c r="D2" s="2901"/>
      <c r="E2" s="2901"/>
      <c r="F2" s="2901"/>
      <c r="G2" s="2901"/>
      <c r="H2" s="2901"/>
      <c r="I2" s="2901"/>
      <c r="J2" s="2901"/>
      <c r="K2" s="2901"/>
      <c r="L2" s="2901"/>
      <c r="M2" s="2901"/>
      <c r="N2" s="2901"/>
      <c r="O2" s="2901"/>
      <c r="P2" s="2901"/>
      <c r="Q2" s="2901"/>
      <c r="R2" s="2901"/>
      <c r="S2" s="2241"/>
      <c r="U2" s="2520"/>
    </row>
    <row r="3" spans="1:21" ht="15" customHeight="1" x14ac:dyDescent="0.25">
      <c r="A3" s="4" t="str">
        <f t="shared" si="0"/>
        <v>01</v>
      </c>
      <c r="B3" s="2901" t="s">
        <v>2194</v>
      </c>
      <c r="C3" s="2901"/>
      <c r="D3" s="2901"/>
      <c r="E3" s="2901"/>
      <c r="F3" s="2901"/>
      <c r="G3" s="2901"/>
      <c r="H3" s="2901"/>
      <c r="I3" s="2901"/>
      <c r="J3" s="2901"/>
      <c r="K3" s="2901"/>
      <c r="L3" s="2901"/>
      <c r="M3" s="2901"/>
      <c r="N3" s="2901"/>
      <c r="O3" s="2901"/>
      <c r="P3" s="2901"/>
      <c r="Q3" s="2901"/>
      <c r="R3" s="2901"/>
      <c r="S3" s="2241"/>
      <c r="U3" s="2520"/>
    </row>
    <row r="4" spans="1:21" ht="15" customHeight="1" x14ac:dyDescent="0.25">
      <c r="A4" s="4" t="str">
        <f t="shared" si="0"/>
        <v>01</v>
      </c>
      <c r="B4" s="2901" t="s">
        <v>2195</v>
      </c>
      <c r="C4" s="2901"/>
      <c r="D4" s="2901"/>
      <c r="E4" s="2901"/>
      <c r="F4" s="2901"/>
      <c r="G4" s="2901"/>
      <c r="H4" s="2901"/>
      <c r="I4" s="2901"/>
      <c r="J4" s="2901"/>
      <c r="K4" s="2901"/>
      <c r="L4" s="2901"/>
      <c r="M4" s="2901"/>
      <c r="N4" s="2901"/>
      <c r="O4" s="2901"/>
      <c r="P4" s="2901"/>
      <c r="Q4" s="2901"/>
      <c r="R4" s="2901"/>
    </row>
    <row r="5" spans="1:21" ht="15" customHeight="1" x14ac:dyDescent="0.2">
      <c r="A5" s="4" t="str">
        <f t="shared" si="0"/>
        <v>01</v>
      </c>
      <c r="M5" s="257"/>
    </row>
    <row r="6" spans="1:21" ht="15" customHeight="1" x14ac:dyDescent="0.2">
      <c r="A6" s="4" t="str">
        <f t="shared" si="0"/>
        <v>01</v>
      </c>
      <c r="E6" s="434"/>
      <c r="L6" s="5" t="s">
        <v>317</v>
      </c>
      <c r="M6" s="2902" t="str">
        <f>+Index!$E$10</f>
        <v>01</v>
      </c>
      <c r="N6" s="2902"/>
      <c r="O6" s="2902"/>
      <c r="P6" s="2902"/>
      <c r="Q6" s="2902"/>
    </row>
    <row r="7" spans="1:21" ht="15" customHeight="1" x14ac:dyDescent="0.2">
      <c r="A7" s="4" t="str">
        <f t="shared" si="0"/>
        <v>01</v>
      </c>
      <c r="L7" s="5" t="s">
        <v>318</v>
      </c>
      <c r="M7" s="2902" t="str">
        <f>+Index!$E$11</f>
        <v>North Carolina General Assembly</v>
      </c>
      <c r="N7" s="2902"/>
      <c r="O7" s="2902"/>
      <c r="P7" s="2902"/>
      <c r="Q7" s="2902"/>
    </row>
    <row r="8" spans="1:21" ht="15" customHeight="1" x14ac:dyDescent="0.2">
      <c r="A8" s="4" t="str">
        <f t="shared" si="0"/>
        <v>01</v>
      </c>
      <c r="B8" s="4" t="s">
        <v>568</v>
      </c>
      <c r="E8" s="2903" t="s">
        <v>754</v>
      </c>
      <c r="F8" s="2903"/>
      <c r="G8" s="2903"/>
      <c r="H8" s="172"/>
      <c r="I8" s="172"/>
      <c r="L8" s="5" t="s">
        <v>319</v>
      </c>
      <c r="M8" s="2906" t="str">
        <f>CONCATENATE(Index!$E$12," ",Index!$E$14)</f>
        <v xml:space="preserve"> </v>
      </c>
      <c r="N8" s="2906"/>
      <c r="O8" s="2906"/>
      <c r="P8" s="2906"/>
      <c r="Q8" s="2906"/>
    </row>
    <row r="9" spans="1:21" ht="15" customHeight="1" x14ac:dyDescent="0.2">
      <c r="A9" s="4" t="str">
        <f t="shared" si="0"/>
        <v>01</v>
      </c>
      <c r="E9" s="434"/>
      <c r="F9" s="434"/>
      <c r="G9" s="434"/>
      <c r="H9" s="172"/>
      <c r="I9" s="172"/>
      <c r="L9" s="5" t="s">
        <v>71</v>
      </c>
      <c r="M9" s="2907">
        <f>+Index!$E$13</f>
        <v>0</v>
      </c>
      <c r="N9" s="2907"/>
      <c r="O9" s="2907"/>
      <c r="P9" s="2907"/>
      <c r="Q9" s="2907"/>
    </row>
    <row r="10" spans="1:21" ht="5.25" customHeight="1" thickBot="1" x14ac:dyDescent="0.25">
      <c r="A10" s="4" t="str">
        <f t="shared" si="0"/>
        <v>01</v>
      </c>
      <c r="B10" s="96"/>
      <c r="C10" s="96"/>
      <c r="D10" s="96"/>
      <c r="E10" s="96"/>
      <c r="F10" s="96"/>
      <c r="G10" s="96"/>
      <c r="H10" s="96"/>
      <c r="I10" s="96"/>
      <c r="J10" s="96"/>
      <c r="K10" s="96"/>
      <c r="L10" s="96"/>
      <c r="M10" s="96"/>
      <c r="N10" s="96"/>
      <c r="O10" s="96"/>
      <c r="P10" s="96"/>
      <c r="Q10" s="96"/>
    </row>
    <row r="11" spans="1:21" ht="3" customHeight="1" x14ac:dyDescent="0.2">
      <c r="A11" s="4" t="str">
        <f t="shared" si="0"/>
        <v>01</v>
      </c>
    </row>
    <row r="12" spans="1:21" ht="10.5" customHeight="1" thickBot="1" x14ac:dyDescent="0.3">
      <c r="A12" s="4" t="str">
        <f t="shared" si="0"/>
        <v>01</v>
      </c>
      <c r="B12" s="1033"/>
      <c r="C12" s="1033"/>
      <c r="D12" s="1033"/>
      <c r="E12" s="1033"/>
      <c r="F12" s="1033"/>
      <c r="G12" s="1033"/>
      <c r="H12" s="1033"/>
      <c r="I12" s="1033"/>
      <c r="J12" s="1033"/>
      <c r="K12" s="1033"/>
      <c r="L12" s="173"/>
      <c r="M12" s="2905" t="s">
        <v>2196</v>
      </c>
      <c r="N12" s="2905"/>
      <c r="O12" s="2905"/>
      <c r="P12" s="2905"/>
      <c r="Q12" s="2905"/>
      <c r="R12" s="97"/>
      <c r="S12" s="97"/>
    </row>
    <row r="13" spans="1:21" ht="13.35" customHeight="1" x14ac:dyDescent="0.25">
      <c r="A13" s="4" t="str">
        <f t="shared" si="0"/>
        <v>01</v>
      </c>
      <c r="B13" s="1033"/>
      <c r="C13" s="1033"/>
      <c r="D13" s="1033"/>
      <c r="E13" s="1033"/>
      <c r="F13" s="1033"/>
      <c r="G13" s="1033"/>
      <c r="H13" s="1033"/>
      <c r="I13" s="1033"/>
      <c r="J13" s="1033"/>
      <c r="K13" s="174"/>
      <c r="L13" s="1034"/>
      <c r="M13" s="2904" t="s">
        <v>2197</v>
      </c>
      <c r="N13" s="2904"/>
      <c r="O13" s="2904"/>
      <c r="P13" s="1036"/>
      <c r="Q13" s="1036"/>
      <c r="R13" s="97"/>
      <c r="S13" s="97"/>
    </row>
    <row r="14" spans="1:21" ht="13.35" customHeight="1" x14ac:dyDescent="0.25">
      <c r="B14" s="1033"/>
      <c r="C14" s="1033"/>
      <c r="D14" s="1033"/>
      <c r="E14" s="1033"/>
      <c r="F14" s="1033"/>
      <c r="G14" s="1033"/>
      <c r="H14" s="1033"/>
      <c r="I14" s="1033"/>
      <c r="J14" s="1033"/>
      <c r="K14" s="174"/>
      <c r="L14" s="1034"/>
      <c r="M14" s="1497" t="s">
        <v>2198</v>
      </c>
      <c r="N14" s="1497"/>
      <c r="O14" s="1497" t="s">
        <v>2199</v>
      </c>
      <c r="P14" s="1498"/>
      <c r="Q14" s="1498" t="s">
        <v>2200</v>
      </c>
      <c r="R14" s="97"/>
      <c r="S14" s="97"/>
    </row>
    <row r="15" spans="1:21" ht="12" customHeight="1" x14ac:dyDescent="0.25">
      <c r="A15" s="4" t="str">
        <f t="shared" si="0"/>
        <v>01</v>
      </c>
      <c r="B15" s="1033"/>
      <c r="C15" s="1033"/>
      <c r="D15" s="1033"/>
      <c r="E15" s="1033"/>
      <c r="F15" s="1033"/>
      <c r="G15" s="1033"/>
      <c r="H15" s="1033"/>
      <c r="I15" s="1033"/>
      <c r="J15" s="1033"/>
      <c r="K15" s="174"/>
      <c r="L15" s="1034"/>
      <c r="M15" s="1035"/>
      <c r="N15" s="1035"/>
      <c r="O15" s="1035" t="s">
        <v>2201</v>
      </c>
      <c r="P15" s="1036"/>
      <c r="Q15" s="1036"/>
      <c r="R15" s="97"/>
      <c r="S15" s="97"/>
    </row>
    <row r="16" spans="1:21" ht="12" customHeight="1" x14ac:dyDescent="0.25">
      <c r="A16" s="4" t="str">
        <f t="shared" si="0"/>
        <v>01</v>
      </c>
      <c r="B16" s="1033"/>
      <c r="C16" s="1033"/>
      <c r="D16" s="1033"/>
      <c r="E16" s="1033"/>
      <c r="F16" s="1033"/>
      <c r="G16" s="1033"/>
      <c r="H16" s="1033"/>
      <c r="I16" s="1033"/>
      <c r="J16" s="1033"/>
      <c r="K16" s="1035"/>
      <c r="L16" s="1034"/>
      <c r="M16" s="1035"/>
      <c r="N16" s="1036"/>
      <c r="O16" s="1035" t="s">
        <v>2202</v>
      </c>
      <c r="P16" s="1036"/>
      <c r="Q16" s="1035"/>
      <c r="R16" s="97"/>
      <c r="S16" s="97"/>
    </row>
    <row r="17" spans="1:21" ht="12" customHeight="1" x14ac:dyDescent="0.25">
      <c r="A17" s="4" t="str">
        <f t="shared" si="0"/>
        <v>01</v>
      </c>
      <c r="B17" s="1033"/>
      <c r="C17" s="1035"/>
      <c r="D17" s="1033"/>
      <c r="E17" s="173" t="s">
        <v>50</v>
      </c>
      <c r="F17" s="173"/>
      <c r="G17" s="1033"/>
      <c r="H17" s="1033"/>
      <c r="I17" s="1033"/>
      <c r="J17" s="1033"/>
      <c r="K17" s="1035" t="s">
        <v>2196</v>
      </c>
      <c r="L17" s="1033"/>
      <c r="M17" s="1035" t="s">
        <v>2201</v>
      </c>
      <c r="N17" s="1036"/>
      <c r="O17" s="1035" t="s">
        <v>2203</v>
      </c>
      <c r="P17" s="1036"/>
      <c r="Q17" s="1035" t="s">
        <v>2162</v>
      </c>
      <c r="R17" s="97"/>
      <c r="S17" s="97"/>
      <c r="U17" s="673" t="s">
        <v>2204</v>
      </c>
    </row>
    <row r="18" spans="1:21" ht="12" customHeight="1" x14ac:dyDescent="0.25">
      <c r="A18" s="4" t="str">
        <f t="shared" si="0"/>
        <v>01</v>
      </c>
      <c r="B18" s="175" t="s">
        <v>2205</v>
      </c>
      <c r="C18" s="1038"/>
      <c r="D18" s="1038"/>
      <c r="E18" s="1038"/>
      <c r="F18" s="175"/>
      <c r="G18" s="1038"/>
      <c r="H18" s="1033"/>
      <c r="I18" s="1033"/>
      <c r="J18" s="1033"/>
      <c r="K18" s="1040" t="s">
        <v>2206</v>
      </c>
      <c r="L18" s="1033"/>
      <c r="M18" s="1040" t="s">
        <v>1389</v>
      </c>
      <c r="N18" s="176"/>
      <c r="O18" s="1040" t="s">
        <v>2207</v>
      </c>
      <c r="P18" s="176"/>
      <c r="Q18" s="1040" t="s">
        <v>1528</v>
      </c>
      <c r="R18" s="97"/>
      <c r="S18" s="97"/>
      <c r="U18" s="2364" t="s">
        <v>508</v>
      </c>
    </row>
    <row r="19" spans="1:21" ht="12" customHeight="1" x14ac:dyDescent="0.2">
      <c r="A19" s="4" t="str">
        <f t="shared" si="0"/>
        <v>01</v>
      </c>
      <c r="B19" s="97"/>
      <c r="C19" s="97"/>
      <c r="D19" s="97"/>
      <c r="E19" s="97"/>
      <c r="F19" s="97"/>
      <c r="G19" s="97"/>
      <c r="H19" s="97"/>
      <c r="I19" s="1041"/>
      <c r="J19" s="1041"/>
      <c r="K19" s="1042" t="s">
        <v>592</v>
      </c>
      <c r="L19" s="1042"/>
      <c r="M19" s="1042" t="s">
        <v>593</v>
      </c>
      <c r="N19" s="1042"/>
      <c r="O19" s="1042" t="s">
        <v>594</v>
      </c>
      <c r="P19" s="97"/>
      <c r="Q19" s="1042" t="s">
        <v>595</v>
      </c>
      <c r="R19" s="1042"/>
      <c r="S19" s="97"/>
    </row>
    <row r="20" spans="1:21" ht="12" customHeight="1" x14ac:dyDescent="0.2">
      <c r="A20" s="4" t="str">
        <f t="shared" si="0"/>
        <v>01</v>
      </c>
      <c r="B20" s="177" t="s">
        <v>2208</v>
      </c>
      <c r="C20" s="891"/>
      <c r="D20" s="97"/>
      <c r="E20" s="97"/>
      <c r="F20" s="97"/>
      <c r="G20" s="97"/>
      <c r="H20" s="97"/>
      <c r="I20" s="1041"/>
      <c r="J20" s="1041"/>
      <c r="K20" s="1043"/>
      <c r="L20" s="1043"/>
      <c r="M20" s="1043"/>
      <c r="N20" s="1043"/>
      <c r="O20" s="1043"/>
      <c r="P20" s="1043"/>
      <c r="Q20" s="1043"/>
      <c r="R20" s="1043"/>
      <c r="S20" s="97"/>
    </row>
    <row r="21" spans="1:21" ht="12" customHeight="1" x14ac:dyDescent="0.25">
      <c r="A21" s="4" t="str">
        <f t="shared" si="0"/>
        <v>01</v>
      </c>
      <c r="B21" s="2370" t="s">
        <v>2209</v>
      </c>
      <c r="C21" s="777"/>
      <c r="D21" s="97"/>
      <c r="E21" s="97"/>
      <c r="F21" s="97"/>
      <c r="G21" s="97"/>
      <c r="H21" s="97"/>
      <c r="I21" s="776" t="s">
        <v>2210</v>
      </c>
      <c r="J21" s="778"/>
      <c r="K21" s="1957">
        <f>M21+O21+Q21</f>
        <v>0</v>
      </c>
      <c r="L21" s="1045"/>
      <c r="M21" s="870"/>
      <c r="N21" s="1045"/>
      <c r="O21" s="870"/>
      <c r="P21" s="1045"/>
      <c r="Q21" s="870"/>
      <c r="R21" s="1043"/>
      <c r="S21" s="339" t="str">
        <f>IF(T21=FALSE,"*","")</f>
        <v/>
      </c>
      <c r="T21" s="340" t="b">
        <f>+K21=SUM(M21,O21,Q21)</f>
        <v>1</v>
      </c>
      <c r="U21" s="672">
        <f>K21-SUM(M21,O21,Q21)</f>
        <v>0</v>
      </c>
    </row>
    <row r="22" spans="1:21" ht="12" customHeight="1" x14ac:dyDescent="0.25">
      <c r="A22" s="4" t="str">
        <f t="shared" si="0"/>
        <v>01</v>
      </c>
      <c r="B22" s="2370" t="s">
        <v>2211</v>
      </c>
      <c r="C22" s="777"/>
      <c r="D22" s="97"/>
      <c r="E22" s="97"/>
      <c r="F22" s="97"/>
      <c r="G22" s="97"/>
      <c r="H22" s="97"/>
      <c r="I22" s="776" t="s">
        <v>2212</v>
      </c>
      <c r="J22" s="778"/>
      <c r="K22" s="1957">
        <f t="shared" ref="K22:K37" si="1">M22+O22+Q22</f>
        <v>0</v>
      </c>
      <c r="L22" s="1045"/>
      <c r="M22" s="870"/>
      <c r="N22" s="1045"/>
      <c r="O22" s="870"/>
      <c r="P22" s="1045"/>
      <c r="Q22" s="870"/>
      <c r="R22" s="1043"/>
      <c r="S22" s="339" t="str">
        <f t="shared" ref="S22:S35" si="2">IF(T22=FALSE,"*","")</f>
        <v/>
      </c>
      <c r="T22" s="340" t="b">
        <f t="shared" ref="T22:T35" si="3">+K22=SUM(M22,O22,Q22)</f>
        <v>1</v>
      </c>
      <c r="U22" s="672">
        <f t="shared" ref="U22:U35" si="4">K22-SUM(M22,O22,Q22)</f>
        <v>0</v>
      </c>
    </row>
    <row r="23" spans="1:21" ht="12" customHeight="1" x14ac:dyDescent="0.25">
      <c r="A23" s="4" t="str">
        <f t="shared" si="0"/>
        <v>01</v>
      </c>
      <c r="B23" s="2370" t="s">
        <v>2213</v>
      </c>
      <c r="C23" s="777"/>
      <c r="D23" s="97"/>
      <c r="E23" s="97"/>
      <c r="F23" s="97"/>
      <c r="G23" s="97"/>
      <c r="H23" s="97"/>
      <c r="I23" s="776" t="s">
        <v>2214</v>
      </c>
      <c r="J23" s="778"/>
      <c r="K23" s="1957">
        <f t="shared" si="1"/>
        <v>0</v>
      </c>
      <c r="L23" s="1045"/>
      <c r="M23" s="870"/>
      <c r="N23" s="1045"/>
      <c r="O23" s="870"/>
      <c r="P23" s="1045"/>
      <c r="Q23" s="870"/>
      <c r="R23" s="1043"/>
      <c r="S23" s="339" t="str">
        <f t="shared" si="2"/>
        <v/>
      </c>
      <c r="T23" s="340" t="b">
        <f t="shared" si="3"/>
        <v>1</v>
      </c>
      <c r="U23" s="672">
        <f t="shared" si="4"/>
        <v>0</v>
      </c>
    </row>
    <row r="24" spans="1:21" ht="12" customHeight="1" x14ac:dyDescent="0.25">
      <c r="A24" s="4" t="str">
        <f t="shared" si="0"/>
        <v>01</v>
      </c>
      <c r="B24" s="2370" t="s">
        <v>2215</v>
      </c>
      <c r="C24" s="777"/>
      <c r="D24" s="97"/>
      <c r="E24" s="97"/>
      <c r="F24" s="97"/>
      <c r="G24" s="97"/>
      <c r="H24" s="97"/>
      <c r="I24" s="776" t="s">
        <v>2216</v>
      </c>
      <c r="J24" s="778"/>
      <c r="K24" s="1957">
        <f t="shared" si="1"/>
        <v>0</v>
      </c>
      <c r="L24" s="1045"/>
      <c r="M24" s="870"/>
      <c r="N24" s="1045"/>
      <c r="O24" s="870"/>
      <c r="P24" s="1045"/>
      <c r="Q24" s="870"/>
      <c r="R24" s="1043"/>
      <c r="S24" s="339" t="str">
        <f t="shared" si="2"/>
        <v/>
      </c>
      <c r="T24" s="340" t="b">
        <f t="shared" si="3"/>
        <v>1</v>
      </c>
      <c r="U24" s="672">
        <f t="shared" si="4"/>
        <v>0</v>
      </c>
    </row>
    <row r="25" spans="1:21" ht="12" customHeight="1" x14ac:dyDescent="0.25">
      <c r="A25" s="4" t="str">
        <f t="shared" si="0"/>
        <v>01</v>
      </c>
      <c r="B25" s="2370" t="s">
        <v>2217</v>
      </c>
      <c r="C25" s="777"/>
      <c r="D25" s="97"/>
      <c r="E25" s="97"/>
      <c r="F25" s="97"/>
      <c r="G25" s="97"/>
      <c r="H25" s="97"/>
      <c r="I25" s="776" t="s">
        <v>2218</v>
      </c>
      <c r="J25" s="778"/>
      <c r="K25" s="1957">
        <f t="shared" si="1"/>
        <v>0</v>
      </c>
      <c r="L25" s="1045"/>
      <c r="M25" s="870"/>
      <c r="N25" s="1045"/>
      <c r="O25" s="870"/>
      <c r="P25" s="1045"/>
      <c r="Q25" s="870"/>
      <c r="R25" s="1043"/>
      <c r="S25" s="339" t="str">
        <f t="shared" si="2"/>
        <v/>
      </c>
      <c r="T25" s="340" t="b">
        <f t="shared" si="3"/>
        <v>1</v>
      </c>
      <c r="U25" s="672">
        <f t="shared" si="4"/>
        <v>0</v>
      </c>
    </row>
    <row r="26" spans="1:21" ht="12" customHeight="1" x14ac:dyDescent="0.25">
      <c r="A26" s="4" t="str">
        <f t="shared" si="0"/>
        <v>01</v>
      </c>
      <c r="B26" s="2370" t="s">
        <v>2219</v>
      </c>
      <c r="C26" s="777"/>
      <c r="D26" s="97"/>
      <c r="E26" s="97"/>
      <c r="F26" s="97"/>
      <c r="G26" s="97"/>
      <c r="H26" s="97"/>
      <c r="I26" s="776" t="s">
        <v>2220</v>
      </c>
      <c r="J26" s="778"/>
      <c r="K26" s="1957">
        <f t="shared" si="1"/>
        <v>0</v>
      </c>
      <c r="L26" s="1045"/>
      <c r="M26" s="870"/>
      <c r="N26" s="1045"/>
      <c r="O26" s="870"/>
      <c r="P26" s="1045"/>
      <c r="Q26" s="870"/>
      <c r="R26" s="1043"/>
      <c r="S26" s="339" t="str">
        <f t="shared" si="2"/>
        <v/>
      </c>
      <c r="T26" s="340" t="b">
        <f t="shared" si="3"/>
        <v>1</v>
      </c>
      <c r="U26" s="672">
        <f t="shared" si="4"/>
        <v>0</v>
      </c>
    </row>
    <row r="27" spans="1:21" ht="12" customHeight="1" x14ac:dyDescent="0.25">
      <c r="A27" s="4" t="str">
        <f t="shared" si="0"/>
        <v>01</v>
      </c>
      <c r="B27" s="2370" t="s">
        <v>2221</v>
      </c>
      <c r="C27" s="777"/>
      <c r="D27" s="97"/>
      <c r="E27" s="97"/>
      <c r="F27" s="97"/>
      <c r="G27" s="97"/>
      <c r="H27" s="97"/>
      <c r="I27" s="776" t="s">
        <v>2222</v>
      </c>
      <c r="J27" s="778"/>
      <c r="K27" s="1957">
        <f t="shared" si="1"/>
        <v>0</v>
      </c>
      <c r="L27" s="1045"/>
      <c r="M27" s="870"/>
      <c r="N27" s="1045"/>
      <c r="O27" s="870"/>
      <c r="P27" s="1045"/>
      <c r="Q27" s="870"/>
      <c r="R27" s="1043"/>
      <c r="S27" s="339" t="str">
        <f t="shared" si="2"/>
        <v/>
      </c>
      <c r="T27" s="340" t="b">
        <f t="shared" si="3"/>
        <v>1</v>
      </c>
      <c r="U27" s="672">
        <f t="shared" si="4"/>
        <v>0</v>
      </c>
    </row>
    <row r="28" spans="1:21" ht="12" customHeight="1" x14ac:dyDescent="0.25">
      <c r="A28" s="4" t="str">
        <f t="shared" si="0"/>
        <v>01</v>
      </c>
      <c r="B28" s="2370" t="s">
        <v>2223</v>
      </c>
      <c r="C28" s="777"/>
      <c r="D28" s="97"/>
      <c r="E28" s="97"/>
      <c r="F28" s="97"/>
      <c r="G28" s="97"/>
      <c r="H28" s="97"/>
      <c r="I28" s="776" t="s">
        <v>2224</v>
      </c>
      <c r="J28" s="778"/>
      <c r="K28" s="1957">
        <f t="shared" si="1"/>
        <v>0</v>
      </c>
      <c r="L28" s="1045"/>
      <c r="M28" s="870"/>
      <c r="N28" s="1045"/>
      <c r="O28" s="870"/>
      <c r="P28" s="1045"/>
      <c r="Q28" s="870"/>
      <c r="R28" s="1043"/>
      <c r="S28" s="339" t="str">
        <f>IF(T28=FALSE,"*","")</f>
        <v/>
      </c>
      <c r="T28" s="340" t="b">
        <f>+K28=SUM(M28,O28,Q28)</f>
        <v>1</v>
      </c>
      <c r="U28" s="672">
        <f t="shared" si="4"/>
        <v>0</v>
      </c>
    </row>
    <row r="29" spans="1:21" ht="12" customHeight="1" x14ac:dyDescent="0.25">
      <c r="A29" s="4" t="str">
        <f t="shared" si="0"/>
        <v>01</v>
      </c>
      <c r="B29" s="2370" t="s">
        <v>2225</v>
      </c>
      <c r="C29" s="777"/>
      <c r="D29" s="97"/>
      <c r="E29" s="97"/>
      <c r="F29" s="97"/>
      <c r="G29" s="97"/>
      <c r="H29" s="97"/>
      <c r="I29" s="776" t="s">
        <v>2226</v>
      </c>
      <c r="J29" s="778"/>
      <c r="K29" s="1957">
        <f t="shared" si="1"/>
        <v>0</v>
      </c>
      <c r="L29" s="1045"/>
      <c r="M29" s="870"/>
      <c r="N29" s="1045"/>
      <c r="O29" s="870"/>
      <c r="P29" s="1045"/>
      <c r="Q29" s="870"/>
      <c r="R29" s="1043"/>
      <c r="S29" s="339" t="str">
        <f t="shared" si="2"/>
        <v/>
      </c>
      <c r="T29" s="340" t="b">
        <f t="shared" si="3"/>
        <v>1</v>
      </c>
      <c r="U29" s="672">
        <f t="shared" si="4"/>
        <v>0</v>
      </c>
    </row>
    <row r="30" spans="1:21" ht="12" customHeight="1" x14ac:dyDescent="0.25">
      <c r="A30" s="4" t="str">
        <f t="shared" si="0"/>
        <v>01</v>
      </c>
      <c r="B30" s="2370" t="s">
        <v>1034</v>
      </c>
      <c r="C30" s="777"/>
      <c r="D30" s="97"/>
      <c r="E30" s="97"/>
      <c r="F30" s="97"/>
      <c r="G30" s="97"/>
      <c r="H30" s="97"/>
      <c r="I30" s="776" t="s">
        <v>2227</v>
      </c>
      <c r="J30" s="778"/>
      <c r="K30" s="1957">
        <f t="shared" si="1"/>
        <v>0</v>
      </c>
      <c r="L30" s="1045"/>
      <c r="M30" s="870"/>
      <c r="N30" s="1045"/>
      <c r="O30" s="870"/>
      <c r="P30" s="1045"/>
      <c r="Q30" s="870"/>
      <c r="R30" s="1043"/>
      <c r="S30" s="339" t="str">
        <f t="shared" si="2"/>
        <v/>
      </c>
      <c r="T30" s="340" t="b">
        <f t="shared" si="3"/>
        <v>1</v>
      </c>
      <c r="U30" s="672">
        <f t="shared" si="4"/>
        <v>0</v>
      </c>
    </row>
    <row r="31" spans="1:21" ht="12" customHeight="1" x14ac:dyDescent="0.25">
      <c r="A31" s="4" t="str">
        <f t="shared" si="0"/>
        <v>01</v>
      </c>
      <c r="B31" s="2370" t="s">
        <v>2228</v>
      </c>
      <c r="C31" s="777"/>
      <c r="D31" s="97"/>
      <c r="E31" s="97"/>
      <c r="F31" s="97"/>
      <c r="G31" s="97"/>
      <c r="H31" s="97"/>
      <c r="I31" s="776" t="s">
        <v>2229</v>
      </c>
      <c r="J31" s="778"/>
      <c r="K31" s="1957">
        <f t="shared" si="1"/>
        <v>0</v>
      </c>
      <c r="L31" s="1045"/>
      <c r="M31" s="870"/>
      <c r="N31" s="1045"/>
      <c r="O31" s="870"/>
      <c r="P31" s="1045"/>
      <c r="Q31" s="870"/>
      <c r="R31" s="1043"/>
      <c r="S31" s="339" t="str">
        <f t="shared" si="2"/>
        <v/>
      </c>
      <c r="T31" s="340" t="b">
        <f t="shared" si="3"/>
        <v>1</v>
      </c>
      <c r="U31" s="672">
        <f t="shared" si="4"/>
        <v>0</v>
      </c>
    </row>
    <row r="32" spans="1:21" ht="12" customHeight="1" x14ac:dyDescent="0.25">
      <c r="A32" s="4" t="str">
        <f t="shared" si="0"/>
        <v>01</v>
      </c>
      <c r="B32" s="2370" t="s">
        <v>2230</v>
      </c>
      <c r="C32" s="777"/>
      <c r="D32" s="97"/>
      <c r="E32" s="97"/>
      <c r="F32" s="97"/>
      <c r="G32" s="97"/>
      <c r="H32" s="97"/>
      <c r="I32" s="776" t="s">
        <v>2231</v>
      </c>
      <c r="J32" s="778"/>
      <c r="K32" s="1957">
        <f t="shared" si="1"/>
        <v>0</v>
      </c>
      <c r="L32" s="1045"/>
      <c r="M32" s="870"/>
      <c r="N32" s="1045"/>
      <c r="O32" s="870"/>
      <c r="P32" s="1045"/>
      <c r="Q32" s="870"/>
      <c r="R32" s="1043"/>
      <c r="S32" s="339" t="str">
        <f t="shared" si="2"/>
        <v/>
      </c>
      <c r="T32" s="340" t="b">
        <f t="shared" si="3"/>
        <v>1</v>
      </c>
      <c r="U32" s="672">
        <f t="shared" si="4"/>
        <v>0</v>
      </c>
    </row>
    <row r="33" spans="1:21" ht="12" customHeight="1" x14ac:dyDescent="0.25">
      <c r="A33" s="4" t="str">
        <f t="shared" ref="A33:A64" si="5">AgyIdx</f>
        <v>01</v>
      </c>
      <c r="B33" s="2370" t="s">
        <v>2232</v>
      </c>
      <c r="C33" s="777"/>
      <c r="D33" s="97"/>
      <c r="E33" s="97"/>
      <c r="F33" s="97"/>
      <c r="G33" s="97"/>
      <c r="H33" s="97"/>
      <c r="I33" s="776" t="s">
        <v>2233</v>
      </c>
      <c r="J33" s="778"/>
      <c r="K33" s="1957">
        <f t="shared" si="1"/>
        <v>0</v>
      </c>
      <c r="L33" s="1045"/>
      <c r="M33" s="870"/>
      <c r="N33" s="1045"/>
      <c r="O33" s="870"/>
      <c r="P33" s="1045"/>
      <c r="Q33" s="870"/>
      <c r="R33" s="1043"/>
      <c r="S33" s="339" t="str">
        <f t="shared" si="2"/>
        <v/>
      </c>
      <c r="T33" s="340" t="b">
        <f t="shared" si="3"/>
        <v>1</v>
      </c>
      <c r="U33" s="672">
        <f t="shared" si="4"/>
        <v>0</v>
      </c>
    </row>
    <row r="34" spans="1:21" ht="12" customHeight="1" x14ac:dyDescent="0.25">
      <c r="A34" s="4" t="str">
        <f t="shared" si="5"/>
        <v>01</v>
      </c>
      <c r="B34" s="97" t="s">
        <v>2234</v>
      </c>
      <c r="C34" s="777"/>
      <c r="D34" s="97"/>
      <c r="E34" s="97"/>
      <c r="F34" s="97"/>
      <c r="G34" s="97"/>
      <c r="H34" s="97"/>
      <c r="I34" s="776" t="s">
        <v>2235</v>
      </c>
      <c r="J34" s="778"/>
      <c r="K34" s="1957">
        <f t="shared" si="1"/>
        <v>0</v>
      </c>
      <c r="L34" s="1045"/>
      <c r="M34" s="1049"/>
      <c r="N34" s="1045"/>
      <c r="O34" s="1049"/>
      <c r="P34" s="1045"/>
      <c r="Q34" s="870"/>
      <c r="R34" s="1043"/>
      <c r="S34" s="339" t="str">
        <f t="shared" si="2"/>
        <v/>
      </c>
      <c r="T34" s="340" t="b">
        <f t="shared" si="3"/>
        <v>1</v>
      </c>
      <c r="U34" s="672">
        <f t="shared" si="4"/>
        <v>0</v>
      </c>
    </row>
    <row r="35" spans="1:21" ht="12" customHeight="1" x14ac:dyDescent="0.25">
      <c r="A35" s="4" t="str">
        <f t="shared" si="5"/>
        <v>01</v>
      </c>
      <c r="B35" s="97" t="s">
        <v>2236</v>
      </c>
      <c r="C35" s="777"/>
      <c r="D35" s="97"/>
      <c r="E35" s="97"/>
      <c r="F35" s="97"/>
      <c r="G35" s="97"/>
      <c r="H35" s="97"/>
      <c r="I35" s="776" t="s">
        <v>2237</v>
      </c>
      <c r="J35" s="778"/>
      <c r="K35" s="1957">
        <f t="shared" si="1"/>
        <v>0</v>
      </c>
      <c r="L35" s="1045"/>
      <c r="M35" s="1049"/>
      <c r="N35" s="1045"/>
      <c r="O35" s="1049"/>
      <c r="P35" s="1045"/>
      <c r="Q35" s="870"/>
      <c r="R35" s="1043"/>
      <c r="S35" s="339" t="str">
        <f t="shared" si="2"/>
        <v/>
      </c>
      <c r="T35" s="340" t="b">
        <f t="shared" si="3"/>
        <v>1</v>
      </c>
      <c r="U35" s="672">
        <f t="shared" si="4"/>
        <v>0</v>
      </c>
    </row>
    <row r="36" spans="1:21" ht="12" customHeight="1" x14ac:dyDescent="0.25">
      <c r="A36" s="4" t="str">
        <f t="shared" si="5"/>
        <v>01</v>
      </c>
      <c r="B36" s="97" t="s">
        <v>2238</v>
      </c>
      <c r="C36" s="2900" t="s">
        <v>2239</v>
      </c>
      <c r="D36" s="2900"/>
      <c r="E36" s="2900"/>
      <c r="F36" s="2900"/>
      <c r="G36" s="2900"/>
      <c r="H36" s="97"/>
      <c r="I36" s="776" t="s">
        <v>2240</v>
      </c>
      <c r="J36" s="778"/>
      <c r="K36" s="1957">
        <f t="shared" si="1"/>
        <v>0</v>
      </c>
      <c r="L36" s="1045"/>
      <c r="M36" s="1049"/>
      <c r="N36" s="1045"/>
      <c r="O36" s="1049"/>
      <c r="P36" s="1045"/>
      <c r="Q36" s="870"/>
      <c r="R36" s="1043"/>
      <c r="S36" s="339"/>
      <c r="T36" s="340" t="b">
        <f>+K36=SUM(M36,O36,Q36)</f>
        <v>1</v>
      </c>
      <c r="U36" s="672">
        <f>K36-SUM(M36,O36,Q36)</f>
        <v>0</v>
      </c>
    </row>
    <row r="37" spans="1:21" ht="14.25" customHeight="1" thickBot="1" x14ac:dyDescent="0.3">
      <c r="A37" s="4" t="str">
        <f t="shared" si="5"/>
        <v>01</v>
      </c>
      <c r="B37" s="97" t="s">
        <v>2241</v>
      </c>
      <c r="C37" s="2900" t="s">
        <v>2239</v>
      </c>
      <c r="D37" s="2900"/>
      <c r="E37" s="2900"/>
      <c r="F37" s="2900"/>
      <c r="G37" s="2900"/>
      <c r="H37" s="97"/>
      <c r="I37" s="776" t="s">
        <v>2242</v>
      </c>
      <c r="J37" s="778"/>
      <c r="K37" s="1957">
        <f t="shared" si="1"/>
        <v>0</v>
      </c>
      <c r="L37" s="1045"/>
      <c r="M37" s="1958"/>
      <c r="N37" s="1045"/>
      <c r="O37" s="1958"/>
      <c r="P37" s="1045"/>
      <c r="Q37" s="1958"/>
      <c r="R37" s="1043"/>
      <c r="S37" s="339"/>
      <c r="T37" s="340" t="b">
        <f>+K37=SUM(M37,O37,Q37)</f>
        <v>1</v>
      </c>
      <c r="U37" s="672">
        <f>K37-SUM(M37,O37,Q37)</f>
        <v>0</v>
      </c>
    </row>
    <row r="38" spans="1:21" ht="14.1" customHeight="1" thickBot="1" x14ac:dyDescent="0.3">
      <c r="A38" s="4" t="str">
        <f t="shared" si="5"/>
        <v>01</v>
      </c>
      <c r="B38" s="891" t="s">
        <v>2243</v>
      </c>
      <c r="C38" s="97"/>
      <c r="D38" s="97"/>
      <c r="E38" s="97"/>
      <c r="F38" s="97"/>
      <c r="G38" s="97"/>
      <c r="H38" s="97"/>
      <c r="I38" s="776" t="s">
        <v>2244</v>
      </c>
      <c r="J38" s="778"/>
      <c r="K38" s="1959">
        <f>SUM(K21:K37)</f>
        <v>0</v>
      </c>
      <c r="L38" s="1045"/>
      <c r="M38" s="1959">
        <f>SUM(M21:M37)</f>
        <v>0</v>
      </c>
      <c r="N38" s="1045"/>
      <c r="O38" s="1959">
        <f>SUM(O21:O37)</f>
        <v>0</v>
      </c>
      <c r="P38" s="1045"/>
      <c r="Q38" s="1959">
        <f>SUM(Q21:Q37)</f>
        <v>0</v>
      </c>
      <c r="R38" s="1043"/>
      <c r="S38" s="1054"/>
    </row>
    <row r="39" spans="1:21" ht="4.3499999999999996" customHeight="1" x14ac:dyDescent="0.25">
      <c r="A39" s="4" t="str">
        <f t="shared" si="5"/>
        <v>01</v>
      </c>
      <c r="B39" s="97"/>
      <c r="C39" s="97"/>
      <c r="D39" s="97"/>
      <c r="E39" s="97"/>
      <c r="F39" s="97"/>
      <c r="G39" s="97"/>
      <c r="H39" s="97"/>
      <c r="I39" s="776"/>
      <c r="J39" s="778"/>
      <c r="K39" s="1045"/>
      <c r="L39" s="671"/>
      <c r="M39" s="671"/>
      <c r="N39" s="671"/>
      <c r="O39" s="671"/>
      <c r="P39" s="671"/>
      <c r="Q39" s="671"/>
      <c r="R39" s="97"/>
      <c r="S39" s="97"/>
    </row>
    <row r="40" spans="1:21" ht="15" customHeight="1" x14ac:dyDescent="0.25">
      <c r="A40" s="4" t="str">
        <f t="shared" si="5"/>
        <v>01</v>
      </c>
      <c r="B40" s="177" t="s">
        <v>2245</v>
      </c>
      <c r="C40" s="891"/>
      <c r="D40" s="97"/>
      <c r="E40" s="97"/>
      <c r="F40" s="97"/>
      <c r="G40" s="97"/>
      <c r="H40" s="97"/>
      <c r="I40" s="776"/>
      <c r="J40" s="778"/>
      <c r="K40" s="1045"/>
      <c r="L40" s="671"/>
      <c r="M40" s="178"/>
      <c r="N40" s="671"/>
      <c r="O40" s="671"/>
      <c r="P40" s="671"/>
      <c r="Q40" s="671"/>
      <c r="R40" s="97"/>
      <c r="S40" s="97"/>
    </row>
    <row r="41" spans="1:21" ht="12" customHeight="1" x14ac:dyDescent="0.25">
      <c r="A41" s="4" t="str">
        <f t="shared" si="5"/>
        <v>01</v>
      </c>
      <c r="B41" s="97" t="s">
        <v>2246</v>
      </c>
      <c r="C41" s="777"/>
      <c r="D41" s="97"/>
      <c r="E41" s="97"/>
      <c r="F41" s="97"/>
      <c r="G41" s="97"/>
      <c r="H41" s="97"/>
      <c r="I41" s="776" t="s">
        <v>2247</v>
      </c>
      <c r="J41" s="778"/>
      <c r="K41" s="870"/>
      <c r="L41" s="1045"/>
      <c r="M41" s="1045"/>
      <c r="N41" s="671"/>
      <c r="O41" s="671"/>
      <c r="P41" s="671"/>
      <c r="Q41" s="671"/>
      <c r="R41" s="97"/>
      <c r="S41" s="97"/>
    </row>
    <row r="42" spans="1:21" ht="12" customHeight="1" x14ac:dyDescent="0.25">
      <c r="A42" s="4" t="str">
        <f t="shared" si="5"/>
        <v>01</v>
      </c>
      <c r="B42" s="97" t="s">
        <v>2248</v>
      </c>
      <c r="C42" s="777"/>
      <c r="D42" s="97"/>
      <c r="E42" s="97"/>
      <c r="F42" s="97"/>
      <c r="G42" s="97"/>
      <c r="H42" s="97"/>
      <c r="I42" s="776" t="s">
        <v>2249</v>
      </c>
      <c r="J42" s="778"/>
      <c r="K42" s="870"/>
      <c r="L42" s="1045"/>
      <c r="M42" s="1045"/>
      <c r="N42" s="671"/>
      <c r="O42" s="671"/>
      <c r="P42" s="671"/>
      <c r="Q42" s="671"/>
      <c r="R42" s="97"/>
      <c r="S42" s="97"/>
    </row>
    <row r="43" spans="1:21" ht="12" customHeight="1" x14ac:dyDescent="0.25">
      <c r="A43" s="4" t="str">
        <f t="shared" si="5"/>
        <v>01</v>
      </c>
      <c r="B43" s="97" t="s">
        <v>2250</v>
      </c>
      <c r="C43" s="777"/>
      <c r="D43" s="97"/>
      <c r="E43" s="97"/>
      <c r="F43" s="97"/>
      <c r="G43" s="97"/>
      <c r="H43" s="97"/>
      <c r="I43" s="776" t="s">
        <v>2251</v>
      </c>
      <c r="J43" s="778"/>
      <c r="K43" s="2131"/>
      <c r="L43" s="1045"/>
      <c r="M43" s="1045"/>
      <c r="N43" s="671"/>
      <c r="O43" s="671"/>
      <c r="P43" s="671"/>
      <c r="Q43" s="671"/>
      <c r="R43" s="97"/>
      <c r="S43" s="97"/>
    </row>
    <row r="44" spans="1:21" ht="12" customHeight="1" x14ac:dyDescent="0.25">
      <c r="A44" s="4" t="str">
        <f t="shared" si="5"/>
        <v>01</v>
      </c>
      <c r="B44" s="2370" t="s">
        <v>2252</v>
      </c>
      <c r="C44" s="777"/>
      <c r="D44" s="97"/>
      <c r="E44" s="97"/>
      <c r="F44" s="97"/>
      <c r="G44" s="97"/>
      <c r="H44" s="97"/>
      <c r="I44" s="776" t="s">
        <v>2253</v>
      </c>
      <c r="J44" s="778"/>
      <c r="K44" s="870"/>
      <c r="L44" s="1045"/>
      <c r="M44" s="1045"/>
      <c r="N44" s="671"/>
      <c r="O44" s="671"/>
      <c r="P44" s="671"/>
      <c r="Q44" s="671"/>
      <c r="R44" s="97"/>
      <c r="S44" s="97"/>
    </row>
    <row r="45" spans="1:21" ht="12" customHeight="1" x14ac:dyDescent="0.25">
      <c r="A45" s="4" t="str">
        <f t="shared" si="5"/>
        <v>01</v>
      </c>
      <c r="B45" s="2370" t="s">
        <v>2254</v>
      </c>
      <c r="C45" s="777"/>
      <c r="D45" s="97"/>
      <c r="E45" s="97"/>
      <c r="F45" s="97"/>
      <c r="G45" s="97"/>
      <c r="H45" s="97"/>
      <c r="I45" s="776" t="s">
        <v>2255</v>
      </c>
      <c r="J45" s="778"/>
      <c r="K45" s="870"/>
      <c r="L45" s="1045"/>
      <c r="M45" s="1045"/>
      <c r="N45" s="671"/>
      <c r="O45" s="671"/>
      <c r="P45" s="671"/>
      <c r="Q45" s="671"/>
      <c r="R45" s="97"/>
      <c r="S45" s="97"/>
    </row>
    <row r="46" spans="1:21" ht="12" customHeight="1" x14ac:dyDescent="0.25">
      <c r="A46" s="4" t="str">
        <f t="shared" si="5"/>
        <v>01</v>
      </c>
      <c r="B46" s="97" t="s">
        <v>2256</v>
      </c>
      <c r="C46" s="777"/>
      <c r="D46" s="97"/>
      <c r="E46" s="97"/>
      <c r="F46" s="97"/>
      <c r="G46" s="97"/>
      <c r="H46" s="97"/>
      <c r="I46" s="776" t="s">
        <v>2257</v>
      </c>
      <c r="J46" s="778"/>
      <c r="K46" s="870"/>
      <c r="L46" s="1045"/>
      <c r="M46" s="1045"/>
      <c r="N46" s="671"/>
      <c r="O46" s="671"/>
      <c r="P46" s="671"/>
      <c r="Q46" s="671"/>
      <c r="R46" s="97"/>
      <c r="S46" s="97"/>
    </row>
    <row r="47" spans="1:21" ht="12" customHeight="1" x14ac:dyDescent="0.25">
      <c r="A47" s="4" t="str">
        <f t="shared" si="5"/>
        <v>01</v>
      </c>
      <c r="B47" s="97" t="s">
        <v>2258</v>
      </c>
      <c r="C47" s="777"/>
      <c r="D47" s="97"/>
      <c r="E47" s="97"/>
      <c r="F47" s="97"/>
      <c r="G47" s="97"/>
      <c r="H47" s="97"/>
      <c r="I47" s="776" t="s">
        <v>2259</v>
      </c>
      <c r="J47" s="778"/>
      <c r="K47" s="870"/>
      <c r="L47" s="1045"/>
      <c r="M47" s="1045"/>
      <c r="N47" s="671"/>
      <c r="O47" s="671"/>
      <c r="P47" s="671"/>
      <c r="Q47" s="671"/>
      <c r="R47" s="97"/>
      <c r="S47" s="97"/>
    </row>
    <row r="48" spans="1:21" ht="12" customHeight="1" x14ac:dyDescent="0.25">
      <c r="A48" s="4" t="str">
        <f t="shared" si="5"/>
        <v>01</v>
      </c>
      <c r="B48" s="97" t="s">
        <v>2260</v>
      </c>
      <c r="C48" s="777"/>
      <c r="D48" s="97"/>
      <c r="E48" s="97"/>
      <c r="F48" s="97"/>
      <c r="G48" s="97"/>
      <c r="H48" s="97"/>
      <c r="I48" s="776" t="s">
        <v>2261</v>
      </c>
      <c r="J48" s="778"/>
      <c r="K48" s="870"/>
      <c r="L48" s="1045"/>
      <c r="M48" s="1045"/>
      <c r="N48" s="671"/>
      <c r="O48" s="671"/>
      <c r="P48" s="671"/>
      <c r="Q48" s="671"/>
      <c r="R48" s="97"/>
      <c r="S48" s="97"/>
    </row>
    <row r="49" spans="1:19" ht="12" customHeight="1" x14ac:dyDescent="0.25">
      <c r="A49" s="4" t="str">
        <f t="shared" si="5"/>
        <v>01</v>
      </c>
      <c r="B49" s="97" t="s">
        <v>2262</v>
      </c>
      <c r="C49" s="777"/>
      <c r="D49" s="97"/>
      <c r="E49" s="97"/>
      <c r="F49" s="97"/>
      <c r="G49" s="97"/>
      <c r="H49" s="97"/>
      <c r="I49" s="776" t="s">
        <v>2263</v>
      </c>
      <c r="J49" s="778"/>
      <c r="K49" s="870"/>
      <c r="L49" s="1045"/>
      <c r="M49" s="1045"/>
      <c r="N49" s="671"/>
      <c r="O49" s="671"/>
      <c r="P49" s="671"/>
      <c r="Q49" s="671"/>
      <c r="R49" s="97"/>
      <c r="S49" s="97"/>
    </row>
    <row r="50" spans="1:19" ht="12" customHeight="1" x14ac:dyDescent="0.25">
      <c r="A50" s="4" t="str">
        <f t="shared" si="5"/>
        <v>01</v>
      </c>
      <c r="B50" s="97" t="s">
        <v>2264</v>
      </c>
      <c r="C50" s="777"/>
      <c r="D50" s="97"/>
      <c r="E50" s="97"/>
      <c r="F50" s="97"/>
      <c r="G50" s="97"/>
      <c r="H50" s="97"/>
      <c r="I50" s="776" t="s">
        <v>2265</v>
      </c>
      <c r="J50" s="778"/>
      <c r="K50" s="870"/>
      <c r="L50" s="1045"/>
      <c r="M50" s="1045"/>
      <c r="N50" s="671"/>
      <c r="O50" s="671"/>
      <c r="P50" s="671"/>
      <c r="Q50" s="671"/>
      <c r="R50" s="97"/>
      <c r="S50" s="97"/>
    </row>
    <row r="51" spans="1:19" ht="12" customHeight="1" x14ac:dyDescent="0.25">
      <c r="A51" s="4" t="str">
        <f t="shared" si="5"/>
        <v>01</v>
      </c>
      <c r="B51" s="97" t="s">
        <v>2266</v>
      </c>
      <c r="C51" s="777"/>
      <c r="D51" s="97"/>
      <c r="E51" s="97"/>
      <c r="F51" s="97"/>
      <c r="G51" s="97"/>
      <c r="H51" s="97"/>
      <c r="I51" s="776" t="s">
        <v>2267</v>
      </c>
      <c r="J51" s="778"/>
      <c r="K51" s="870"/>
      <c r="L51" s="1960"/>
      <c r="M51" s="1045"/>
      <c r="N51" s="671"/>
      <c r="O51" s="671"/>
      <c r="P51" s="671"/>
      <c r="Q51" s="671"/>
      <c r="R51" s="97"/>
      <c r="S51" s="97"/>
    </row>
    <row r="52" spans="1:19" ht="12" customHeight="1" x14ac:dyDescent="0.25">
      <c r="A52" s="4" t="str">
        <f t="shared" si="5"/>
        <v>01</v>
      </c>
      <c r="B52" s="97" t="s">
        <v>2268</v>
      </c>
      <c r="C52" s="777"/>
      <c r="D52" s="97"/>
      <c r="E52" s="97"/>
      <c r="F52" s="97"/>
      <c r="G52" s="97"/>
      <c r="H52" s="97"/>
      <c r="I52" s="776" t="s">
        <v>2269</v>
      </c>
      <c r="J52" s="778"/>
      <c r="K52" s="870"/>
      <c r="L52" s="1960"/>
      <c r="M52" s="1045"/>
      <c r="N52" s="671"/>
      <c r="O52" s="671"/>
      <c r="P52" s="671"/>
      <c r="Q52" s="671"/>
      <c r="R52" s="97"/>
      <c r="S52" s="97"/>
    </row>
    <row r="53" spans="1:19" ht="12" customHeight="1" x14ac:dyDescent="0.25">
      <c r="A53" s="4" t="str">
        <f t="shared" si="5"/>
        <v>01</v>
      </c>
      <c r="B53" s="97" t="s">
        <v>2270</v>
      </c>
      <c r="C53" s="777"/>
      <c r="D53" s="97"/>
      <c r="E53" s="97"/>
      <c r="F53" s="97"/>
      <c r="G53" s="97"/>
      <c r="H53" s="97"/>
      <c r="I53" s="776" t="s">
        <v>2271</v>
      </c>
      <c r="J53" s="778"/>
      <c r="K53" s="1049"/>
      <c r="L53" s="1960"/>
      <c r="M53" s="1045"/>
      <c r="N53" s="671"/>
      <c r="O53" s="671"/>
      <c r="P53" s="671"/>
      <c r="Q53" s="671"/>
      <c r="R53" s="97"/>
      <c r="S53" s="97"/>
    </row>
    <row r="54" spans="1:19" ht="12" customHeight="1" x14ac:dyDescent="0.25">
      <c r="A54" s="4" t="str">
        <f t="shared" si="5"/>
        <v>01</v>
      </c>
      <c r="B54" s="97" t="s">
        <v>2272</v>
      </c>
      <c r="C54" s="777"/>
      <c r="D54" s="97"/>
      <c r="E54" s="97"/>
      <c r="F54" s="97"/>
      <c r="G54" s="97"/>
      <c r="H54" s="97"/>
      <c r="I54" s="776" t="s">
        <v>2273</v>
      </c>
      <c r="J54" s="778"/>
      <c r="K54" s="1049"/>
      <c r="L54" s="1960"/>
      <c r="M54" s="1045"/>
      <c r="N54" s="671"/>
      <c r="O54" s="671"/>
      <c r="P54" s="671"/>
      <c r="Q54" s="671"/>
      <c r="R54" s="97"/>
      <c r="S54" s="97"/>
    </row>
    <row r="55" spans="1:19" ht="12" customHeight="1" x14ac:dyDescent="0.25">
      <c r="A55" s="4" t="str">
        <f t="shared" si="5"/>
        <v>01</v>
      </c>
      <c r="B55" s="97" t="s">
        <v>2274</v>
      </c>
      <c r="C55" s="777"/>
      <c r="D55" s="97"/>
      <c r="E55" s="97"/>
      <c r="F55" s="97"/>
      <c r="G55" s="97"/>
      <c r="H55" s="97"/>
      <c r="I55" s="776" t="s">
        <v>2275</v>
      </c>
      <c r="J55" s="778"/>
      <c r="K55" s="1049"/>
      <c r="L55" s="1960"/>
      <c r="M55" s="1045"/>
      <c r="N55" s="671"/>
      <c r="O55" s="671"/>
      <c r="P55" s="671"/>
      <c r="Q55" s="671"/>
      <c r="R55" s="97"/>
      <c r="S55" s="97"/>
    </row>
    <row r="56" spans="1:19" ht="12" customHeight="1" x14ac:dyDescent="0.25">
      <c r="A56" s="4" t="str">
        <f t="shared" si="5"/>
        <v>01</v>
      </c>
      <c r="B56" s="97" t="s">
        <v>2276</v>
      </c>
      <c r="C56" s="777"/>
      <c r="D56" s="97"/>
      <c r="E56" s="97"/>
      <c r="F56" s="97"/>
      <c r="G56" s="97"/>
      <c r="H56" s="97"/>
      <c r="I56" s="776" t="s">
        <v>2277</v>
      </c>
      <c r="J56" s="778"/>
      <c r="K56" s="870"/>
      <c r="L56" s="1960"/>
      <c r="M56" s="1045"/>
      <c r="N56" s="671"/>
      <c r="O56" s="671"/>
      <c r="P56" s="671"/>
      <c r="Q56" s="671"/>
      <c r="R56" s="97"/>
      <c r="S56" s="97"/>
    </row>
    <row r="57" spans="1:19" ht="12" customHeight="1" x14ac:dyDescent="0.25">
      <c r="A57" s="4" t="str">
        <f t="shared" si="5"/>
        <v>01</v>
      </c>
      <c r="B57" s="97" t="s">
        <v>2278</v>
      </c>
      <c r="C57" s="777"/>
      <c r="D57" s="97"/>
      <c r="E57" s="97"/>
      <c r="F57" s="97"/>
      <c r="G57" s="97"/>
      <c r="H57" s="97"/>
      <c r="I57" s="776" t="s">
        <v>2279</v>
      </c>
      <c r="J57" s="778"/>
      <c r="K57" s="870"/>
      <c r="L57" s="1960"/>
      <c r="M57" s="1045"/>
      <c r="N57" s="671"/>
      <c r="O57" s="671"/>
      <c r="P57" s="671"/>
      <c r="Q57" s="671"/>
      <c r="R57" s="97"/>
      <c r="S57" s="97"/>
    </row>
    <row r="58" spans="1:19" ht="12" customHeight="1" x14ac:dyDescent="0.25">
      <c r="A58" s="4" t="str">
        <f t="shared" si="5"/>
        <v>01</v>
      </c>
      <c r="B58" s="97" t="s">
        <v>2280</v>
      </c>
      <c r="C58" s="2900" t="s">
        <v>2239</v>
      </c>
      <c r="D58" s="2900"/>
      <c r="E58" s="2900"/>
      <c r="F58" s="2900"/>
      <c r="G58" s="2900"/>
      <c r="H58" s="97"/>
      <c r="I58" s="776" t="s">
        <v>2281</v>
      </c>
      <c r="J58" s="778"/>
      <c r="K58" s="870"/>
      <c r="L58" s="1960"/>
      <c r="M58" s="1045"/>
      <c r="N58" s="671"/>
      <c r="O58" s="671"/>
      <c r="P58" s="671"/>
      <c r="Q58" s="671"/>
      <c r="R58" s="97"/>
      <c r="S58" s="97"/>
    </row>
    <row r="59" spans="1:19" ht="12" customHeight="1" x14ac:dyDescent="0.25">
      <c r="A59" s="4" t="str">
        <f t="shared" si="5"/>
        <v>01</v>
      </c>
      <c r="B59" s="97" t="s">
        <v>2282</v>
      </c>
      <c r="C59" s="2900" t="s">
        <v>2239</v>
      </c>
      <c r="D59" s="2900"/>
      <c r="E59" s="2900"/>
      <c r="F59" s="2900"/>
      <c r="G59" s="2900"/>
      <c r="H59" s="97"/>
      <c r="I59" s="776" t="s">
        <v>2283</v>
      </c>
      <c r="J59" s="778"/>
      <c r="K59" s="870"/>
      <c r="L59" s="1960"/>
      <c r="M59" s="1045"/>
      <c r="N59" s="671"/>
      <c r="O59" s="671"/>
      <c r="P59" s="671"/>
      <c r="Q59" s="671"/>
      <c r="R59" s="97"/>
      <c r="S59" s="97"/>
    </row>
    <row r="60" spans="1:19" ht="12" customHeight="1" x14ac:dyDescent="0.25">
      <c r="A60" s="4" t="str">
        <f t="shared" si="5"/>
        <v>01</v>
      </c>
      <c r="B60" s="97" t="s">
        <v>2284</v>
      </c>
      <c r="C60" s="2900" t="s">
        <v>2239</v>
      </c>
      <c r="D60" s="2900"/>
      <c r="E60" s="2900"/>
      <c r="F60" s="2900"/>
      <c r="G60" s="2900"/>
      <c r="H60" s="97"/>
      <c r="I60" s="776" t="s">
        <v>2285</v>
      </c>
      <c r="J60" s="778"/>
      <c r="K60" s="870"/>
      <c r="L60" s="1960"/>
      <c r="M60" s="1045"/>
      <c r="N60" s="671"/>
      <c r="O60" s="671"/>
      <c r="P60" s="671"/>
      <c r="Q60" s="671"/>
      <c r="R60" s="97"/>
      <c r="S60" s="97"/>
    </row>
    <row r="61" spans="1:19" ht="12" customHeight="1" x14ac:dyDescent="0.25">
      <c r="A61" s="4" t="str">
        <f t="shared" si="5"/>
        <v>01</v>
      </c>
      <c r="B61" s="97" t="s">
        <v>2286</v>
      </c>
      <c r="C61" s="2900" t="s">
        <v>2239</v>
      </c>
      <c r="D61" s="2900"/>
      <c r="E61" s="2900"/>
      <c r="F61" s="2900"/>
      <c r="G61" s="2900"/>
      <c r="H61" s="97"/>
      <c r="I61" s="776" t="s">
        <v>2287</v>
      </c>
      <c r="J61" s="778"/>
      <c r="K61" s="870"/>
      <c r="L61" s="1960"/>
      <c r="M61" s="1045"/>
      <c r="N61" s="671"/>
      <c r="O61" s="671"/>
      <c r="P61" s="671"/>
      <c r="Q61" s="671"/>
      <c r="R61" s="97"/>
      <c r="S61" s="97"/>
    </row>
    <row r="62" spans="1:19" ht="4.3499999999999996" customHeight="1" x14ac:dyDescent="0.25">
      <c r="A62" s="4" t="str">
        <f t="shared" si="5"/>
        <v>01</v>
      </c>
      <c r="B62" s="97"/>
      <c r="C62" s="97"/>
      <c r="D62" s="97"/>
      <c r="E62" s="97"/>
      <c r="F62" s="97"/>
      <c r="G62" s="97"/>
      <c r="H62" s="97"/>
      <c r="I62" s="776"/>
      <c r="J62" s="778"/>
      <c r="K62" s="1045"/>
      <c r="L62" s="1961"/>
      <c r="M62" s="671"/>
      <c r="N62" s="671"/>
      <c r="O62" s="671"/>
      <c r="P62" s="671"/>
      <c r="Q62" s="671"/>
      <c r="R62" s="97"/>
      <c r="S62" s="97"/>
    </row>
    <row r="63" spans="1:19" ht="15" customHeight="1" x14ac:dyDescent="0.25">
      <c r="A63" s="4" t="str">
        <f t="shared" si="5"/>
        <v>01</v>
      </c>
      <c r="B63" s="97"/>
      <c r="C63" s="97"/>
      <c r="D63" s="97"/>
      <c r="E63" s="97"/>
      <c r="F63" s="97"/>
      <c r="G63" s="97"/>
      <c r="H63" s="97"/>
      <c r="I63" s="1033"/>
      <c r="J63" s="778"/>
      <c r="K63" s="1045"/>
      <c r="L63" s="1961"/>
      <c r="M63" s="179" t="s">
        <v>2288</v>
      </c>
      <c r="N63" s="671"/>
      <c r="O63" s="1045"/>
      <c r="P63" s="97"/>
      <c r="Q63" s="97"/>
      <c r="R63" s="97"/>
      <c r="S63" s="97"/>
    </row>
    <row r="64" spans="1:19" ht="12.6" customHeight="1" x14ac:dyDescent="0.25">
      <c r="A64" s="4" t="str">
        <f t="shared" si="5"/>
        <v>01</v>
      </c>
      <c r="B64" s="97"/>
      <c r="C64" s="97"/>
      <c r="D64" s="97"/>
      <c r="E64" s="97"/>
      <c r="F64" s="97"/>
      <c r="G64" s="97"/>
      <c r="H64" s="97"/>
      <c r="I64" s="776"/>
      <c r="J64" s="1041"/>
      <c r="K64" s="1045"/>
      <c r="L64" s="671"/>
      <c r="M64" s="870"/>
      <c r="N64" s="671"/>
      <c r="O64" s="671" t="s">
        <v>2289</v>
      </c>
      <c r="P64" s="97"/>
      <c r="Q64" s="97"/>
      <c r="R64" s="97"/>
      <c r="S64" s="97"/>
    </row>
    <row r="65" spans="1:19" ht="12.6" customHeight="1" x14ac:dyDescent="0.25">
      <c r="A65" s="4" t="str">
        <f t="shared" ref="A65:A74" si="6">AgyIdx</f>
        <v>01</v>
      </c>
      <c r="B65" s="97"/>
      <c r="C65" s="97"/>
      <c r="D65" s="97"/>
      <c r="E65" s="97"/>
      <c r="F65" s="97"/>
      <c r="G65" s="97"/>
      <c r="H65" s="97"/>
      <c r="I65" s="776"/>
      <c r="J65" s="1041"/>
      <c r="K65" s="1045"/>
      <c r="L65" s="671"/>
      <c r="M65" s="870"/>
      <c r="N65" s="671"/>
      <c r="O65" s="671" t="s">
        <v>2290</v>
      </c>
      <c r="P65" s="97"/>
      <c r="Q65" s="97"/>
      <c r="R65" s="97"/>
      <c r="S65" s="97"/>
    </row>
    <row r="66" spans="1:19" ht="12.6" customHeight="1" x14ac:dyDescent="0.25">
      <c r="A66" s="4" t="str">
        <f t="shared" si="6"/>
        <v>01</v>
      </c>
      <c r="B66" s="891"/>
      <c r="C66" s="97"/>
      <c r="D66" s="97"/>
      <c r="E66" s="97"/>
      <c r="F66" s="97"/>
      <c r="G66" s="97"/>
      <c r="H66" s="97"/>
      <c r="I66" s="776"/>
      <c r="J66" s="1041"/>
      <c r="K66" s="1045"/>
      <c r="L66" s="671"/>
      <c r="M66" s="870"/>
      <c r="N66" s="671"/>
      <c r="O66" s="671" t="s">
        <v>2291</v>
      </c>
      <c r="P66" s="97"/>
      <c r="Q66" s="97"/>
      <c r="R66" s="97"/>
      <c r="S66" s="97"/>
    </row>
    <row r="67" spans="1:19" ht="12.6" customHeight="1" x14ac:dyDescent="0.25">
      <c r="A67" s="4" t="str">
        <f t="shared" si="6"/>
        <v>01</v>
      </c>
      <c r="B67" s="891"/>
      <c r="C67" s="891"/>
      <c r="D67" s="97"/>
      <c r="E67" s="97"/>
      <c r="F67" s="97"/>
      <c r="G67" s="97"/>
      <c r="H67" s="97"/>
      <c r="I67" s="776"/>
      <c r="J67" s="1041"/>
      <c r="K67" s="1045"/>
      <c r="L67" s="671"/>
      <c r="M67" s="870"/>
      <c r="N67" s="671"/>
      <c r="O67" s="671" t="s">
        <v>2292</v>
      </c>
      <c r="P67" s="97"/>
      <c r="Q67" s="97"/>
      <c r="R67" s="97"/>
      <c r="S67" s="97"/>
    </row>
    <row r="68" spans="1:19" ht="12.6" customHeight="1" x14ac:dyDescent="0.25">
      <c r="B68" s="891"/>
      <c r="C68" s="891"/>
      <c r="D68" s="97"/>
      <c r="E68" s="97"/>
      <c r="F68" s="97"/>
      <c r="G68" s="97"/>
      <c r="H68" s="97"/>
      <c r="I68" s="776"/>
      <c r="J68" s="1041"/>
      <c r="K68" s="1045"/>
      <c r="L68" s="671"/>
      <c r="M68" s="870"/>
      <c r="N68" s="671"/>
      <c r="O68" s="671" t="s">
        <v>2293</v>
      </c>
      <c r="P68" s="97"/>
      <c r="Q68" s="97"/>
      <c r="R68" s="97"/>
      <c r="S68" s="97"/>
    </row>
    <row r="69" spans="1:19" ht="12.6" customHeight="1" x14ac:dyDescent="0.25">
      <c r="A69" s="4" t="str">
        <f t="shared" si="6"/>
        <v>01</v>
      </c>
      <c r="B69" s="180" t="s">
        <v>2294</v>
      </c>
      <c r="C69" s="891"/>
      <c r="D69" s="97"/>
      <c r="E69" s="97"/>
      <c r="F69" s="97"/>
      <c r="G69" s="97"/>
      <c r="H69" s="97"/>
      <c r="I69" s="776"/>
      <c r="J69" s="1041"/>
      <c r="K69" s="1045"/>
      <c r="L69" s="671"/>
      <c r="M69" s="1045"/>
      <c r="N69" s="671"/>
      <c r="O69" s="671"/>
      <c r="P69" s="97"/>
      <c r="Q69" s="97"/>
      <c r="R69" s="97"/>
      <c r="S69" s="97"/>
    </row>
    <row r="70" spans="1:19" ht="12" customHeight="1" thickBot="1" x14ac:dyDescent="0.3">
      <c r="A70" s="4" t="str">
        <f t="shared" si="6"/>
        <v>01</v>
      </c>
      <c r="B70" s="180" t="s">
        <v>2295</v>
      </c>
      <c r="C70" s="891"/>
      <c r="D70" s="891"/>
      <c r="E70" s="891"/>
      <c r="F70" s="891"/>
      <c r="G70" s="891"/>
      <c r="H70" s="97"/>
      <c r="I70" s="1050" t="s">
        <v>2296</v>
      </c>
      <c r="J70" s="778"/>
      <c r="K70" s="1962">
        <f>K38+SUM(K41:K62)</f>
        <v>0</v>
      </c>
      <c r="L70" s="776"/>
      <c r="M70" s="1962">
        <f>SUM(M64:M68)</f>
        <v>0</v>
      </c>
      <c r="N70" s="97"/>
      <c r="O70" s="891" t="s">
        <v>2297</v>
      </c>
      <c r="P70" s="97"/>
      <c r="Q70" s="97"/>
      <c r="R70" s="97"/>
      <c r="S70" s="97"/>
    </row>
    <row r="71" spans="1:19" ht="6" customHeight="1" thickTop="1" x14ac:dyDescent="0.2">
      <c r="A71" s="4" t="str">
        <f t="shared" si="6"/>
        <v>01</v>
      </c>
      <c r="B71" s="97"/>
      <c r="C71" s="97"/>
      <c r="D71" s="97"/>
      <c r="E71" s="97"/>
      <c r="F71" s="97"/>
      <c r="G71" s="97"/>
      <c r="H71" s="97"/>
      <c r="I71" s="670"/>
      <c r="J71" s="97"/>
      <c r="K71" s="671"/>
      <c r="L71" s="97"/>
      <c r="M71" s="671"/>
      <c r="N71" s="671"/>
      <c r="O71" s="6"/>
      <c r="P71" s="671"/>
      <c r="Q71" s="671"/>
      <c r="R71" s="97"/>
      <c r="S71" s="97"/>
    </row>
    <row r="72" spans="1:19" ht="15" customHeight="1" thickBot="1" x14ac:dyDescent="0.3">
      <c r="A72" s="4" t="str">
        <f t="shared" si="6"/>
        <v>01</v>
      </c>
      <c r="B72" s="181"/>
      <c r="C72" s="181"/>
      <c r="D72" s="181"/>
      <c r="E72" s="181"/>
      <c r="F72" s="181"/>
      <c r="G72" s="181"/>
      <c r="H72" s="181"/>
      <c r="I72" s="1050" t="s">
        <v>2298</v>
      </c>
      <c r="K72" s="1962">
        <f>M70</f>
        <v>0</v>
      </c>
      <c r="L72" s="891" t="s">
        <v>2297</v>
      </c>
      <c r="M72" s="97"/>
      <c r="N72" s="97"/>
      <c r="O72" s="182"/>
      <c r="P72" s="182"/>
      <c r="Q72" s="182"/>
    </row>
    <row r="73" spans="1:19" ht="13.5" thickTop="1" x14ac:dyDescent="0.2">
      <c r="A73" s="4" t="str">
        <f t="shared" si="6"/>
        <v>01</v>
      </c>
      <c r="I73" s="670" t="s">
        <v>2299</v>
      </c>
      <c r="K73" s="671">
        <f>K70-K72</f>
        <v>0</v>
      </c>
      <c r="L73" s="6"/>
      <c r="M73" s="6"/>
      <c r="N73" s="6"/>
      <c r="P73" s="6"/>
      <c r="Q73" s="6"/>
    </row>
    <row r="74" spans="1:19" x14ac:dyDescent="0.2">
      <c r="A74" s="4" t="str">
        <f t="shared" si="6"/>
        <v>01</v>
      </c>
    </row>
    <row r="75" spans="1:19" ht="15" x14ac:dyDescent="0.2">
      <c r="A75" s="445" t="str">
        <f ca="1">MID(CELL("filename",A41),FIND("]",CELL("filename",A41))+1,256)</f>
        <v>710</v>
      </c>
      <c r="B75" s="445" t="s">
        <v>636</v>
      </c>
      <c r="K75" s="445"/>
    </row>
    <row r="76" spans="1:19" ht="15" x14ac:dyDescent="0.2">
      <c r="A76" s="445" t="s">
        <v>380</v>
      </c>
      <c r="B76" s="445" t="str">
        <f t="shared" ref="B76:B85" ca="1" si="7">IF(ISNA(INDEX(ErrorTable,MATCH($A$75&amp;$A76&amp;FALSE,ErrorKey,0),6)),"",INDEX(ErrorTable,MATCH($A$75&amp;$A76&amp;FALSE,ErrorKey,0),6))</f>
        <v/>
      </c>
    </row>
    <row r="77" spans="1:19" ht="15" x14ac:dyDescent="0.2">
      <c r="A77" s="445" t="s">
        <v>381</v>
      </c>
      <c r="B77" s="445" t="str">
        <f t="shared" ca="1" si="7"/>
        <v/>
      </c>
    </row>
    <row r="78" spans="1:19" ht="15" x14ac:dyDescent="0.2">
      <c r="A78" s="445" t="s">
        <v>382</v>
      </c>
      <c r="B78" s="445" t="str">
        <f t="shared" ca="1" si="7"/>
        <v/>
      </c>
    </row>
    <row r="79" spans="1:19" ht="15" x14ac:dyDescent="0.2">
      <c r="A79" s="445" t="s">
        <v>383</v>
      </c>
      <c r="B79" s="445" t="str">
        <f t="shared" ca="1" si="7"/>
        <v/>
      </c>
    </row>
    <row r="80" spans="1:19" ht="15" x14ac:dyDescent="0.2">
      <c r="A80" s="445" t="s">
        <v>384</v>
      </c>
      <c r="B80" s="445" t="str">
        <f t="shared" ca="1" si="7"/>
        <v/>
      </c>
    </row>
    <row r="81" spans="1:2" ht="15" x14ac:dyDescent="0.2">
      <c r="A81" s="445" t="s">
        <v>385</v>
      </c>
      <c r="B81" s="445" t="str">
        <f t="shared" ca="1" si="7"/>
        <v/>
      </c>
    </row>
    <row r="82" spans="1:2" ht="15" x14ac:dyDescent="0.2">
      <c r="A82" s="445" t="s">
        <v>386</v>
      </c>
      <c r="B82" s="445" t="str">
        <f t="shared" ca="1" si="7"/>
        <v/>
      </c>
    </row>
    <row r="83" spans="1:2" ht="15" x14ac:dyDescent="0.2">
      <c r="A83" s="445" t="s">
        <v>387</v>
      </c>
      <c r="B83" s="445" t="str">
        <f t="shared" ca="1" si="7"/>
        <v/>
      </c>
    </row>
    <row r="84" spans="1:2" ht="15" x14ac:dyDescent="0.2">
      <c r="A84" s="445" t="s">
        <v>388</v>
      </c>
      <c r="B84" s="445" t="str">
        <f t="shared" ca="1" si="7"/>
        <v/>
      </c>
    </row>
    <row r="85" spans="1:2" ht="15" x14ac:dyDescent="0.2">
      <c r="A85" s="445" t="s">
        <v>389</v>
      </c>
      <c r="B85" s="445" t="str">
        <f t="shared" ca="1" si="7"/>
        <v/>
      </c>
    </row>
  </sheetData>
  <sheetProtection algorithmName="SHA-512" hashValue="4dAESva9xzdC2kmeLQKOo2+IOvpzug5L/JPVEYwa47UI9F6ee1RSPbwBE7ZiYZZaVr73Y/8Nxr/oFcFMPZsDaA==" saltValue="UBL5K7BQ/JgxjygzOxshfg==" spinCount="100000" sheet="1" objects="1" scenarios="1" autoFilter="0"/>
  <customSheetViews>
    <customSheetView guid="{9FCFC836-1CA5-48BF-958D-24D2EA94B219}" showGridLines="0" fitToPage="1">
      <pageMargins left="0" right="0" top="0" bottom="0" header="0" footer="0"/>
      <printOptions horizontalCentered="1"/>
      <pageSetup scale="89" orientation="portrait" horizontalDpi="1200" verticalDpi="1200" r:id="rId1"/>
      <headerFooter alignWithMargins="0">
        <oddHeader xml:space="preserve"> </oddHeader>
        <oddFooter>&amp;R&amp;A</oddFooter>
      </headerFooter>
    </customSheetView>
    <customSheetView guid="{BEA4BE86-04D1-4C96-9358-7A260B9D2B2D}" showGridLines="0" showRuler="0">
      <selection activeCell="D8" sqref="D8:F8"/>
      <pageMargins left="0" right="0" top="0" bottom="0" header="0" footer="0"/>
      <printOptions horizontalCentered="1"/>
      <pageSetup scale="98" orientation="portrait" horizontalDpi="4294967292" verticalDpi="4294967292" r:id="rId2"/>
      <headerFooter alignWithMargins="0">
        <oddHeader xml:space="preserve"> </oddHeader>
        <oddFooter>&amp;R&amp;A</oddFooter>
      </headerFooter>
    </customSheetView>
    <customSheetView guid="{1250FD07-FF56-4A9D-AF9E-C27124A7EBE9}" showGridLines="0" showRuler="0">
      <selection activeCell="D8" sqref="D8:F8"/>
      <pageMargins left="0" right="0" top="0" bottom="0" header="0" footer="0"/>
      <printOptions horizontalCentered="1"/>
      <pageSetup scale="98" orientation="portrait" horizontalDpi="4294967292" verticalDpi="4294967292" r:id="rId3"/>
      <headerFooter alignWithMargins="0">
        <oddHeader xml:space="preserve"> </oddHeader>
        <oddFooter>&amp;R&amp;A</oddFooter>
      </headerFooter>
    </customSheetView>
    <customSheetView guid="{B08879A4-635B-4C39-9937-AC7883D562FC}" showGridLines="0" fitToPage="1">
      <pageMargins left="0" right="0" top="0" bottom="0" header="0" footer="0"/>
      <printOptions horizontalCentered="1"/>
      <pageSetup scale="89" orientation="portrait" horizontalDpi="1200" verticalDpi="1200" r:id="rId4"/>
      <headerFooter alignWithMargins="0">
        <oddHeader xml:space="preserve"> </oddHeader>
        <oddFooter>&amp;R&amp;A</oddFooter>
      </headerFooter>
    </customSheetView>
  </customSheetViews>
  <mergeCells count="18">
    <mergeCell ref="C36:G36"/>
    <mergeCell ref="C37:G37"/>
    <mergeCell ref="C59:G59"/>
    <mergeCell ref="C60:G60"/>
    <mergeCell ref="C61:G61"/>
    <mergeCell ref="U1:U3"/>
    <mergeCell ref="B4:R4"/>
    <mergeCell ref="M6:Q6"/>
    <mergeCell ref="M7:Q7"/>
    <mergeCell ref="B1:R1"/>
    <mergeCell ref="B2:R2"/>
    <mergeCell ref="B3:R3"/>
    <mergeCell ref="E8:G8"/>
    <mergeCell ref="C58:G58"/>
    <mergeCell ref="M13:O13"/>
    <mergeCell ref="M12:Q12"/>
    <mergeCell ref="M8:Q8"/>
    <mergeCell ref="M9:Q9"/>
  </mergeCells>
  <phoneticPr fontId="16" type="noConversion"/>
  <conditionalFormatting sqref="S1:S3">
    <cfRule type="cellIs" dxfId="38" priority="2" stopIfTrue="1" operator="equal">
      <formula>"na"</formula>
    </cfRule>
  </conditionalFormatting>
  <conditionalFormatting sqref="U1:U3">
    <cfRule type="cellIs" dxfId="37" priority="1" stopIfTrue="1" operator="equal">
      <formula>"na"</formula>
    </cfRule>
  </conditionalFormatting>
  <dataValidations count="1">
    <dataValidation allowBlank="1" showInputMessage="1" showErrorMessage="1" promptTitle="Amount type" prompt="Please enter GROSS investment amount, not 'net' amount." sqref="K43" xr:uid="{39C9B1F6-1C54-44AC-A119-0DB73B9AEEF7}"/>
  </dataValidations>
  <hyperlinks>
    <hyperlink ref="B1:R1" location="Index!A1" display="Index!A1" xr:uid="{00000000-0004-0000-3E00-000000000000}"/>
  </hyperlinks>
  <pageMargins left="0.6" right="0.6" top="0.5" bottom="0.5" header="0.3" footer="0.3"/>
  <pageSetup scale="83" fitToHeight="0" orientation="portrait"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3855898D-A5AC-4455-A3B1-CAA902980274}">
          <x14:formula1>
            <xm:f>Notes!$X$3:$X$6</xm:f>
          </x14:formula1>
          <xm:sqref>C36:G37</xm:sqref>
        </x14:dataValidation>
        <x14:dataValidation type="list" allowBlank="1" showInputMessage="1" showErrorMessage="1" xr:uid="{BB5CE6BE-4254-4ABB-B879-FA15508C0E4D}">
          <x14:formula1>
            <xm:f>Notes!$X$10:$X$20</xm:f>
          </x14:formula1>
          <xm:sqref>C58:G61</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W62"/>
  <sheetViews>
    <sheetView showGridLines="0" topLeftCell="C1" zoomScaleNormal="100" zoomScaleSheetLayoutView="100" workbookViewId="0">
      <selection activeCell="A2" sqref="A2"/>
    </sheetView>
  </sheetViews>
  <sheetFormatPr defaultColWidth="9.42578125" defaultRowHeight="12.75" x14ac:dyDescent="0.2"/>
  <cols>
    <col min="1" max="1" width="0" style="7" hidden="1" customWidth="1"/>
    <col min="2" max="2" width="9.42578125" style="7" hidden="1" customWidth="1"/>
    <col min="3" max="3" width="12.5703125" style="7" customWidth="1"/>
    <col min="4" max="4" width="4.5703125" style="7" customWidth="1"/>
    <col min="5" max="5" width="8.42578125" style="7" customWidth="1"/>
    <col min="6" max="6" width="1.5703125" style="7" customWidth="1"/>
    <col min="7" max="7" width="14" style="7" customWidth="1"/>
    <col min="8" max="8" width="1.5703125" style="7" customWidth="1"/>
    <col min="9" max="9" width="14" style="7" customWidth="1"/>
    <col min="10" max="10" width="1.5703125" style="7" customWidth="1"/>
    <col min="11" max="11" width="14" style="7" customWidth="1"/>
    <col min="12" max="12" width="1.5703125" style="7" customWidth="1"/>
    <col min="13" max="13" width="14" style="7" customWidth="1"/>
    <col min="14" max="14" width="1.5703125" style="7" customWidth="1"/>
    <col min="15" max="15" width="14" style="7" customWidth="1"/>
    <col min="16" max="16" width="1.5703125" style="7" customWidth="1"/>
    <col min="17" max="17" width="14" style="7" customWidth="1"/>
    <col min="18" max="18" width="4.5703125" style="7" customWidth="1"/>
    <col min="19" max="19" width="9.42578125" style="7" hidden="1" customWidth="1"/>
    <col min="20" max="20" width="17.5703125" style="7" customWidth="1"/>
    <col min="21" max="16384" width="9.42578125" style="7"/>
  </cols>
  <sheetData>
    <row r="1" spans="1:20" s="93" customFormat="1" ht="15" customHeight="1" x14ac:dyDescent="0.25">
      <c r="A1" s="216" t="str">
        <f t="shared" ref="A1:A41" si="0">AgyIdx</f>
        <v>01</v>
      </c>
      <c r="C1" s="2455" t="str">
        <f>+Index!$A$1</f>
        <v xml:space="preserve">                                                               Office of the State Controller                                                                </v>
      </c>
      <c r="D1" s="2455"/>
      <c r="E1" s="2455"/>
      <c r="F1" s="2455"/>
      <c r="G1" s="2455"/>
      <c r="H1" s="2455"/>
      <c r="I1" s="2455"/>
      <c r="J1" s="2455"/>
      <c r="K1" s="2455"/>
      <c r="L1" s="2455"/>
      <c r="M1" s="2455"/>
      <c r="N1" s="2455"/>
      <c r="O1" s="2455"/>
      <c r="P1" s="2455"/>
      <c r="Q1" s="2455"/>
      <c r="R1" s="2520" t="str">
        <f>IF(Index!$B$92="na","NA","")</f>
        <v/>
      </c>
    </row>
    <row r="2" spans="1:20" s="93" customFormat="1" ht="15" customHeight="1" x14ac:dyDescent="0.25">
      <c r="A2" s="216" t="str">
        <f t="shared" si="0"/>
        <v>01</v>
      </c>
      <c r="C2" s="2895" t="str">
        <f>+Index!$A$2</f>
        <v>2023 ACFR Worksheets</v>
      </c>
      <c r="D2" s="2895"/>
      <c r="E2" s="2895"/>
      <c r="F2" s="2895"/>
      <c r="G2" s="2895"/>
      <c r="H2" s="2895"/>
      <c r="I2" s="2895"/>
      <c r="J2" s="2895"/>
      <c r="K2" s="2895"/>
      <c r="L2" s="2895"/>
      <c r="M2" s="2895"/>
      <c r="N2" s="2895"/>
      <c r="O2" s="2895"/>
      <c r="P2" s="2895"/>
      <c r="Q2" s="2895"/>
      <c r="R2" s="2520"/>
    </row>
    <row r="3" spans="1:20" s="93" customFormat="1" ht="15" customHeight="1" x14ac:dyDescent="0.25">
      <c r="A3" s="216" t="str">
        <f t="shared" si="0"/>
        <v>01</v>
      </c>
      <c r="C3" s="2895" t="s">
        <v>2194</v>
      </c>
      <c r="D3" s="2895"/>
      <c r="E3" s="2895"/>
      <c r="F3" s="2895"/>
      <c r="G3" s="2895"/>
      <c r="H3" s="2895"/>
      <c r="I3" s="2895"/>
      <c r="J3" s="2895"/>
      <c r="K3" s="2895"/>
      <c r="L3" s="2895"/>
      <c r="M3" s="2895"/>
      <c r="N3" s="2895"/>
      <c r="O3" s="2895"/>
      <c r="P3" s="2895"/>
      <c r="Q3" s="2895"/>
      <c r="R3" s="2520"/>
    </row>
    <row r="4" spans="1:20" s="93" customFormat="1" ht="15" customHeight="1" x14ac:dyDescent="0.25">
      <c r="A4" s="216" t="str">
        <f t="shared" si="0"/>
        <v>01</v>
      </c>
      <c r="C4" s="2895" t="s">
        <v>2300</v>
      </c>
      <c r="D4" s="2895"/>
      <c r="E4" s="2895"/>
      <c r="F4" s="2895"/>
      <c r="G4" s="2895"/>
      <c r="H4" s="2895"/>
      <c r="I4" s="2895"/>
      <c r="J4" s="2895"/>
      <c r="K4" s="2895"/>
      <c r="L4" s="2895"/>
      <c r="M4" s="2895"/>
      <c r="N4" s="2895"/>
      <c r="O4" s="2895"/>
      <c r="P4" s="2895"/>
      <c r="Q4" s="2895"/>
    </row>
    <row r="5" spans="1:20" s="94" customFormat="1" ht="15" customHeight="1" x14ac:dyDescent="0.2">
      <c r="A5" s="216" t="str">
        <f t="shared" si="0"/>
        <v>01</v>
      </c>
      <c r="M5" s="257"/>
    </row>
    <row r="6" spans="1:20" s="94" customFormat="1" ht="15" customHeight="1" x14ac:dyDescent="0.2">
      <c r="A6" s="216" t="str">
        <f t="shared" si="0"/>
        <v>01</v>
      </c>
      <c r="C6" s="212" t="s">
        <v>317</v>
      </c>
      <c r="E6" s="2899" t="str">
        <f>+Index!$E$10</f>
        <v>01</v>
      </c>
      <c r="F6" s="2899"/>
      <c r="G6" s="2899"/>
      <c r="I6" s="212"/>
      <c r="J6" s="212"/>
      <c r="K6" s="212" t="s">
        <v>2155</v>
      </c>
      <c r="L6" s="2896" t="str">
        <f>+Index!$E$11</f>
        <v>North Carolina General Assembly</v>
      </c>
      <c r="M6" s="2896"/>
      <c r="N6" s="2896"/>
      <c r="O6" s="2896"/>
      <c r="P6" s="2896"/>
      <c r="Q6" s="2896"/>
    </row>
    <row r="7" spans="1:20" s="94" customFormat="1" ht="15" customHeight="1" x14ac:dyDescent="0.2">
      <c r="A7" s="216" t="str">
        <f t="shared" si="0"/>
        <v>01</v>
      </c>
      <c r="E7" s="1955"/>
      <c r="F7" s="1955"/>
      <c r="G7" s="1955"/>
      <c r="I7" s="212"/>
      <c r="J7" s="212"/>
      <c r="K7" s="212" t="s">
        <v>319</v>
      </c>
      <c r="L7" s="2897" t="str">
        <f>CONCATENATE(Index!$E$12," ",Index!$E$14)</f>
        <v xml:space="preserve"> </v>
      </c>
      <c r="M7" s="2897"/>
      <c r="N7" s="2897"/>
      <c r="O7" s="2897"/>
      <c r="P7" s="2897"/>
      <c r="Q7" s="2897"/>
    </row>
    <row r="8" spans="1:20" s="94" customFormat="1" ht="15" customHeight="1" x14ac:dyDescent="0.2">
      <c r="A8" s="216" t="str">
        <f t="shared" si="0"/>
        <v>01</v>
      </c>
      <c r="C8" s="94" t="s">
        <v>568</v>
      </c>
      <c r="E8" s="2899" t="s">
        <v>754</v>
      </c>
      <c r="F8" s="2899"/>
      <c r="G8" s="2899"/>
      <c r="I8" s="212"/>
      <c r="J8" s="212"/>
      <c r="K8" s="212" t="s">
        <v>71</v>
      </c>
      <c r="L8" s="2897">
        <f>+Index!$E$13</f>
        <v>0</v>
      </c>
      <c r="M8" s="2897"/>
      <c r="N8" s="2897"/>
      <c r="O8" s="2897"/>
      <c r="P8" s="2897"/>
      <c r="Q8" s="2897"/>
    </row>
    <row r="9" spans="1:20" s="94" customFormat="1" ht="12" customHeight="1" thickBot="1" x14ac:dyDescent="0.25">
      <c r="A9" s="216" t="str">
        <f t="shared" si="0"/>
        <v>01</v>
      </c>
      <c r="C9" s="163"/>
      <c r="D9" s="163"/>
      <c r="E9" s="163"/>
      <c r="F9" s="163"/>
      <c r="G9" s="163"/>
      <c r="H9" s="163"/>
      <c r="I9" s="163"/>
      <c r="J9" s="163"/>
      <c r="K9" s="163"/>
      <c r="L9" s="163"/>
      <c r="M9" s="163"/>
      <c r="N9" s="163"/>
      <c r="O9" s="163"/>
      <c r="P9" s="163"/>
      <c r="Q9" s="163"/>
    </row>
    <row r="10" spans="1:20" s="94" customFormat="1" ht="12" customHeight="1" x14ac:dyDescent="0.2">
      <c r="A10" s="216" t="str">
        <f t="shared" si="0"/>
        <v>01</v>
      </c>
    </row>
    <row r="11" spans="1:20" s="94" customFormat="1" ht="12.75" customHeight="1" x14ac:dyDescent="0.25">
      <c r="A11" s="216" t="str">
        <f t="shared" si="0"/>
        <v>01</v>
      </c>
      <c r="C11" s="164"/>
      <c r="D11" s="164"/>
      <c r="E11" s="164"/>
      <c r="F11" s="164"/>
      <c r="G11" s="2350"/>
      <c r="H11" s="164"/>
      <c r="I11" s="2891" t="s">
        <v>2156</v>
      </c>
      <c r="J11" s="2891"/>
      <c r="K11" s="2891"/>
      <c r="L11" s="2891"/>
      <c r="M11" s="2891"/>
      <c r="N11" s="1499"/>
      <c r="O11" s="1499"/>
      <c r="P11" s="1499"/>
      <c r="Q11" s="1499"/>
    </row>
    <row r="12" spans="1:20" s="94" customFormat="1" ht="12.75" customHeight="1" x14ac:dyDescent="0.25">
      <c r="A12" s="216"/>
      <c r="C12" s="164"/>
      <c r="D12" s="164"/>
      <c r="E12" s="164"/>
      <c r="F12" s="164"/>
      <c r="G12" s="2350"/>
      <c r="H12" s="164"/>
      <c r="I12" s="1465" t="s">
        <v>2301</v>
      </c>
      <c r="J12" s="1465"/>
      <c r="K12" s="1465" t="s">
        <v>2302</v>
      </c>
      <c r="L12" s="1465"/>
      <c r="M12" s="1465" t="s">
        <v>2303</v>
      </c>
      <c r="N12" s="1465"/>
      <c r="O12" s="1465" t="s">
        <v>2304</v>
      </c>
      <c r="P12" s="1499"/>
      <c r="Q12" s="1499"/>
    </row>
    <row r="13" spans="1:20" s="94" customFormat="1" ht="12.75" customHeight="1" x14ac:dyDescent="0.25">
      <c r="A13" s="216" t="str">
        <f t="shared" si="0"/>
        <v>01</v>
      </c>
      <c r="C13" s="164"/>
      <c r="D13" s="164"/>
      <c r="E13" s="164"/>
      <c r="F13" s="164"/>
      <c r="G13" s="674"/>
      <c r="H13" s="164"/>
      <c r="I13" s="1956"/>
      <c r="J13" s="170"/>
      <c r="K13" s="213"/>
      <c r="L13" s="215"/>
      <c r="M13" s="2350" t="s">
        <v>2157</v>
      </c>
      <c r="N13" s="170"/>
      <c r="O13" s="165"/>
      <c r="P13" s="164"/>
      <c r="Q13" s="164"/>
    </row>
    <row r="14" spans="1:20" s="94" customFormat="1" ht="12" customHeight="1" x14ac:dyDescent="0.25">
      <c r="A14" s="216" t="str">
        <f t="shared" si="0"/>
        <v>01</v>
      </c>
      <c r="C14" s="164"/>
      <c r="D14" s="164"/>
      <c r="E14" s="164"/>
      <c r="F14" s="164"/>
      <c r="G14" s="2350" t="s">
        <v>955</v>
      </c>
      <c r="H14" s="164"/>
      <c r="I14" s="2350"/>
      <c r="J14" s="170"/>
      <c r="K14" s="214"/>
      <c r="L14" s="215"/>
      <c r="M14" s="2350" t="s">
        <v>2158</v>
      </c>
      <c r="N14" s="170"/>
      <c r="O14" s="165"/>
      <c r="P14" s="164"/>
      <c r="Q14" s="164"/>
      <c r="T14" s="164"/>
    </row>
    <row r="15" spans="1:20" s="94" customFormat="1" ht="12" customHeight="1" x14ac:dyDescent="0.25">
      <c r="A15" s="216" t="str">
        <f t="shared" si="0"/>
        <v>01</v>
      </c>
      <c r="C15" s="2892"/>
      <c r="D15" s="2637"/>
      <c r="E15" s="2637"/>
      <c r="F15" s="164"/>
      <c r="G15" s="2350" t="s">
        <v>2159</v>
      </c>
      <c r="H15" s="164"/>
      <c r="I15" s="2350" t="s">
        <v>2160</v>
      </c>
      <c r="J15" s="170"/>
      <c r="K15" s="2350" t="s">
        <v>2157</v>
      </c>
      <c r="L15" s="216"/>
      <c r="M15" s="2350" t="s">
        <v>2161</v>
      </c>
      <c r="N15" s="170"/>
      <c r="O15" s="2350" t="s">
        <v>2162</v>
      </c>
      <c r="P15" s="164"/>
      <c r="Q15" s="164"/>
      <c r="T15" s="674" t="s">
        <v>2204</v>
      </c>
    </row>
    <row r="16" spans="1:20" s="94" customFormat="1" ht="12" customHeight="1" x14ac:dyDescent="0.25">
      <c r="A16" s="216" t="str">
        <f t="shared" si="0"/>
        <v>01</v>
      </c>
      <c r="C16" s="2891" t="s">
        <v>2163</v>
      </c>
      <c r="D16" s="2573"/>
      <c r="E16" s="2573"/>
      <c r="F16" s="164"/>
      <c r="G16" s="2349" t="s">
        <v>2164</v>
      </c>
      <c r="H16" s="164"/>
      <c r="I16" s="2349" t="s">
        <v>2165</v>
      </c>
      <c r="J16" s="170"/>
      <c r="K16" s="2349" t="s">
        <v>2166</v>
      </c>
      <c r="L16" s="215"/>
      <c r="M16" s="2349" t="s">
        <v>2167</v>
      </c>
      <c r="N16" s="170"/>
      <c r="O16" s="2349" t="s">
        <v>2168</v>
      </c>
      <c r="P16" s="164"/>
      <c r="Q16" s="675" t="s">
        <v>955</v>
      </c>
      <c r="T16" s="675" t="s">
        <v>508</v>
      </c>
    </row>
    <row r="17" spans="1:23" s="95" customFormat="1" ht="12" customHeight="1" x14ac:dyDescent="0.2">
      <c r="A17" s="216" t="str">
        <f t="shared" si="0"/>
        <v>01</v>
      </c>
      <c r="B17" s="1500" t="s">
        <v>2305</v>
      </c>
      <c r="C17" s="1500"/>
      <c r="D17" s="167"/>
      <c r="E17" s="167"/>
      <c r="F17" s="167"/>
      <c r="G17" s="668" t="s">
        <v>592</v>
      </c>
      <c r="H17" s="669"/>
      <c r="I17" s="668" t="s">
        <v>593</v>
      </c>
      <c r="J17" s="669"/>
      <c r="K17" s="668" t="s">
        <v>594</v>
      </c>
      <c r="L17" s="669"/>
      <c r="M17" s="668" t="s">
        <v>595</v>
      </c>
      <c r="N17" s="669"/>
      <c r="O17" s="668" t="s">
        <v>596</v>
      </c>
      <c r="P17" s="669"/>
      <c r="Q17" s="668" t="s">
        <v>597</v>
      </c>
      <c r="R17" s="1500"/>
      <c r="S17" s="1500"/>
      <c r="T17" s="676"/>
      <c r="U17" s="1500"/>
      <c r="V17" s="1500"/>
      <c r="W17" s="1500"/>
    </row>
    <row r="18" spans="1:23" s="95" customFormat="1" ht="12" customHeight="1" x14ac:dyDescent="0.25">
      <c r="A18" s="216" t="str">
        <f t="shared" si="0"/>
        <v>01</v>
      </c>
      <c r="B18" s="1500" t="s">
        <v>2306</v>
      </c>
      <c r="C18" s="183" t="s">
        <v>2307</v>
      </c>
      <c r="D18" s="167"/>
      <c r="E18" s="167"/>
      <c r="F18" s="167"/>
      <c r="G18" s="168"/>
      <c r="H18" s="167"/>
      <c r="I18" s="168"/>
      <c r="J18" s="167"/>
      <c r="K18" s="168"/>
      <c r="L18" s="167"/>
      <c r="M18" s="168"/>
      <c r="N18" s="167"/>
      <c r="O18" s="168"/>
      <c r="P18" s="167"/>
      <c r="Q18" s="168"/>
      <c r="R18" s="1500"/>
      <c r="S18" s="1500"/>
      <c r="T18" s="676"/>
      <c r="U18" s="1500"/>
      <c r="V18" s="1500"/>
      <c r="W18" s="1500"/>
    </row>
    <row r="19" spans="1:23" s="94" customFormat="1" ht="12" customHeight="1" x14ac:dyDescent="0.2">
      <c r="A19" s="216" t="str">
        <f t="shared" si="0"/>
        <v>01</v>
      </c>
      <c r="B19" s="1500" t="s">
        <v>2308</v>
      </c>
      <c r="C19" s="2890"/>
      <c r="D19" s="2890"/>
      <c r="E19" s="2890"/>
      <c r="F19" s="164"/>
      <c r="G19" s="335"/>
      <c r="H19" s="218"/>
      <c r="I19" s="335"/>
      <c r="J19" s="218"/>
      <c r="K19" s="335"/>
      <c r="L19" s="218"/>
      <c r="M19" s="335"/>
      <c r="N19" s="218"/>
      <c r="O19" s="335"/>
      <c r="P19" s="218"/>
      <c r="Q19" s="217">
        <f>SUM(I19:P19)</f>
        <v>0</v>
      </c>
      <c r="R19" s="339" t="str">
        <f>IF(S19=FALSE,"*","")</f>
        <v/>
      </c>
      <c r="S19" s="340" t="b">
        <f>+G19=Q19</f>
        <v>1</v>
      </c>
      <c r="T19" s="677" t="str">
        <f>IF(G19=Q19,"",G19-Q19)</f>
        <v/>
      </c>
    </row>
    <row r="20" spans="1:23" s="94" customFormat="1" ht="12" customHeight="1" x14ac:dyDescent="0.2">
      <c r="A20" s="216" t="str">
        <f t="shared" si="0"/>
        <v>01</v>
      </c>
      <c r="B20" s="1500" t="s">
        <v>2309</v>
      </c>
      <c r="C20" s="2890"/>
      <c r="D20" s="2890"/>
      <c r="E20" s="2890"/>
      <c r="F20" s="164"/>
      <c r="G20" s="335"/>
      <c r="H20" s="218"/>
      <c r="I20" s="336"/>
      <c r="J20" s="218"/>
      <c r="K20" s="336"/>
      <c r="L20" s="218"/>
      <c r="M20" s="336"/>
      <c r="N20" s="218"/>
      <c r="O20" s="336"/>
      <c r="P20" s="218"/>
      <c r="Q20" s="217">
        <f t="shared" ref="Q20:Q27" si="1">SUM(I20:P20)</f>
        <v>0</v>
      </c>
      <c r="R20" s="339" t="str">
        <f t="shared" ref="R20:R27" si="2">IF(S20=FALSE,"*","")</f>
        <v/>
      </c>
      <c r="S20" s="340" t="b">
        <f t="shared" ref="S20:S27" si="3">+G20=Q20</f>
        <v>1</v>
      </c>
      <c r="T20" s="677" t="str">
        <f t="shared" ref="T20:T28" si="4">IF(G20=Q20,"",G20-Q20)</f>
        <v/>
      </c>
    </row>
    <row r="21" spans="1:23" s="94" customFormat="1" ht="12" customHeight="1" x14ac:dyDescent="0.2">
      <c r="A21" s="216" t="str">
        <f t="shared" si="0"/>
        <v>01</v>
      </c>
      <c r="B21" s="1500" t="s">
        <v>2310</v>
      </c>
      <c r="C21" s="2890"/>
      <c r="D21" s="2890"/>
      <c r="E21" s="2890"/>
      <c r="F21" s="164"/>
      <c r="G21" s="335"/>
      <c r="H21" s="218"/>
      <c r="I21" s="336"/>
      <c r="J21" s="218"/>
      <c r="K21" s="336"/>
      <c r="L21" s="218"/>
      <c r="M21" s="336"/>
      <c r="N21" s="218"/>
      <c r="O21" s="336"/>
      <c r="P21" s="218"/>
      <c r="Q21" s="217">
        <f t="shared" si="1"/>
        <v>0</v>
      </c>
      <c r="R21" s="339" t="str">
        <f t="shared" si="2"/>
        <v/>
      </c>
      <c r="S21" s="340" t="b">
        <f t="shared" si="3"/>
        <v>1</v>
      </c>
      <c r="T21" s="677" t="str">
        <f t="shared" si="4"/>
        <v/>
      </c>
    </row>
    <row r="22" spans="1:23" s="94" customFormat="1" ht="12" customHeight="1" x14ac:dyDescent="0.2">
      <c r="A22" s="216" t="str">
        <f t="shared" si="0"/>
        <v>01</v>
      </c>
      <c r="B22" s="1500" t="s">
        <v>2311</v>
      </c>
      <c r="C22" s="2890"/>
      <c r="D22" s="2890"/>
      <c r="E22" s="2890"/>
      <c r="F22" s="164"/>
      <c r="G22" s="335"/>
      <c r="H22" s="218"/>
      <c r="I22" s="336"/>
      <c r="J22" s="218"/>
      <c r="K22" s="336"/>
      <c r="L22" s="218"/>
      <c r="M22" s="336"/>
      <c r="N22" s="218"/>
      <c r="O22" s="336"/>
      <c r="P22" s="218"/>
      <c r="Q22" s="217">
        <f t="shared" si="1"/>
        <v>0</v>
      </c>
      <c r="R22" s="339" t="str">
        <f t="shared" si="2"/>
        <v/>
      </c>
      <c r="S22" s="340" t="b">
        <f t="shared" si="3"/>
        <v>1</v>
      </c>
      <c r="T22" s="677" t="str">
        <f t="shared" si="4"/>
        <v/>
      </c>
    </row>
    <row r="23" spans="1:23" s="94" customFormat="1" ht="12" customHeight="1" x14ac:dyDescent="0.2">
      <c r="A23" s="216" t="str">
        <f t="shared" si="0"/>
        <v>01</v>
      </c>
      <c r="B23" s="1500" t="s">
        <v>2312</v>
      </c>
      <c r="C23" s="2890"/>
      <c r="D23" s="2890"/>
      <c r="E23" s="2890"/>
      <c r="F23" s="164"/>
      <c r="G23" s="335"/>
      <c r="H23" s="218"/>
      <c r="I23" s="335"/>
      <c r="J23" s="218"/>
      <c r="K23" s="335"/>
      <c r="L23" s="218"/>
      <c r="M23" s="335"/>
      <c r="N23" s="218"/>
      <c r="O23" s="335"/>
      <c r="P23" s="218"/>
      <c r="Q23" s="217">
        <f t="shared" si="1"/>
        <v>0</v>
      </c>
      <c r="R23" s="339" t="str">
        <f t="shared" si="2"/>
        <v/>
      </c>
      <c r="S23" s="340" t="b">
        <f t="shared" si="3"/>
        <v>1</v>
      </c>
      <c r="T23" s="677" t="str">
        <f t="shared" si="4"/>
        <v/>
      </c>
    </row>
    <row r="24" spans="1:23" s="94" customFormat="1" ht="12" customHeight="1" x14ac:dyDescent="0.2">
      <c r="A24" s="216" t="str">
        <f t="shared" si="0"/>
        <v>01</v>
      </c>
      <c r="B24" s="1500" t="s">
        <v>2313</v>
      </c>
      <c r="C24" s="2908"/>
      <c r="D24" s="2890"/>
      <c r="E24" s="2890"/>
      <c r="F24" s="164"/>
      <c r="G24" s="336"/>
      <c r="H24" s="218"/>
      <c r="I24" s="336"/>
      <c r="J24" s="218"/>
      <c r="K24" s="336"/>
      <c r="L24" s="218"/>
      <c r="M24" s="336"/>
      <c r="N24" s="218"/>
      <c r="O24" s="336"/>
      <c r="P24" s="218"/>
      <c r="Q24" s="217">
        <f t="shared" si="1"/>
        <v>0</v>
      </c>
      <c r="R24" s="339" t="str">
        <f t="shared" si="2"/>
        <v/>
      </c>
      <c r="S24" s="340" t="b">
        <f t="shared" si="3"/>
        <v>1</v>
      </c>
      <c r="T24" s="677" t="str">
        <f t="shared" si="4"/>
        <v/>
      </c>
    </row>
    <row r="25" spans="1:23" s="94" customFormat="1" ht="12" customHeight="1" x14ac:dyDescent="0.2">
      <c r="A25" s="216" t="str">
        <f t="shared" si="0"/>
        <v>01</v>
      </c>
      <c r="B25" s="1500" t="s">
        <v>2314</v>
      </c>
      <c r="C25" s="2890"/>
      <c r="D25" s="2890"/>
      <c r="E25" s="2890"/>
      <c r="F25" s="164"/>
      <c r="G25" s="336"/>
      <c r="H25" s="218"/>
      <c r="I25" s="336"/>
      <c r="J25" s="218"/>
      <c r="K25" s="336"/>
      <c r="L25" s="218"/>
      <c r="M25" s="336"/>
      <c r="N25" s="218"/>
      <c r="O25" s="336"/>
      <c r="P25" s="218"/>
      <c r="Q25" s="217">
        <f t="shared" si="1"/>
        <v>0</v>
      </c>
      <c r="R25" s="339" t="str">
        <f t="shared" si="2"/>
        <v/>
      </c>
      <c r="S25" s="340" t="b">
        <f t="shared" si="3"/>
        <v>1</v>
      </c>
      <c r="T25" s="677" t="str">
        <f t="shared" si="4"/>
        <v/>
      </c>
    </row>
    <row r="26" spans="1:23" s="94" customFormat="1" ht="12" customHeight="1" x14ac:dyDescent="0.2">
      <c r="A26" s="216" t="str">
        <f t="shared" si="0"/>
        <v>01</v>
      </c>
      <c r="B26" s="1500" t="s">
        <v>2315</v>
      </c>
      <c r="C26" s="2890"/>
      <c r="D26" s="2890"/>
      <c r="E26" s="2890"/>
      <c r="F26" s="164"/>
      <c r="G26" s="336"/>
      <c r="H26" s="218"/>
      <c r="I26" s="336"/>
      <c r="J26" s="218"/>
      <c r="K26" s="336"/>
      <c r="L26" s="218"/>
      <c r="M26" s="336"/>
      <c r="N26" s="218"/>
      <c r="O26" s="336"/>
      <c r="P26" s="218"/>
      <c r="Q26" s="217">
        <f t="shared" si="1"/>
        <v>0</v>
      </c>
      <c r="R26" s="339" t="str">
        <f t="shared" si="2"/>
        <v/>
      </c>
      <c r="S26" s="340" t="b">
        <f t="shared" si="3"/>
        <v>1</v>
      </c>
      <c r="T26" s="677" t="str">
        <f t="shared" si="4"/>
        <v/>
      </c>
    </row>
    <row r="27" spans="1:23" s="94" customFormat="1" ht="12" customHeight="1" thickBot="1" x14ac:dyDescent="0.25">
      <c r="A27" s="216" t="str">
        <f t="shared" si="0"/>
        <v>01</v>
      </c>
      <c r="B27" s="1500" t="s">
        <v>2316</v>
      </c>
      <c r="C27" s="2890"/>
      <c r="D27" s="2890"/>
      <c r="E27" s="2890"/>
      <c r="F27" s="164"/>
      <c r="G27" s="337"/>
      <c r="H27" s="218"/>
      <c r="I27" s="337"/>
      <c r="J27" s="218"/>
      <c r="K27" s="337"/>
      <c r="L27" s="218"/>
      <c r="M27" s="337"/>
      <c r="N27" s="218"/>
      <c r="O27" s="337"/>
      <c r="P27" s="218"/>
      <c r="Q27" s="219">
        <f t="shared" si="1"/>
        <v>0</v>
      </c>
      <c r="R27" s="339" t="str">
        <f t="shared" si="2"/>
        <v/>
      </c>
      <c r="S27" s="340" t="b">
        <f t="shared" si="3"/>
        <v>1</v>
      </c>
      <c r="T27" s="677" t="str">
        <f t="shared" si="4"/>
        <v/>
      </c>
    </row>
    <row r="28" spans="1:23" s="94" customFormat="1" ht="14.1" customHeight="1" thickBot="1" x14ac:dyDescent="0.25">
      <c r="A28" s="216" t="str">
        <f t="shared" si="0"/>
        <v>01</v>
      </c>
      <c r="B28" s="1500" t="s">
        <v>2317</v>
      </c>
      <c r="C28" s="184" t="s">
        <v>2318</v>
      </c>
      <c r="D28" s="164"/>
      <c r="E28" s="164"/>
      <c r="F28" s="164"/>
      <c r="G28" s="221">
        <f>SUM(G19:G27)</f>
        <v>0</v>
      </c>
      <c r="H28" s="218"/>
      <c r="I28" s="221">
        <f>SUM(I19:I27)</f>
        <v>0</v>
      </c>
      <c r="J28" s="218"/>
      <c r="K28" s="221">
        <f>SUM(K19:K27)</f>
        <v>0</v>
      </c>
      <c r="L28" s="218"/>
      <c r="M28" s="221">
        <f>SUM(M19:M27)</f>
        <v>0</v>
      </c>
      <c r="N28" s="218"/>
      <c r="O28" s="221">
        <f>SUM(O19:O27)</f>
        <v>0</v>
      </c>
      <c r="P28" s="218"/>
      <c r="Q28" s="221">
        <f>SUM(Q19:Q27)</f>
        <v>0</v>
      </c>
      <c r="R28" s="164"/>
      <c r="T28" s="677" t="str">
        <f t="shared" si="4"/>
        <v/>
      </c>
    </row>
    <row r="29" spans="1:23" s="94" customFormat="1" ht="13.35" customHeight="1" thickTop="1" x14ac:dyDescent="0.25">
      <c r="A29" s="216" t="str">
        <f t="shared" si="0"/>
        <v>01</v>
      </c>
      <c r="C29" s="184"/>
      <c r="D29" s="164"/>
      <c r="E29" s="164"/>
      <c r="F29" s="164"/>
      <c r="G29" s="225"/>
      <c r="H29" s="218"/>
      <c r="I29" s="218"/>
      <c r="J29" s="218"/>
      <c r="K29" s="218"/>
      <c r="L29" s="218"/>
      <c r="M29" s="218"/>
      <c r="N29" s="218"/>
      <c r="O29" s="218"/>
      <c r="P29" s="218"/>
      <c r="Q29" s="218"/>
      <c r="R29" s="164"/>
      <c r="T29" s="677"/>
    </row>
    <row r="30" spans="1:23" s="94" customFormat="1" ht="11.1" customHeight="1" x14ac:dyDescent="0.25">
      <c r="A30" s="216" t="str">
        <f t="shared" si="0"/>
        <v>01</v>
      </c>
      <c r="C30" s="184"/>
      <c r="D30" s="164"/>
      <c r="E30" s="164"/>
      <c r="F30" s="164"/>
      <c r="G30" s="225"/>
      <c r="H30" s="218"/>
      <c r="I30" s="218"/>
      <c r="J30" s="218"/>
      <c r="K30" s="218"/>
      <c r="L30" s="218"/>
      <c r="M30" s="218"/>
      <c r="N30" s="218"/>
      <c r="O30" s="218"/>
      <c r="P30" s="218"/>
      <c r="Q30" s="218"/>
      <c r="R30" s="164"/>
      <c r="T30" s="677"/>
    </row>
    <row r="31" spans="1:23" s="94" customFormat="1" ht="12" customHeight="1" x14ac:dyDescent="0.25">
      <c r="A31" s="216" t="str">
        <f t="shared" si="0"/>
        <v>01</v>
      </c>
      <c r="C31" s="183" t="s">
        <v>2319</v>
      </c>
      <c r="D31" s="164"/>
      <c r="E31" s="164"/>
      <c r="F31" s="164"/>
      <c r="G31" s="218"/>
      <c r="H31" s="218"/>
      <c r="I31" s="218"/>
      <c r="J31" s="218"/>
      <c r="K31" s="218"/>
      <c r="L31" s="218"/>
      <c r="M31" s="218"/>
      <c r="N31" s="218"/>
      <c r="O31" s="218"/>
      <c r="P31" s="218"/>
      <c r="Q31" s="218"/>
      <c r="R31" s="164"/>
      <c r="T31" s="677"/>
    </row>
    <row r="32" spans="1:23" s="94" customFormat="1" ht="12" customHeight="1" x14ac:dyDescent="0.2">
      <c r="A32" s="216" t="str">
        <f t="shared" si="0"/>
        <v>01</v>
      </c>
      <c r="B32" s="94" t="s">
        <v>2320</v>
      </c>
      <c r="C32" s="2890"/>
      <c r="D32" s="2890"/>
      <c r="E32" s="2890"/>
      <c r="F32" s="164"/>
      <c r="G32" s="335"/>
      <c r="H32" s="218"/>
      <c r="I32" s="335"/>
      <c r="J32" s="218"/>
      <c r="K32" s="335"/>
      <c r="L32" s="218"/>
      <c r="M32" s="335"/>
      <c r="N32" s="218"/>
      <c r="O32" s="335"/>
      <c r="P32" s="218"/>
      <c r="Q32" s="217">
        <f>SUM(I32:P32)</f>
        <v>0</v>
      </c>
      <c r="R32" s="339" t="str">
        <f>IF(S32=FALSE,"*","")</f>
        <v/>
      </c>
      <c r="S32" s="340" t="b">
        <f>+G32=Q32</f>
        <v>1</v>
      </c>
      <c r="T32" s="677" t="str">
        <f>IF(G32=Q32,"",G32-Q32)</f>
        <v/>
      </c>
    </row>
    <row r="33" spans="1:23" s="94" customFormat="1" ht="12" customHeight="1" x14ac:dyDescent="0.2">
      <c r="A33" s="216" t="str">
        <f t="shared" si="0"/>
        <v>01</v>
      </c>
      <c r="B33" s="94" t="s">
        <v>2321</v>
      </c>
      <c r="C33" s="2890"/>
      <c r="D33" s="2890"/>
      <c r="E33" s="2890"/>
      <c r="F33" s="164"/>
      <c r="G33" s="335"/>
      <c r="H33" s="218"/>
      <c r="I33" s="336"/>
      <c r="J33" s="218"/>
      <c r="K33" s="335"/>
      <c r="L33" s="218"/>
      <c r="M33" s="336"/>
      <c r="N33" s="218"/>
      <c r="O33" s="336"/>
      <c r="P33" s="218"/>
      <c r="Q33" s="217">
        <f>SUM(I33:P33)</f>
        <v>0</v>
      </c>
      <c r="R33" s="339" t="str">
        <f>IF(S33=FALSE,"*","")</f>
        <v/>
      </c>
      <c r="S33" s="340" t="b">
        <f>+G33=Q33</f>
        <v>1</v>
      </c>
      <c r="T33" s="677" t="str">
        <f>IF(G33=Q33,"",G33-Q33)</f>
        <v/>
      </c>
    </row>
    <row r="34" spans="1:23" s="94" customFormat="1" ht="12" customHeight="1" thickBot="1" x14ac:dyDescent="0.25">
      <c r="A34" s="216" t="str">
        <f t="shared" si="0"/>
        <v>01</v>
      </c>
      <c r="B34" s="94" t="s">
        <v>2322</v>
      </c>
      <c r="C34" s="2890"/>
      <c r="D34" s="2890"/>
      <c r="E34" s="2890"/>
      <c r="F34" s="164"/>
      <c r="G34" s="337"/>
      <c r="H34" s="218"/>
      <c r="I34" s="338"/>
      <c r="J34" s="218"/>
      <c r="K34" s="338"/>
      <c r="L34" s="218"/>
      <c r="M34" s="338"/>
      <c r="N34" s="218"/>
      <c r="O34" s="338"/>
      <c r="P34" s="218"/>
      <c r="Q34" s="219">
        <f>SUM(I34:P34)</f>
        <v>0</v>
      </c>
      <c r="R34" s="339" t="str">
        <f>IF(S34=FALSE,"*","")</f>
        <v/>
      </c>
      <c r="S34" s="340" t="b">
        <f>+G34=Q34</f>
        <v>1</v>
      </c>
      <c r="T34" s="677" t="str">
        <f>IF(G34=Q34,"",G34-Q34)</f>
        <v/>
      </c>
    </row>
    <row r="35" spans="1:23" s="94" customFormat="1" ht="14.1" customHeight="1" thickBot="1" x14ac:dyDescent="0.25">
      <c r="A35" s="216" t="str">
        <f t="shared" si="0"/>
        <v>01</v>
      </c>
      <c r="B35" s="94" t="s">
        <v>2323</v>
      </c>
      <c r="C35" s="186" t="s">
        <v>2324</v>
      </c>
      <c r="D35" s="164"/>
      <c r="E35" s="164"/>
      <c r="F35" s="164"/>
      <c r="G35" s="221">
        <f>SUM(G32:G34)</f>
        <v>0</v>
      </c>
      <c r="H35" s="218"/>
      <c r="I35" s="221">
        <f>SUM(I32:I34)</f>
        <v>0</v>
      </c>
      <c r="J35" s="218"/>
      <c r="K35" s="221">
        <f>SUM(K32:K34)</f>
        <v>0</v>
      </c>
      <c r="L35" s="218"/>
      <c r="M35" s="221">
        <f>SUM(M32:M34)</f>
        <v>0</v>
      </c>
      <c r="N35" s="218"/>
      <c r="O35" s="221">
        <f>SUM(O32:O34)</f>
        <v>0</v>
      </c>
      <c r="P35" s="218"/>
      <c r="Q35" s="221">
        <f>SUM(Q32:Q34)</f>
        <v>0</v>
      </c>
      <c r="R35" s="164"/>
      <c r="T35" s="677" t="str">
        <f>IF(G35=Q35,"",G35-Q35)</f>
        <v/>
      </c>
    </row>
    <row r="36" spans="1:23" ht="13.35" customHeight="1" thickTop="1" x14ac:dyDescent="0.25">
      <c r="A36" s="216" t="str">
        <f t="shared" si="0"/>
        <v>01</v>
      </c>
      <c r="G36" s="225"/>
      <c r="H36" s="224"/>
      <c r="I36" s="224"/>
      <c r="J36" s="224"/>
      <c r="K36" s="224"/>
      <c r="L36" s="224"/>
      <c r="M36" s="224"/>
      <c r="N36" s="224"/>
      <c r="O36" s="224"/>
      <c r="P36" s="224"/>
      <c r="Q36" s="224"/>
      <c r="T36" s="677"/>
    </row>
    <row r="37" spans="1:23" ht="15" customHeight="1" thickBot="1" x14ac:dyDescent="0.25">
      <c r="A37" s="216" t="str">
        <f t="shared" si="0"/>
        <v>01</v>
      </c>
      <c r="B37" s="7" t="s">
        <v>2325</v>
      </c>
      <c r="C37" s="7" t="s">
        <v>2326</v>
      </c>
      <c r="G37" s="221">
        <f>'705'!G35+'705'!G45+'715'!G28+'715'!G35</f>
        <v>0</v>
      </c>
      <c r="H37" s="218"/>
      <c r="I37" s="221">
        <f>'705'!I35+'705'!I45+'715'!I28+'715'!I35</f>
        <v>0</v>
      </c>
      <c r="J37" s="218"/>
      <c r="K37" s="221">
        <f>'705'!K35+'705'!K45+'715'!K28+'715'!K35</f>
        <v>0</v>
      </c>
      <c r="L37" s="218"/>
      <c r="M37" s="221">
        <f>'705'!M35+'705'!M45+'715'!M28+'715'!M35</f>
        <v>0</v>
      </c>
      <c r="N37" s="218"/>
      <c r="O37" s="221">
        <f>'705'!O35+'705'!O45+'715'!O28+'715'!O35</f>
        <v>0</v>
      </c>
      <c r="P37" s="218"/>
      <c r="Q37" s="221">
        <f>'705'!Q35+'705'!Q45+'715'!Q28+'715'!Q35</f>
        <v>0</v>
      </c>
      <c r="S37" s="1142">
        <f>COUNTIF(S19:S36,FALSE)</f>
        <v>0</v>
      </c>
      <c r="T37" s="677" t="str">
        <f>IF(G37=Q37,"",G37-Q37)</f>
        <v/>
      </c>
      <c r="W37" s="1501" t="s">
        <v>2327</v>
      </c>
    </row>
    <row r="38" spans="1:23" ht="15" customHeight="1" thickTop="1" x14ac:dyDescent="0.2">
      <c r="A38" s="216" t="str">
        <f t="shared" si="0"/>
        <v>01</v>
      </c>
      <c r="G38" s="224"/>
      <c r="H38" s="224"/>
      <c r="I38" s="224"/>
      <c r="J38" s="224"/>
      <c r="K38" s="224"/>
      <c r="L38" s="224"/>
      <c r="M38" s="224"/>
      <c r="N38" s="224"/>
      <c r="O38" s="224"/>
      <c r="P38" s="224"/>
      <c r="Q38" s="224"/>
      <c r="T38" s="164"/>
    </row>
    <row r="39" spans="1:23" ht="15" customHeight="1" x14ac:dyDescent="0.2">
      <c r="A39" s="216" t="str">
        <f t="shared" si="0"/>
        <v>01</v>
      </c>
      <c r="G39" s="224"/>
      <c r="H39" s="224"/>
      <c r="I39" s="224"/>
      <c r="J39" s="224"/>
      <c r="K39" s="224"/>
      <c r="L39" s="224"/>
      <c r="M39" s="224"/>
      <c r="N39" s="224"/>
      <c r="O39" s="224"/>
      <c r="P39" s="224"/>
      <c r="Q39" s="224"/>
      <c r="T39" s="164"/>
    </row>
    <row r="40" spans="1:23" ht="15" customHeight="1" x14ac:dyDescent="0.2">
      <c r="A40" s="216" t="str">
        <f t="shared" si="0"/>
        <v>01</v>
      </c>
      <c r="G40" s="224"/>
      <c r="H40" s="224"/>
      <c r="I40" s="224"/>
      <c r="J40" s="224"/>
      <c r="K40" s="224"/>
      <c r="L40" s="224"/>
      <c r="M40" s="224"/>
      <c r="N40" s="224"/>
      <c r="O40" s="224"/>
      <c r="P40" s="224"/>
      <c r="Q40" s="224"/>
      <c r="T40" s="164"/>
    </row>
    <row r="41" spans="1:23" ht="15" customHeight="1" x14ac:dyDescent="0.2">
      <c r="A41" s="216" t="str">
        <f t="shared" si="0"/>
        <v>01</v>
      </c>
      <c r="B41" s="445" t="str">
        <f ca="1">MID(CELL("filename",B18),FIND("]",CELL("filename",B18))+1,256)</f>
        <v>715</v>
      </c>
      <c r="C41" s="445" t="s">
        <v>636</v>
      </c>
      <c r="G41" s="224"/>
      <c r="H41" s="224"/>
      <c r="I41" s="224"/>
      <c r="J41" s="224"/>
      <c r="K41" s="224"/>
      <c r="L41" s="224"/>
      <c r="M41" s="224"/>
      <c r="N41" s="224"/>
      <c r="O41" s="224"/>
      <c r="P41" s="224"/>
      <c r="Q41" s="224"/>
      <c r="T41" s="164"/>
    </row>
    <row r="42" spans="1:23" ht="15" customHeight="1" x14ac:dyDescent="0.2">
      <c r="B42" s="445" t="s">
        <v>380</v>
      </c>
      <c r="C42" s="445" t="str">
        <f t="shared" ref="C42:C51" ca="1" si="5">IF(ISNA(INDEX(ErrorTable,MATCH($B$41&amp;$B42&amp;FALSE,ErrorKey,0),6)),"",INDEX(ErrorTable,MATCH($B$41&amp;$B42&amp;FALSE,ErrorKey,0),6))</f>
        <v/>
      </c>
      <c r="G42" s="224"/>
      <c r="H42" s="224"/>
      <c r="I42" s="224"/>
      <c r="J42" s="224"/>
      <c r="K42" s="224"/>
      <c r="L42" s="224"/>
      <c r="M42" s="224"/>
      <c r="N42" s="224"/>
      <c r="O42" s="224"/>
      <c r="P42" s="224"/>
      <c r="Q42" s="224"/>
      <c r="T42" s="164"/>
    </row>
    <row r="43" spans="1:23" ht="15" customHeight="1" x14ac:dyDescent="0.2">
      <c r="B43" s="445" t="s">
        <v>381</v>
      </c>
      <c r="C43" s="445" t="str">
        <f t="shared" ca="1" si="5"/>
        <v/>
      </c>
      <c r="G43" s="224"/>
      <c r="H43" s="224"/>
      <c r="I43" s="224"/>
      <c r="J43" s="224"/>
      <c r="K43" s="224"/>
      <c r="L43" s="224"/>
      <c r="M43" s="224"/>
      <c r="N43" s="224"/>
      <c r="O43" s="224"/>
      <c r="P43" s="224"/>
      <c r="Q43" s="224"/>
      <c r="T43" s="164"/>
    </row>
    <row r="44" spans="1:23" ht="15" customHeight="1" x14ac:dyDescent="0.2">
      <c r="B44" s="445" t="s">
        <v>382</v>
      </c>
      <c r="C44" s="445" t="str">
        <f t="shared" ca="1" si="5"/>
        <v/>
      </c>
      <c r="G44" s="224"/>
      <c r="H44" s="224"/>
      <c r="I44" s="224"/>
      <c r="J44" s="224"/>
      <c r="K44" s="224"/>
      <c r="L44" s="224"/>
      <c r="M44" s="224"/>
      <c r="N44" s="224"/>
      <c r="O44" s="224"/>
      <c r="P44" s="224"/>
      <c r="Q44" s="224"/>
      <c r="T44" s="164"/>
    </row>
    <row r="45" spans="1:23" ht="15" customHeight="1" x14ac:dyDescent="0.2">
      <c r="B45" s="445" t="s">
        <v>383</v>
      </c>
      <c r="C45" s="445" t="str">
        <f t="shared" ca="1" si="5"/>
        <v/>
      </c>
      <c r="G45" s="8"/>
      <c r="H45" s="8"/>
      <c r="I45" s="8"/>
      <c r="J45" s="8"/>
      <c r="K45" s="8"/>
      <c r="L45" s="8"/>
      <c r="M45" s="8"/>
      <c r="N45" s="8"/>
      <c r="O45" s="8"/>
      <c r="P45" s="8"/>
      <c r="Q45" s="8"/>
      <c r="T45" s="164"/>
    </row>
    <row r="46" spans="1:23" ht="15" customHeight="1" x14ac:dyDescent="0.2">
      <c r="B46" s="445" t="s">
        <v>384</v>
      </c>
      <c r="C46" s="445" t="str">
        <f t="shared" ca="1" si="5"/>
        <v/>
      </c>
      <c r="G46" s="8"/>
      <c r="H46" s="8"/>
      <c r="I46" s="8"/>
      <c r="J46" s="8"/>
      <c r="K46" s="8"/>
      <c r="L46" s="8"/>
      <c r="M46" s="8"/>
      <c r="N46" s="8"/>
      <c r="O46" s="8"/>
      <c r="P46" s="8"/>
      <c r="Q46" s="8"/>
      <c r="T46" s="164"/>
    </row>
    <row r="47" spans="1:23" ht="15" customHeight="1" x14ac:dyDescent="0.2">
      <c r="B47" s="445" t="s">
        <v>385</v>
      </c>
      <c r="C47" s="445" t="str">
        <f t="shared" ca="1" si="5"/>
        <v/>
      </c>
      <c r="G47" s="8"/>
      <c r="H47" s="8"/>
      <c r="I47" s="8"/>
      <c r="J47" s="8"/>
      <c r="K47" s="8"/>
      <c r="L47" s="8"/>
      <c r="M47" s="8"/>
      <c r="N47" s="8"/>
      <c r="O47" s="8"/>
      <c r="P47" s="8"/>
      <c r="Q47" s="8"/>
      <c r="T47" s="164"/>
    </row>
    <row r="48" spans="1:23" ht="15" customHeight="1" x14ac:dyDescent="0.2">
      <c r="B48" s="445" t="s">
        <v>386</v>
      </c>
      <c r="C48" s="445" t="str">
        <f t="shared" ca="1" si="5"/>
        <v/>
      </c>
      <c r="G48" s="8"/>
      <c r="H48" s="8"/>
      <c r="I48" s="8"/>
      <c r="J48" s="8"/>
      <c r="K48" s="8"/>
      <c r="L48" s="8"/>
      <c r="M48" s="8"/>
      <c r="N48" s="8"/>
      <c r="O48" s="8"/>
      <c r="P48" s="8"/>
      <c r="Q48" s="8"/>
      <c r="T48" s="164"/>
    </row>
    <row r="49" spans="2:20" ht="15" customHeight="1" x14ac:dyDescent="0.2">
      <c r="B49" s="445" t="s">
        <v>387</v>
      </c>
      <c r="C49" s="445" t="str">
        <f t="shared" ca="1" si="5"/>
        <v/>
      </c>
      <c r="T49" s="164"/>
    </row>
    <row r="50" spans="2:20" ht="15" customHeight="1" x14ac:dyDescent="0.2">
      <c r="B50" s="445" t="s">
        <v>388</v>
      </c>
      <c r="C50" s="445" t="str">
        <f t="shared" ca="1" si="5"/>
        <v/>
      </c>
    </row>
    <row r="51" spans="2:20" ht="15" customHeight="1" x14ac:dyDescent="0.2">
      <c r="B51" s="445" t="s">
        <v>389</v>
      </c>
      <c r="C51" s="445" t="str">
        <f t="shared" ca="1" si="5"/>
        <v/>
      </c>
    </row>
    <row r="52" spans="2:20" ht="15" customHeight="1" x14ac:dyDescent="0.2"/>
    <row r="53" spans="2:20" ht="15" customHeight="1" x14ac:dyDescent="0.2"/>
    <row r="54" spans="2:20" ht="15" customHeight="1" x14ac:dyDescent="0.2"/>
    <row r="55" spans="2:20" ht="15" customHeight="1" x14ac:dyDescent="0.2"/>
    <row r="56" spans="2:20" ht="15" customHeight="1" x14ac:dyDescent="0.2"/>
    <row r="57" spans="2:20" ht="15" customHeight="1" x14ac:dyDescent="0.2"/>
    <row r="58" spans="2:20" ht="15" customHeight="1" x14ac:dyDescent="0.2"/>
    <row r="59" spans="2:20" ht="15" customHeight="1" x14ac:dyDescent="0.2"/>
    <row r="60" spans="2:20" ht="15" customHeight="1" x14ac:dyDescent="0.2"/>
    <row r="61" spans="2:20" ht="15" customHeight="1" x14ac:dyDescent="0.2"/>
    <row r="62" spans="2:20" ht="11.1" customHeight="1" x14ac:dyDescent="0.2"/>
  </sheetData>
  <sheetProtection algorithmName="SHA-512" hashValue="yZAX0Zv9Jdoq962x/fJ+SFEyswrJUctVbwylDnDw15L3doDD/W+wnCfWHJf+/hOVAsnO0u7nGmWVsFeyFdaLdg==" saltValue="z9whBnWgg+yjMq40HLOUcw==" spinCount="100000" sheet="1" objects="1" scenarios="1" autoFilter="0"/>
  <customSheetViews>
    <customSheetView guid="{9FCFC836-1CA5-48BF-958D-24D2EA94B219}" showGridLines="0" fitToPage="1" hiddenColumns="1" topLeftCell="C1">
      <selection activeCell="B12" sqref="B12"/>
      <pageMargins left="0" right="0" top="0" bottom="0" header="0" footer="0"/>
      <printOptions horizontalCentered="1"/>
      <pageSetup orientation="landscape" horizontalDpi="1200" verticalDpi="1200" r:id="rId1"/>
      <headerFooter alignWithMargins="0">
        <oddFooter>&amp;R&amp;A</oddFooter>
      </headerFooter>
    </customSheetView>
    <customSheetView guid="{BEA4BE86-04D1-4C96-9358-7A260B9D2B2D}" showGridLines="0" fitToPage="1" showRuler="0">
      <selection activeCell="C8" sqref="C8:E8"/>
      <pageMargins left="0" right="0" top="0" bottom="0" header="0" footer="0"/>
      <printOptions horizontalCentered="1"/>
      <pageSetup orientation="landscape" horizontalDpi="4294967292" verticalDpi="300" r:id="rId2"/>
      <headerFooter alignWithMargins="0">
        <oddFooter>&amp;R&amp;A</oddFooter>
      </headerFooter>
    </customSheetView>
    <customSheetView guid="{1250FD07-FF56-4A9D-AF9E-C27124A7EBE9}" showGridLines="0" fitToPage="1" showRuler="0">
      <selection activeCell="C8" sqref="C8:E8"/>
      <pageMargins left="0" right="0" top="0" bottom="0" header="0" footer="0"/>
      <printOptions horizontalCentered="1"/>
      <pageSetup orientation="landscape" horizontalDpi="4294967292" verticalDpi="300" r:id="rId3"/>
      <headerFooter alignWithMargins="0">
        <oddFooter>&amp;R&amp;A</oddFooter>
      </headerFooter>
    </customSheetView>
    <customSheetView guid="{B08879A4-635B-4C39-9937-AC7883D562FC}" showGridLines="0" fitToPage="1" hiddenColumns="1" topLeftCell="C1">
      <selection activeCell="B12" sqref="B12"/>
      <pageMargins left="0" right="0" top="0" bottom="0" header="0" footer="0"/>
      <printOptions horizontalCentered="1"/>
      <pageSetup orientation="landscape" horizontalDpi="1200" verticalDpi="1200" r:id="rId4"/>
      <headerFooter alignWithMargins="0">
        <oddFooter>&amp;R&amp;A</oddFooter>
      </headerFooter>
    </customSheetView>
  </customSheetViews>
  <mergeCells count="25">
    <mergeCell ref="C34:E34"/>
    <mergeCell ref="C32:E32"/>
    <mergeCell ref="C33:E33"/>
    <mergeCell ref="C27:E27"/>
    <mergeCell ref="C26:E26"/>
    <mergeCell ref="I11:M11"/>
    <mergeCell ref="E6:G6"/>
    <mergeCell ref="L7:Q7"/>
    <mergeCell ref="L8:Q8"/>
    <mergeCell ref="C25:E25"/>
    <mergeCell ref="C21:E21"/>
    <mergeCell ref="C23:E23"/>
    <mergeCell ref="C19:E19"/>
    <mergeCell ref="C22:E22"/>
    <mergeCell ref="L6:Q6"/>
    <mergeCell ref="C15:E15"/>
    <mergeCell ref="E8:G8"/>
    <mergeCell ref="C24:E24"/>
    <mergeCell ref="C20:E20"/>
    <mergeCell ref="C16:E16"/>
    <mergeCell ref="R1:R3"/>
    <mergeCell ref="C1:Q1"/>
    <mergeCell ref="C2:Q2"/>
    <mergeCell ref="C3:Q3"/>
    <mergeCell ref="C4:Q4"/>
  </mergeCells>
  <phoneticPr fontId="16" type="noConversion"/>
  <conditionalFormatting sqref="R1:R3">
    <cfRule type="cellIs" dxfId="36" priority="1" stopIfTrue="1" operator="equal">
      <formula>"na"</formula>
    </cfRule>
  </conditionalFormatting>
  <hyperlinks>
    <hyperlink ref="C1" location="Index!A1" display="Index!A1" xr:uid="{00000000-0004-0000-3F00-000000000000}"/>
  </hyperlinks>
  <pageMargins left="0.6" right="0.6" top="0.5" bottom="0.5" header="0.3" footer="0.3"/>
  <pageSetup scale="85" orientation="landscape" r:id="rId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
    <pageSetUpPr fitToPage="1"/>
  </sheetPr>
  <dimension ref="A1:S58"/>
  <sheetViews>
    <sheetView showGridLines="0" topLeftCell="C1" zoomScaleNormal="100" workbookViewId="0">
      <selection activeCell="A2" sqref="A2"/>
    </sheetView>
  </sheetViews>
  <sheetFormatPr defaultColWidth="9.42578125" defaultRowHeight="12" x14ac:dyDescent="0.2"/>
  <cols>
    <col min="1" max="1" width="9.42578125" style="187" hidden="1" customWidth="1"/>
    <col min="2" max="2" width="9.28515625" style="187" bestFit="1" customWidth="1"/>
    <col min="3" max="3" width="1.5703125" style="187" customWidth="1"/>
    <col min="4" max="4" width="6.5703125" style="187" customWidth="1"/>
    <col min="5" max="5" width="8.85546875" style="187" customWidth="1"/>
    <col min="6" max="6" width="14" style="187" customWidth="1"/>
    <col min="7" max="7" width="12.42578125" style="187" customWidth="1"/>
    <col min="8" max="8" width="1.5703125" style="187" customWidth="1"/>
    <col min="9" max="9" width="16.5703125" style="187" customWidth="1"/>
    <col min="10" max="10" width="1.5703125" style="187" customWidth="1"/>
    <col min="11" max="11" width="14.5703125" style="187" customWidth="1"/>
    <col min="12" max="12" width="1.5703125" style="187" customWidth="1"/>
    <col min="13" max="13" width="14.5703125" style="187" customWidth="1"/>
    <col min="14" max="14" width="1.5703125" style="187" customWidth="1"/>
    <col min="15" max="15" width="14.5703125" style="187" customWidth="1"/>
    <col min="16" max="16" width="1.5703125" style="187" customWidth="1"/>
    <col min="17" max="17" width="14.5703125" style="187" customWidth="1"/>
    <col min="18" max="18" width="4.5703125" style="187" customWidth="1"/>
    <col min="19" max="19" width="15.5703125" style="187" customWidth="1"/>
    <col min="20" max="16384" width="9.42578125" style="187"/>
  </cols>
  <sheetData>
    <row r="1" spans="1:19" ht="25.15" customHeight="1" x14ac:dyDescent="0.25">
      <c r="A1" s="187" t="str">
        <f t="shared" ref="A1:A31" si="0">AgyIdx</f>
        <v>01</v>
      </c>
      <c r="C1" s="2455" t="str">
        <f>+Index!$A$1</f>
        <v xml:space="preserve">                                                               Office of the State Controller                                                                </v>
      </c>
      <c r="D1" s="2455"/>
      <c r="E1" s="2455"/>
      <c r="F1" s="2455"/>
      <c r="G1" s="2455"/>
      <c r="H1" s="2455"/>
      <c r="I1" s="2455"/>
      <c r="J1" s="2455"/>
      <c r="K1" s="2455"/>
      <c r="L1" s="2455"/>
      <c r="M1" s="2455"/>
      <c r="N1" s="2455"/>
      <c r="O1" s="2455"/>
      <c r="P1" s="2455"/>
      <c r="Q1" s="2455"/>
      <c r="R1" s="880" t="str">
        <f>IF(Index!$B$93="na","NA","")</f>
        <v/>
      </c>
    </row>
    <row r="2" spans="1:19" ht="15.6" customHeight="1" x14ac:dyDescent="0.25">
      <c r="A2" s="187" t="str">
        <f t="shared" si="0"/>
        <v>01</v>
      </c>
      <c r="C2" s="2895" t="str">
        <f>+Index!$A$2</f>
        <v>2023 ACFR Worksheets</v>
      </c>
      <c r="D2" s="2895"/>
      <c r="E2" s="2895"/>
      <c r="F2" s="2895"/>
      <c r="G2" s="2895"/>
      <c r="H2" s="2895"/>
      <c r="I2" s="2895"/>
      <c r="J2" s="2895"/>
      <c r="K2" s="2895"/>
      <c r="L2" s="2895"/>
      <c r="M2" s="2895"/>
      <c r="N2" s="2895"/>
      <c r="O2" s="2895"/>
      <c r="P2" s="2895"/>
      <c r="Q2" s="2895"/>
      <c r="R2" s="880"/>
    </row>
    <row r="3" spans="1:19" ht="15.6" customHeight="1" x14ac:dyDescent="0.25">
      <c r="A3" s="187" t="str">
        <f t="shared" si="0"/>
        <v>01</v>
      </c>
      <c r="C3" s="2439" t="s">
        <v>2194</v>
      </c>
      <c r="D3" s="2439"/>
      <c r="E3" s="2439"/>
      <c r="F3" s="2439"/>
      <c r="G3" s="2439"/>
      <c r="H3" s="2439"/>
      <c r="I3" s="2439"/>
      <c r="J3" s="2439"/>
      <c r="K3" s="2439"/>
      <c r="L3" s="2439"/>
      <c r="M3" s="2439"/>
      <c r="N3" s="2439"/>
      <c r="O3" s="2439"/>
      <c r="P3" s="2439"/>
      <c r="Q3" s="2439"/>
      <c r="R3" s="880"/>
    </row>
    <row r="4" spans="1:19" ht="15.6" customHeight="1" x14ac:dyDescent="0.25">
      <c r="A4" s="187" t="str">
        <f t="shared" si="0"/>
        <v>01</v>
      </c>
      <c r="C4" s="2439" t="s">
        <v>2328</v>
      </c>
      <c r="D4" s="2439"/>
      <c r="E4" s="2439"/>
      <c r="F4" s="2439"/>
      <c r="G4" s="2439"/>
      <c r="H4" s="2439"/>
      <c r="I4" s="2439"/>
      <c r="J4" s="2439"/>
      <c r="K4" s="2439"/>
      <c r="L4" s="2439"/>
      <c r="M4" s="2439"/>
      <c r="N4" s="2439"/>
      <c r="O4" s="2439"/>
      <c r="P4" s="2439"/>
      <c r="Q4" s="2439"/>
      <c r="R4" s="2208"/>
    </row>
    <row r="5" spans="1:19" ht="13.35" customHeight="1" x14ac:dyDescent="0.2">
      <c r="A5" s="187" t="str">
        <f t="shared" si="0"/>
        <v>01</v>
      </c>
      <c r="M5" s="257"/>
    </row>
    <row r="6" spans="1:19" ht="14.85" customHeight="1" x14ac:dyDescent="0.2">
      <c r="A6" s="187" t="str">
        <f t="shared" si="0"/>
        <v>01</v>
      </c>
      <c r="K6" s="5" t="s">
        <v>317</v>
      </c>
      <c r="M6" s="2910" t="str">
        <f>+Index!$E$10</f>
        <v>01</v>
      </c>
      <c r="N6" s="2911"/>
      <c r="O6" s="2911"/>
      <c r="P6" s="2911"/>
      <c r="Q6" s="2911"/>
    </row>
    <row r="7" spans="1:19" ht="14.85" customHeight="1" x14ac:dyDescent="0.2">
      <c r="A7" s="187" t="str">
        <f t="shared" si="0"/>
        <v>01</v>
      </c>
      <c r="K7" s="5" t="s">
        <v>318</v>
      </c>
      <c r="M7" s="2912" t="str">
        <f>+Index!$E$11</f>
        <v>North Carolina General Assembly</v>
      </c>
      <c r="N7" s="2912"/>
      <c r="O7" s="2912"/>
      <c r="P7" s="2912"/>
      <c r="Q7" s="2912"/>
    </row>
    <row r="8" spans="1:19" ht="14.85" customHeight="1" x14ac:dyDescent="0.2">
      <c r="A8" s="187" t="str">
        <f t="shared" si="0"/>
        <v>01</v>
      </c>
      <c r="C8" s="4" t="s">
        <v>568</v>
      </c>
      <c r="F8" s="2603" t="s">
        <v>754</v>
      </c>
      <c r="G8" s="2603"/>
      <c r="K8" s="5" t="s">
        <v>319</v>
      </c>
      <c r="M8" s="2872" t="str">
        <f>CONCATENATE(Index!$E$12," ",Index!$E$14)</f>
        <v xml:space="preserve"> </v>
      </c>
      <c r="N8" s="2872"/>
      <c r="O8" s="2872"/>
      <c r="P8" s="2872"/>
      <c r="Q8" s="2872"/>
    </row>
    <row r="9" spans="1:19" ht="14.85" customHeight="1" x14ac:dyDescent="0.2">
      <c r="A9" s="187" t="str">
        <f t="shared" si="0"/>
        <v>01</v>
      </c>
      <c r="C9" s="4"/>
      <c r="F9" s="2246"/>
      <c r="G9" s="2246"/>
      <c r="K9" s="5" t="s">
        <v>71</v>
      </c>
      <c r="M9" s="2913">
        <f>+Index!$E$13</f>
        <v>0</v>
      </c>
      <c r="N9" s="2913"/>
      <c r="O9" s="2913"/>
      <c r="P9" s="2913"/>
      <c r="Q9" s="2913"/>
    </row>
    <row r="10" spans="1:19" ht="12.75" customHeight="1" thickBot="1" x14ac:dyDescent="0.25">
      <c r="A10" s="187" t="str">
        <f t="shared" si="0"/>
        <v>01</v>
      </c>
      <c r="C10" s="188"/>
      <c r="D10" s="188"/>
      <c r="E10" s="188"/>
      <c r="F10" s="189"/>
      <c r="G10" s="189"/>
      <c r="H10" s="189"/>
      <c r="I10" s="189"/>
      <c r="J10" s="189"/>
      <c r="K10" s="190"/>
      <c r="L10" s="189"/>
      <c r="M10" s="189"/>
      <c r="N10" s="189"/>
      <c r="O10" s="189"/>
      <c r="P10" s="189"/>
      <c r="Q10" s="189"/>
    </row>
    <row r="11" spans="1:19" ht="12.6" customHeight="1" x14ac:dyDescent="0.2">
      <c r="A11" s="187" t="str">
        <f t="shared" si="0"/>
        <v>01</v>
      </c>
    </row>
    <row r="12" spans="1:19" ht="10.35" customHeight="1" x14ac:dyDescent="0.2">
      <c r="A12" s="187" t="str">
        <f t="shared" si="0"/>
        <v>01</v>
      </c>
      <c r="D12" s="191"/>
      <c r="E12" s="191"/>
      <c r="F12" s="191"/>
      <c r="G12" s="191"/>
      <c r="H12" s="191"/>
      <c r="I12" s="191"/>
      <c r="J12" s="191"/>
      <c r="K12" s="2916" t="s">
        <v>2329</v>
      </c>
      <c r="L12" s="2916"/>
      <c r="M12" s="2916"/>
      <c r="N12" s="2916"/>
      <c r="O12" s="2916"/>
      <c r="P12" s="2916"/>
      <c r="Q12" s="2916"/>
      <c r="R12" s="191"/>
    </row>
    <row r="13" spans="1:19" ht="11.85" customHeight="1" x14ac:dyDescent="0.2">
      <c r="A13" s="187" t="str">
        <f t="shared" si="0"/>
        <v>01</v>
      </c>
      <c r="C13" s="2916" t="s">
        <v>2330</v>
      </c>
      <c r="D13" s="2916"/>
      <c r="E13" s="2916"/>
      <c r="F13" s="2916"/>
      <c r="G13" s="2916"/>
      <c r="H13" s="191"/>
      <c r="I13" s="2355" t="s">
        <v>2196</v>
      </c>
      <c r="J13" s="192"/>
      <c r="K13" s="2355" t="s">
        <v>2331</v>
      </c>
      <c r="L13" s="192"/>
      <c r="M13" s="2355" t="s">
        <v>2332</v>
      </c>
      <c r="N13" s="192"/>
      <c r="O13" s="2355" t="s">
        <v>2333</v>
      </c>
      <c r="P13" s="192"/>
      <c r="Q13" s="2355" t="s">
        <v>2334</v>
      </c>
      <c r="R13" s="191"/>
      <c r="S13" s="2353" t="s">
        <v>2335</v>
      </c>
    </row>
    <row r="14" spans="1:19" ht="9.6" customHeight="1" x14ac:dyDescent="0.2">
      <c r="A14" s="187" t="str">
        <f t="shared" si="0"/>
        <v>01</v>
      </c>
      <c r="C14" s="192"/>
      <c r="D14" s="192"/>
      <c r="E14" s="192"/>
      <c r="F14" s="192"/>
      <c r="G14" s="192"/>
      <c r="H14" s="191"/>
      <c r="I14" s="202" t="s">
        <v>592</v>
      </c>
      <c r="J14" s="202"/>
      <c r="K14" s="202" t="s">
        <v>593</v>
      </c>
      <c r="L14" s="202"/>
      <c r="M14" s="202" t="s">
        <v>594</v>
      </c>
      <c r="N14" s="202"/>
      <c r="O14" s="202" t="s">
        <v>595</v>
      </c>
      <c r="P14" s="202"/>
      <c r="Q14" s="202" t="s">
        <v>596</v>
      </c>
      <c r="R14" s="191"/>
    </row>
    <row r="15" spans="1:19" ht="11.1" customHeight="1" x14ac:dyDescent="0.2">
      <c r="A15" s="187" t="str">
        <f t="shared" si="0"/>
        <v>01</v>
      </c>
      <c r="C15" s="234" t="s">
        <v>2336</v>
      </c>
      <c r="D15" s="191"/>
      <c r="E15" s="191"/>
      <c r="F15" s="191"/>
      <c r="G15" s="191"/>
      <c r="H15" s="191"/>
      <c r="I15" s="191"/>
      <c r="J15" s="191"/>
      <c r="K15" s="191"/>
      <c r="L15" s="191"/>
      <c r="M15" s="191"/>
      <c r="N15" s="191"/>
      <c r="O15" s="191"/>
      <c r="P15" s="191"/>
      <c r="Q15" s="191"/>
      <c r="R15" s="191"/>
    </row>
    <row r="16" spans="1:19" ht="11.25" customHeight="1" x14ac:dyDescent="0.2">
      <c r="A16" s="187" t="str">
        <f t="shared" si="0"/>
        <v>01</v>
      </c>
      <c r="B16" s="187" t="s">
        <v>2337</v>
      </c>
      <c r="C16" s="193"/>
      <c r="D16" s="191" t="s">
        <v>2209</v>
      </c>
      <c r="E16" s="191"/>
      <c r="F16" s="191"/>
      <c r="G16" s="191"/>
      <c r="H16" s="191"/>
      <c r="I16" s="678">
        <f ca="1">SUMIF('710'!$B$21:$B$77,D16,'710'!$K$21:$K$77)</f>
        <v>0</v>
      </c>
      <c r="J16" s="191"/>
      <c r="K16" s="342"/>
      <c r="L16" s="191"/>
      <c r="M16" s="342"/>
      <c r="N16" s="191"/>
      <c r="O16" s="342"/>
      <c r="P16" s="191"/>
      <c r="Q16" s="342"/>
      <c r="R16" s="339"/>
      <c r="S16" s="343" t="str">
        <f ca="1">IF(I16-SUM(K16:Q16)=0,"",I16-SUM(K16:Q16))</f>
        <v/>
      </c>
    </row>
    <row r="17" spans="1:19" ht="11.25" customHeight="1" x14ac:dyDescent="0.2">
      <c r="A17" s="187" t="str">
        <f t="shared" si="0"/>
        <v>01</v>
      </c>
      <c r="B17" s="187" t="s">
        <v>2338</v>
      </c>
      <c r="C17" s="193"/>
      <c r="D17" s="191" t="s">
        <v>2211</v>
      </c>
      <c r="E17" s="191"/>
      <c r="F17" s="191"/>
      <c r="G17" s="191"/>
      <c r="H17" s="191"/>
      <c r="I17" s="678">
        <f ca="1">SUMIF('710'!$B$21:$B$77,D17,'710'!$K$21:$K$77)</f>
        <v>0</v>
      </c>
      <c r="J17" s="191"/>
      <c r="K17" s="342"/>
      <c r="L17" s="191"/>
      <c r="M17" s="342"/>
      <c r="N17" s="191"/>
      <c r="O17" s="342"/>
      <c r="P17" s="191"/>
      <c r="Q17" s="342"/>
      <c r="R17" s="339"/>
      <c r="S17" s="343" t="str">
        <f t="shared" ref="S17:S35" ca="1" si="1">IF(I17-SUM(K17:Q17)=0,"",I17-SUM(K17:Q17))</f>
        <v/>
      </c>
    </row>
    <row r="18" spans="1:19" ht="11.25" customHeight="1" x14ac:dyDescent="0.2">
      <c r="A18" s="187" t="str">
        <f t="shared" si="0"/>
        <v>01</v>
      </c>
      <c r="B18" s="187" t="s">
        <v>2339</v>
      </c>
      <c r="C18" s="193"/>
      <c r="D18" s="191" t="s">
        <v>2213</v>
      </c>
      <c r="E18" s="191"/>
      <c r="F18" s="191"/>
      <c r="G18" s="191"/>
      <c r="H18" s="191"/>
      <c r="I18" s="678">
        <f ca="1">SUMIF('710'!$B$21:$B$77,D18,'710'!$K$21:$K$77)</f>
        <v>0</v>
      </c>
      <c r="J18" s="191"/>
      <c r="K18" s="342"/>
      <c r="L18" s="191"/>
      <c r="M18" s="342"/>
      <c r="N18" s="191"/>
      <c r="O18" s="342"/>
      <c r="P18" s="191"/>
      <c r="Q18" s="342"/>
      <c r="R18" s="339"/>
      <c r="S18" s="343" t="str">
        <f t="shared" ca="1" si="1"/>
        <v/>
      </c>
    </row>
    <row r="19" spans="1:19" ht="11.25" customHeight="1" x14ac:dyDescent="0.2">
      <c r="A19" s="187" t="str">
        <f t="shared" si="0"/>
        <v>01</v>
      </c>
      <c r="B19" s="187" t="s">
        <v>2340</v>
      </c>
      <c r="C19" s="193"/>
      <c r="D19" s="191" t="s">
        <v>2215</v>
      </c>
      <c r="E19" s="191"/>
      <c r="G19" s="191"/>
      <c r="H19" s="191"/>
      <c r="I19" s="678">
        <f ca="1">SUMIF('710'!$B$21:$B$77,D19,'710'!$K$21:$K$77)</f>
        <v>0</v>
      </c>
      <c r="J19" s="191"/>
      <c r="K19" s="342"/>
      <c r="L19" s="191"/>
      <c r="M19" s="342"/>
      <c r="N19" s="191"/>
      <c r="O19" s="342"/>
      <c r="P19" s="191"/>
      <c r="Q19" s="342"/>
      <c r="R19" s="339"/>
      <c r="S19" s="343" t="str">
        <f t="shared" ca="1" si="1"/>
        <v/>
      </c>
    </row>
    <row r="20" spans="1:19" ht="11.25" customHeight="1" x14ac:dyDescent="0.2">
      <c r="A20" s="187" t="str">
        <f t="shared" si="0"/>
        <v>01</v>
      </c>
      <c r="B20" s="187" t="s">
        <v>2341</v>
      </c>
      <c r="C20" s="193"/>
      <c r="D20" s="191" t="s">
        <v>2217</v>
      </c>
      <c r="E20" s="191"/>
      <c r="F20" s="191"/>
      <c r="G20" s="191"/>
      <c r="H20" s="191"/>
      <c r="I20" s="678">
        <f ca="1">SUMIF('710'!$B$21:$B$77,D20,'710'!$K$21:$K$77)</f>
        <v>0</v>
      </c>
      <c r="J20" s="191"/>
      <c r="K20" s="342"/>
      <c r="L20" s="191"/>
      <c r="M20" s="342"/>
      <c r="N20" s="191"/>
      <c r="O20" s="342"/>
      <c r="P20" s="191"/>
      <c r="Q20" s="342"/>
      <c r="R20" s="339"/>
      <c r="S20" s="343" t="str">
        <f t="shared" ca="1" si="1"/>
        <v/>
      </c>
    </row>
    <row r="21" spans="1:19" ht="11.25" customHeight="1" x14ac:dyDescent="0.2">
      <c r="A21" s="187" t="str">
        <f t="shared" si="0"/>
        <v>01</v>
      </c>
      <c r="B21" s="187" t="s">
        <v>2342</v>
      </c>
      <c r="C21" s="193"/>
      <c r="D21" s="191" t="s">
        <v>2219</v>
      </c>
      <c r="E21" s="191"/>
      <c r="F21" s="191"/>
      <c r="G21" s="191"/>
      <c r="H21" s="191"/>
      <c r="I21" s="678">
        <f ca="1">SUMIF('710'!$B$21:$B$77,D21,'710'!$K$21:$K$77)</f>
        <v>0</v>
      </c>
      <c r="J21" s="191"/>
      <c r="K21" s="342"/>
      <c r="L21" s="191"/>
      <c r="M21" s="342"/>
      <c r="N21" s="191"/>
      <c r="O21" s="342"/>
      <c r="P21" s="191"/>
      <c r="Q21" s="342"/>
      <c r="R21" s="339"/>
      <c r="S21" s="343" t="str">
        <f t="shared" ca="1" si="1"/>
        <v/>
      </c>
    </row>
    <row r="22" spans="1:19" ht="11.25" customHeight="1" x14ac:dyDescent="0.2">
      <c r="A22" s="187" t="str">
        <f t="shared" si="0"/>
        <v>01</v>
      </c>
      <c r="B22" s="187" t="s">
        <v>2343</v>
      </c>
      <c r="C22" s="193"/>
      <c r="D22" s="191" t="s">
        <v>2221</v>
      </c>
      <c r="E22" s="191"/>
      <c r="F22" s="191"/>
      <c r="G22" s="191"/>
      <c r="H22" s="191"/>
      <c r="I22" s="678">
        <f ca="1">SUMIF('710'!$B$21:$B$77,D22,'710'!$K$21:$K$77)</f>
        <v>0</v>
      </c>
      <c r="J22" s="191"/>
      <c r="K22" s="342"/>
      <c r="L22" s="191"/>
      <c r="M22" s="342"/>
      <c r="N22" s="191"/>
      <c r="O22" s="342"/>
      <c r="P22" s="191"/>
      <c r="Q22" s="342"/>
      <c r="R22" s="339"/>
      <c r="S22" s="343" t="str">
        <f t="shared" ca="1" si="1"/>
        <v/>
      </c>
    </row>
    <row r="23" spans="1:19" ht="11.25" customHeight="1" x14ac:dyDescent="0.2">
      <c r="A23" s="187" t="str">
        <f t="shared" si="0"/>
        <v>01</v>
      </c>
      <c r="B23" s="187" t="s">
        <v>2344</v>
      </c>
      <c r="C23" s="193"/>
      <c r="D23" s="2370" t="s">
        <v>2223</v>
      </c>
      <c r="E23" s="191"/>
      <c r="F23" s="191"/>
      <c r="G23" s="191"/>
      <c r="H23" s="191"/>
      <c r="I23" s="678">
        <f ca="1">SUMIF('710'!$B$21:$B$77,D23,'710'!$K$21:$K$77)</f>
        <v>0</v>
      </c>
      <c r="J23" s="191"/>
      <c r="K23" s="342"/>
      <c r="L23" s="191"/>
      <c r="M23" s="342"/>
      <c r="N23" s="191"/>
      <c r="O23" s="342"/>
      <c r="P23" s="191"/>
      <c r="Q23" s="342"/>
      <c r="R23" s="339"/>
      <c r="S23" s="343" t="str">
        <f t="shared" ca="1" si="1"/>
        <v/>
      </c>
    </row>
    <row r="24" spans="1:19" ht="11.25" customHeight="1" x14ac:dyDescent="0.2">
      <c r="A24" s="187" t="str">
        <f t="shared" si="0"/>
        <v>01</v>
      </c>
      <c r="B24" s="187" t="s">
        <v>2345</v>
      </c>
      <c r="C24" s="193"/>
      <c r="D24" s="191" t="s">
        <v>2225</v>
      </c>
      <c r="E24" s="191"/>
      <c r="F24" s="191"/>
      <c r="G24" s="191"/>
      <c r="H24" s="191"/>
      <c r="I24" s="678">
        <f ca="1">SUMIF('710'!$B$21:$B$77,D24,'710'!$K$21:$K$77)</f>
        <v>0</v>
      </c>
      <c r="J24" s="191"/>
      <c r="K24" s="342"/>
      <c r="L24" s="191"/>
      <c r="M24" s="342"/>
      <c r="N24" s="191"/>
      <c r="O24" s="342"/>
      <c r="P24" s="191"/>
      <c r="Q24" s="342"/>
      <c r="R24" s="339"/>
      <c r="S24" s="343" t="str">
        <f t="shared" ca="1" si="1"/>
        <v/>
      </c>
    </row>
    <row r="25" spans="1:19" ht="11.25" customHeight="1" x14ac:dyDescent="0.2">
      <c r="A25" s="187" t="str">
        <f t="shared" si="0"/>
        <v>01</v>
      </c>
      <c r="B25" s="187" t="s">
        <v>2346</v>
      </c>
      <c r="C25" s="193"/>
      <c r="D25" s="191" t="s">
        <v>1034</v>
      </c>
      <c r="E25" s="191"/>
      <c r="G25" s="191"/>
      <c r="H25" s="191"/>
      <c r="I25" s="678">
        <f ca="1">SUMIF('710'!$B$21:$B$77,D25,'710'!$K$21:$K$77)</f>
        <v>0</v>
      </c>
      <c r="J25" s="191"/>
      <c r="K25" s="342"/>
      <c r="L25" s="191"/>
      <c r="M25" s="342"/>
      <c r="N25" s="191"/>
      <c r="O25" s="342"/>
      <c r="P25" s="191"/>
      <c r="Q25" s="342"/>
      <c r="R25" s="339"/>
      <c r="S25" s="343" t="str">
        <f t="shared" ca="1" si="1"/>
        <v/>
      </c>
    </row>
    <row r="26" spans="1:19" ht="11.25" customHeight="1" x14ac:dyDescent="0.2">
      <c r="A26" s="187" t="str">
        <f t="shared" si="0"/>
        <v>01</v>
      </c>
      <c r="B26" s="187" t="s">
        <v>2347</v>
      </c>
      <c r="C26" s="193"/>
      <c r="D26" s="97" t="s">
        <v>2262</v>
      </c>
      <c r="E26" s="191"/>
      <c r="F26" s="191"/>
      <c r="G26" s="191"/>
      <c r="H26" s="191"/>
      <c r="I26" s="678">
        <f ca="1">SUMIF('710'!$B$21:$B$77,D26,'710'!$K$21:$K$77)</f>
        <v>0</v>
      </c>
      <c r="J26" s="191"/>
      <c r="K26" s="342"/>
      <c r="L26" s="191"/>
      <c r="M26" s="342"/>
      <c r="N26" s="191"/>
      <c r="O26" s="342"/>
      <c r="P26" s="191"/>
      <c r="Q26" s="342"/>
      <c r="R26" s="339"/>
      <c r="S26" s="343" t="str">
        <f t="shared" ca="1" si="1"/>
        <v/>
      </c>
    </row>
    <row r="27" spans="1:19" ht="11.25" customHeight="1" x14ac:dyDescent="0.2">
      <c r="A27" s="187" t="str">
        <f t="shared" si="0"/>
        <v>01</v>
      </c>
      <c r="B27" s="187" t="s">
        <v>2348</v>
      </c>
      <c r="C27" s="193"/>
      <c r="D27" s="191" t="s">
        <v>2252</v>
      </c>
      <c r="E27" s="191"/>
      <c r="F27" s="201" t="s">
        <v>914</v>
      </c>
      <c r="G27" s="191"/>
      <c r="H27" s="191"/>
      <c r="I27" s="678">
        <f ca="1">SUMIF('710'!$B$21:$B$77,D27,'710'!$K$21:$K$77)</f>
        <v>0</v>
      </c>
      <c r="J27" s="191"/>
      <c r="K27" s="342"/>
      <c r="L27" s="191"/>
      <c r="M27" s="342"/>
      <c r="N27" s="191"/>
      <c r="O27" s="342"/>
      <c r="P27" s="191"/>
      <c r="Q27" s="342"/>
      <c r="R27" s="339"/>
      <c r="S27" s="343" t="str">
        <f t="shared" ca="1" si="1"/>
        <v/>
      </c>
    </row>
    <row r="28" spans="1:19" ht="11.25" customHeight="1" x14ac:dyDescent="0.2">
      <c r="A28" s="187" t="str">
        <f t="shared" si="0"/>
        <v>01</v>
      </c>
      <c r="B28" s="187" t="s">
        <v>2349</v>
      </c>
      <c r="C28" s="193"/>
      <c r="D28" s="191" t="s">
        <v>2248</v>
      </c>
      <c r="E28" s="191"/>
      <c r="F28" s="191"/>
      <c r="G28" s="191"/>
      <c r="H28" s="191"/>
      <c r="I28" s="678">
        <f ca="1">SUMIF('710'!$B$21:$B$77,D28,'710'!$K$21:$K$77)</f>
        <v>0</v>
      </c>
      <c r="J28" s="191"/>
      <c r="K28" s="342"/>
      <c r="L28" s="191"/>
      <c r="M28" s="1046"/>
      <c r="N28" s="191"/>
      <c r="O28" s="1046"/>
      <c r="P28" s="191"/>
      <c r="Q28" s="1046"/>
      <c r="R28" s="339"/>
      <c r="S28" s="343" t="str">
        <f t="shared" ca="1" si="1"/>
        <v/>
      </c>
    </row>
    <row r="29" spans="1:19" ht="11.25" customHeight="1" x14ac:dyDescent="0.2">
      <c r="A29" s="187" t="str">
        <f t="shared" si="0"/>
        <v>01</v>
      </c>
      <c r="B29" s="187" t="s">
        <v>2350</v>
      </c>
      <c r="C29" s="193"/>
      <c r="D29" s="191" t="s">
        <v>2260</v>
      </c>
      <c r="E29" s="191"/>
      <c r="F29" s="191"/>
      <c r="G29" s="191"/>
      <c r="H29" s="191"/>
      <c r="I29" s="678">
        <f ca="1">SUMIF('710'!$B$21:$B$77,D29,'710'!$K$21:$K$77)</f>
        <v>0</v>
      </c>
      <c r="J29" s="191"/>
      <c r="K29" s="342"/>
      <c r="L29" s="191"/>
      <c r="M29" s="342"/>
      <c r="N29" s="191"/>
      <c r="O29" s="342"/>
      <c r="P29" s="191"/>
      <c r="Q29" s="342"/>
      <c r="R29" s="339"/>
      <c r="S29" s="343" t="str">
        <f t="shared" ca="1" si="1"/>
        <v/>
      </c>
    </row>
    <row r="30" spans="1:19" ht="11.25" customHeight="1" x14ac:dyDescent="0.2">
      <c r="A30" s="187" t="str">
        <f t="shared" si="0"/>
        <v>01</v>
      </c>
      <c r="B30" s="187" t="s">
        <v>2351</v>
      </c>
      <c r="C30" s="193"/>
      <c r="D30" s="191" t="s">
        <v>2228</v>
      </c>
      <c r="E30" s="191"/>
      <c r="F30" s="191"/>
      <c r="G30" s="191"/>
      <c r="H30" s="191"/>
      <c r="I30" s="678">
        <f ca="1">SUMIF('710'!$B$21:$B$77,D30,'710'!$K$21:$K$77)</f>
        <v>0</v>
      </c>
      <c r="J30" s="191"/>
      <c r="K30" s="342"/>
      <c r="L30" s="191"/>
      <c r="M30" s="342"/>
      <c r="N30" s="191"/>
      <c r="O30" s="342"/>
      <c r="P30" s="191"/>
      <c r="Q30" s="342"/>
      <c r="R30" s="339"/>
      <c r="S30" s="343" t="str">
        <f t="shared" ca="1" si="1"/>
        <v/>
      </c>
    </row>
    <row r="31" spans="1:19" ht="11.25" customHeight="1" x14ac:dyDescent="0.2">
      <c r="A31" s="187" t="str">
        <f t="shared" si="0"/>
        <v>01</v>
      </c>
      <c r="B31" s="187" t="s">
        <v>2352</v>
      </c>
      <c r="C31" s="193"/>
      <c r="D31" s="191" t="s">
        <v>2230</v>
      </c>
      <c r="E31" s="191"/>
      <c r="F31" s="191"/>
      <c r="G31" s="191"/>
      <c r="H31" s="191"/>
      <c r="I31" s="678">
        <f ca="1">SUMIF('710'!$B$21:$B$77,D31,'710'!$K$21:$K$77)</f>
        <v>0</v>
      </c>
      <c r="J31" s="191"/>
      <c r="K31" s="342"/>
      <c r="L31" s="191"/>
      <c r="M31" s="342"/>
      <c r="N31" s="191"/>
      <c r="O31" s="342"/>
      <c r="P31" s="191"/>
      <c r="Q31" s="342"/>
      <c r="R31" s="339"/>
      <c r="S31" s="343" t="str">
        <f t="shared" ca="1" si="1"/>
        <v/>
      </c>
    </row>
    <row r="32" spans="1:19" ht="11.25" customHeight="1" x14ac:dyDescent="0.2">
      <c r="A32" s="187" t="str">
        <f t="shared" ref="A32:A58" si="2">AgyIdx</f>
        <v>01</v>
      </c>
      <c r="B32" s="187" t="s">
        <v>2353</v>
      </c>
      <c r="C32" s="193"/>
      <c r="D32" s="191" t="s">
        <v>2232</v>
      </c>
      <c r="E32" s="191"/>
      <c r="F32" s="191"/>
      <c r="G32" s="191"/>
      <c r="H32" s="191"/>
      <c r="I32" s="678">
        <f ca="1">SUMIF('710'!$B$21:$B$77,D32,'710'!$K$21:$K$77)</f>
        <v>0</v>
      </c>
      <c r="J32" s="191"/>
      <c r="K32" s="342"/>
      <c r="L32" s="191"/>
      <c r="M32" s="342"/>
      <c r="N32" s="191"/>
      <c r="O32" s="342"/>
      <c r="P32" s="191"/>
      <c r="Q32" s="342"/>
      <c r="R32" s="339"/>
      <c r="S32" s="343" t="str">
        <f t="shared" ca="1" si="1"/>
        <v/>
      </c>
    </row>
    <row r="33" spans="1:19" ht="11.25" customHeight="1" x14ac:dyDescent="0.2">
      <c r="A33" s="187" t="str">
        <f t="shared" si="2"/>
        <v>01</v>
      </c>
      <c r="B33" s="187" t="s">
        <v>2354</v>
      </c>
      <c r="C33" s="193"/>
      <c r="D33" s="97" t="s">
        <v>2238</v>
      </c>
      <c r="E33" s="2909" t="s">
        <v>2239</v>
      </c>
      <c r="F33" s="2909"/>
      <c r="G33" s="2909"/>
      <c r="H33" s="191"/>
      <c r="I33" s="678">
        <f ca="1">SUMIF('710'!$B$21:$B$77,D33,'710'!$K$21:$K$77)</f>
        <v>0</v>
      </c>
      <c r="J33" s="191"/>
      <c r="K33" s="342"/>
      <c r="L33" s="191"/>
      <c r="M33" s="342"/>
      <c r="N33" s="191"/>
      <c r="O33" s="342"/>
      <c r="P33" s="191"/>
      <c r="Q33" s="342"/>
      <c r="R33" s="339"/>
      <c r="S33" s="343" t="str">
        <f ca="1">IF(I33-SUM(K33:Q33)=0,"",I33-SUM(K33:Q33))</f>
        <v/>
      </c>
    </row>
    <row r="34" spans="1:19" ht="11.25" customHeight="1" thickBot="1" x14ac:dyDescent="0.25">
      <c r="A34" s="187" t="str">
        <f t="shared" si="2"/>
        <v>01</v>
      </c>
      <c r="B34" s="187" t="s">
        <v>2355</v>
      </c>
      <c r="C34" s="193"/>
      <c r="D34" s="97" t="s">
        <v>2241</v>
      </c>
      <c r="E34" s="2909" t="s">
        <v>2239</v>
      </c>
      <c r="F34" s="2909"/>
      <c r="G34" s="2909"/>
      <c r="H34" s="191"/>
      <c r="I34" s="678">
        <f ca="1">SUMIF('710'!$B$21:$B$77,D34,'710'!$K$21:$K$77)</f>
        <v>0</v>
      </c>
      <c r="J34" s="191"/>
      <c r="K34" s="779"/>
      <c r="L34" s="191"/>
      <c r="M34" s="779"/>
      <c r="N34" s="191"/>
      <c r="O34" s="779"/>
      <c r="P34" s="191"/>
      <c r="Q34" s="342"/>
      <c r="R34" s="339"/>
      <c r="S34" s="343" t="str">
        <f ca="1">IF(I34-SUM(K34:Q34)=0,"",I34-SUM(K34:Q34))</f>
        <v/>
      </c>
    </row>
    <row r="35" spans="1:19" ht="13.35" customHeight="1" thickBot="1" x14ac:dyDescent="0.3">
      <c r="A35" s="187" t="str">
        <f t="shared" si="2"/>
        <v>01</v>
      </c>
      <c r="B35" s="187" t="s">
        <v>2356</v>
      </c>
      <c r="C35" s="194" t="s">
        <v>2357</v>
      </c>
      <c r="D35" s="191"/>
      <c r="E35" s="191"/>
      <c r="F35" s="191"/>
      <c r="G35" s="191"/>
      <c r="H35" s="191"/>
      <c r="I35" s="195">
        <f ca="1">SUM(I16:I34)</f>
        <v>0</v>
      </c>
      <c r="J35" s="191"/>
      <c r="K35" s="195">
        <f>SUM(K16:K34)</f>
        <v>0</v>
      </c>
      <c r="L35" s="191"/>
      <c r="M35" s="195">
        <f>SUM(M16:M34)</f>
        <v>0</v>
      </c>
      <c r="N35" s="191"/>
      <c r="O35" s="195">
        <f>SUM(O16:O34)</f>
        <v>0</v>
      </c>
      <c r="P35" s="191"/>
      <c r="Q35" s="195">
        <f>SUM(Q16:Q34)</f>
        <v>0</v>
      </c>
      <c r="R35" s="191"/>
      <c r="S35" s="343" t="str">
        <f t="shared" ca="1" si="1"/>
        <v/>
      </c>
    </row>
    <row r="36" spans="1:19" ht="12" customHeight="1" x14ac:dyDescent="0.25">
      <c r="A36" s="187" t="str">
        <f t="shared" si="2"/>
        <v>01</v>
      </c>
      <c r="C36" s="194" t="s">
        <v>2358</v>
      </c>
      <c r="D36" s="191"/>
      <c r="E36" s="191"/>
      <c r="F36" s="191"/>
      <c r="G36" s="191"/>
      <c r="H36" s="191"/>
      <c r="I36" s="191"/>
      <c r="J36" s="191"/>
      <c r="K36" s="191"/>
      <c r="L36" s="191"/>
      <c r="M36" s="191"/>
      <c r="N36" s="191"/>
      <c r="O36" s="191"/>
      <c r="P36" s="191"/>
      <c r="Q36" s="191"/>
      <c r="R36" s="191"/>
    </row>
    <row r="37" spans="1:19" ht="11.25" customHeight="1" x14ac:dyDescent="0.2">
      <c r="A37" s="187" t="str">
        <f t="shared" si="2"/>
        <v>01</v>
      </c>
      <c r="B37" s="187" t="s">
        <v>2359</v>
      </c>
      <c r="C37" s="193"/>
      <c r="D37" s="97" t="s">
        <v>2246</v>
      </c>
      <c r="E37" s="191"/>
      <c r="F37" s="191"/>
      <c r="G37" s="191"/>
      <c r="H37" s="191"/>
      <c r="I37" s="678">
        <f ca="1">SUMIF('710'!$B$21:$B$77,D37,'710'!$K$21:$K$77)</f>
        <v>0</v>
      </c>
      <c r="J37" s="191"/>
      <c r="K37" s="2914" t="s">
        <v>914</v>
      </c>
      <c r="L37" s="2915"/>
      <c r="M37" s="191" t="s">
        <v>2360</v>
      </c>
      <c r="N37" s="191"/>
      <c r="O37" s="191"/>
      <c r="P37" s="191"/>
      <c r="Q37" s="191"/>
      <c r="R37" s="191"/>
    </row>
    <row r="38" spans="1:19" ht="11.25" customHeight="1" x14ac:dyDescent="0.2">
      <c r="A38" s="187" t="str">
        <f t="shared" si="2"/>
        <v>01</v>
      </c>
      <c r="B38" s="187" t="s">
        <v>2361</v>
      </c>
      <c r="C38" s="193"/>
      <c r="D38" s="191" t="s">
        <v>2250</v>
      </c>
      <c r="E38" s="191"/>
      <c r="F38" s="191"/>
      <c r="G38" s="191"/>
      <c r="H38" s="191"/>
      <c r="I38" s="678">
        <f ca="1">SUMIF('710'!$B$21:$B$77,D38,'710'!$K$21:$K$77)</f>
        <v>0</v>
      </c>
      <c r="J38" s="191"/>
      <c r="K38" s="191"/>
      <c r="L38" s="191"/>
      <c r="M38" s="191" t="s">
        <v>2362</v>
      </c>
      <c r="N38" s="191"/>
      <c r="O38" s="191"/>
      <c r="P38" s="191"/>
      <c r="Q38" s="191"/>
      <c r="R38" s="191"/>
    </row>
    <row r="39" spans="1:19" ht="11.25" customHeight="1" x14ac:dyDescent="0.2">
      <c r="A39" s="187" t="str">
        <f t="shared" si="2"/>
        <v>01</v>
      </c>
      <c r="B39" s="187" t="s">
        <v>2363</v>
      </c>
      <c r="C39" s="193"/>
      <c r="D39" s="191" t="s">
        <v>2254</v>
      </c>
      <c r="E39" s="191"/>
      <c r="F39" s="191"/>
      <c r="G39" s="191"/>
      <c r="H39" s="191"/>
      <c r="I39" s="678">
        <f ca="1">SUMIF('710'!$B$21:$B$77,D39,'710'!$K$21:$K$77)</f>
        <v>0</v>
      </c>
      <c r="J39" s="191"/>
      <c r="K39" s="191"/>
      <c r="L39" s="191"/>
      <c r="M39" s="191" t="s">
        <v>2364</v>
      </c>
      <c r="N39" s="191"/>
      <c r="O39" s="191"/>
      <c r="P39" s="191"/>
      <c r="Q39" s="191"/>
      <c r="R39" s="191"/>
    </row>
    <row r="40" spans="1:19" ht="11.25" customHeight="1" x14ac:dyDescent="0.2">
      <c r="A40" s="187" t="str">
        <f t="shared" si="2"/>
        <v>01</v>
      </c>
      <c r="B40" s="187" t="s">
        <v>2365</v>
      </c>
      <c r="C40" s="193"/>
      <c r="D40" s="191" t="s">
        <v>2256</v>
      </c>
      <c r="E40" s="191"/>
      <c r="F40" s="191"/>
      <c r="G40" s="191"/>
      <c r="H40" s="191"/>
      <c r="I40" s="678">
        <f ca="1">SUMIF('710'!$B$21:$B$77,D40,'710'!$K$21:$K$77)</f>
        <v>0</v>
      </c>
      <c r="J40" s="191"/>
      <c r="K40" s="191"/>
      <c r="L40" s="191"/>
      <c r="M40" s="191" t="s">
        <v>2366</v>
      </c>
      <c r="N40" s="191"/>
      <c r="O40" s="191"/>
      <c r="P40" s="191"/>
      <c r="Q40" s="191"/>
      <c r="R40" s="191"/>
    </row>
    <row r="41" spans="1:19" ht="11.25" customHeight="1" x14ac:dyDescent="0.2">
      <c r="A41" s="187" t="str">
        <f t="shared" si="2"/>
        <v>01</v>
      </c>
      <c r="B41" s="187" t="s">
        <v>2367</v>
      </c>
      <c r="C41" s="193"/>
      <c r="D41" s="191" t="s">
        <v>2258</v>
      </c>
      <c r="E41" s="191"/>
      <c r="F41" s="191"/>
      <c r="G41" s="191"/>
      <c r="H41" s="191"/>
      <c r="I41" s="678">
        <f ca="1">SUMIF('710'!$B$21:$B$77,D41,'710'!$K$21:$K$77)</f>
        <v>0</v>
      </c>
      <c r="J41" s="191"/>
      <c r="K41" s="191"/>
      <c r="L41" s="191"/>
      <c r="M41" s="191" t="s">
        <v>2368</v>
      </c>
      <c r="N41" s="191"/>
      <c r="O41" s="191"/>
      <c r="P41" s="191"/>
      <c r="Q41" s="191"/>
      <c r="R41" s="191"/>
    </row>
    <row r="42" spans="1:19" ht="11.25" customHeight="1" x14ac:dyDescent="0.2">
      <c r="A42" s="187" t="str">
        <f t="shared" si="2"/>
        <v>01</v>
      </c>
      <c r="B42" s="187" t="s">
        <v>2369</v>
      </c>
      <c r="C42" s="193"/>
      <c r="D42" s="191" t="s">
        <v>2264</v>
      </c>
      <c r="E42" s="191"/>
      <c r="F42" s="191"/>
      <c r="G42" s="191"/>
      <c r="H42" s="191"/>
      <c r="I42" s="678">
        <f ca="1">SUMIF('710'!$B$21:$B$77,D42,'710'!$K$21:$K$77)</f>
        <v>0</v>
      </c>
      <c r="J42" s="191"/>
      <c r="K42" s="191"/>
      <c r="L42" s="196"/>
      <c r="M42" s="191"/>
      <c r="N42" s="191"/>
      <c r="O42" s="191"/>
      <c r="P42" s="191"/>
      <c r="Q42" s="191"/>
      <c r="R42" s="191"/>
    </row>
    <row r="43" spans="1:19" ht="11.25" customHeight="1" x14ac:dyDescent="0.2">
      <c r="A43" s="187" t="str">
        <f t="shared" si="2"/>
        <v>01</v>
      </c>
      <c r="B43" s="187" t="s">
        <v>2370</v>
      </c>
      <c r="C43" s="193"/>
      <c r="D43" s="191" t="s">
        <v>2266</v>
      </c>
      <c r="E43" s="191"/>
      <c r="F43" s="191"/>
      <c r="G43" s="191"/>
      <c r="H43" s="191"/>
      <c r="I43" s="678">
        <f ca="1">SUMIF('710'!$B$21:$B$77,D43,'710'!$K$21:$K$77)</f>
        <v>0</v>
      </c>
      <c r="J43" s="191"/>
      <c r="K43" s="191"/>
      <c r="L43" s="191"/>
      <c r="N43" s="191"/>
      <c r="O43" s="191"/>
      <c r="P43" s="191"/>
      <c r="Q43" s="191"/>
      <c r="R43" s="191"/>
    </row>
    <row r="44" spans="1:19" ht="11.25" customHeight="1" x14ac:dyDescent="0.2">
      <c r="A44" s="187" t="str">
        <f t="shared" si="2"/>
        <v>01</v>
      </c>
      <c r="B44" s="187" t="s">
        <v>2371</v>
      </c>
      <c r="C44" s="193"/>
      <c r="D44" s="191" t="s">
        <v>2268</v>
      </c>
      <c r="E44" s="191"/>
      <c r="F44" s="191"/>
      <c r="G44" s="191"/>
      <c r="H44" s="191"/>
      <c r="I44" s="678">
        <f ca="1">SUMIF('710'!$B$21:$B$77,D44,'710'!$K$21:$K$77)</f>
        <v>0</v>
      </c>
      <c r="J44" s="191"/>
      <c r="K44" s="191"/>
      <c r="L44" s="191"/>
      <c r="M44" s="191"/>
      <c r="N44" s="191"/>
      <c r="O44" s="191"/>
      <c r="P44" s="191"/>
      <c r="Q44" s="191"/>
      <c r="R44" s="191"/>
    </row>
    <row r="45" spans="1:19" ht="11.25" customHeight="1" x14ac:dyDescent="0.2">
      <c r="A45" s="187" t="str">
        <f t="shared" si="2"/>
        <v>01</v>
      </c>
      <c r="B45" s="187" t="s">
        <v>2372</v>
      </c>
      <c r="C45" s="193"/>
      <c r="D45" s="191" t="s">
        <v>2270</v>
      </c>
      <c r="E45" s="191"/>
      <c r="F45" s="191"/>
      <c r="G45" s="191"/>
      <c r="H45" s="191"/>
      <c r="I45" s="678">
        <f ca="1">SUMIF('710'!$B$21:$B$77,D45,'710'!$K$21:$K$77)</f>
        <v>0</v>
      </c>
      <c r="J45" s="191"/>
      <c r="K45" s="191"/>
      <c r="L45" s="191"/>
      <c r="M45" s="191"/>
      <c r="N45" s="191"/>
      <c r="O45" s="191"/>
      <c r="P45" s="191"/>
      <c r="Q45" s="191"/>
      <c r="R45" s="191"/>
    </row>
    <row r="46" spans="1:19" ht="11.25" customHeight="1" x14ac:dyDescent="0.2">
      <c r="A46" s="187" t="str">
        <f t="shared" si="2"/>
        <v>01</v>
      </c>
      <c r="B46" s="187" t="s">
        <v>2373</v>
      </c>
      <c r="C46" s="193"/>
      <c r="D46" s="191" t="s">
        <v>2272</v>
      </c>
      <c r="E46" s="191"/>
      <c r="F46" s="191"/>
      <c r="G46" s="191"/>
      <c r="H46" s="191"/>
      <c r="I46" s="678">
        <f ca="1">SUMIF('710'!$B$21:$B$77,D46,'710'!$K$21:$K$77)</f>
        <v>0</v>
      </c>
      <c r="J46" s="191"/>
      <c r="K46" s="191"/>
      <c r="L46" s="191"/>
      <c r="M46" s="191"/>
      <c r="N46" s="191"/>
      <c r="O46" s="191"/>
      <c r="P46" s="191"/>
      <c r="Q46" s="191"/>
      <c r="R46" s="191"/>
    </row>
    <row r="47" spans="1:19" ht="11.25" customHeight="1" x14ac:dyDescent="0.2">
      <c r="A47" s="187" t="str">
        <f t="shared" si="2"/>
        <v>01</v>
      </c>
      <c r="B47" s="187" t="s">
        <v>2374</v>
      </c>
      <c r="C47" s="193"/>
      <c r="D47" s="191" t="s">
        <v>2274</v>
      </c>
      <c r="E47" s="191"/>
      <c r="F47" s="191"/>
      <c r="G47" s="191"/>
      <c r="H47" s="191"/>
      <c r="I47" s="678">
        <f ca="1">SUMIF('710'!$B$21:$B$77,D47,'710'!$K$21:$K$77)</f>
        <v>0</v>
      </c>
      <c r="J47" s="191"/>
      <c r="K47" s="191"/>
      <c r="L47" s="191"/>
      <c r="M47" s="191"/>
      <c r="N47" s="191"/>
      <c r="O47" s="191"/>
      <c r="P47" s="191"/>
      <c r="Q47" s="191"/>
      <c r="R47" s="191"/>
    </row>
    <row r="48" spans="1:19" ht="11.25" customHeight="1" x14ac:dyDescent="0.2">
      <c r="A48" s="187" t="str">
        <f t="shared" si="2"/>
        <v>01</v>
      </c>
      <c r="B48" s="187" t="s">
        <v>2375</v>
      </c>
      <c r="C48" s="193"/>
      <c r="D48" s="97" t="s">
        <v>2276</v>
      </c>
      <c r="E48" s="191"/>
      <c r="F48" s="191"/>
      <c r="G48" s="191"/>
      <c r="H48" s="191"/>
      <c r="I48" s="678">
        <f ca="1">SUMIF('710'!$B$21:$B$77,D48,'710'!$K$21:$K$77)</f>
        <v>0</v>
      </c>
      <c r="J48" s="191"/>
      <c r="K48" s="191"/>
      <c r="L48" s="191"/>
      <c r="M48" s="191"/>
      <c r="N48" s="191"/>
      <c r="O48" s="191"/>
      <c r="P48" s="191"/>
      <c r="Q48" s="191"/>
      <c r="R48" s="191"/>
    </row>
    <row r="49" spans="1:18" ht="11.25" customHeight="1" x14ac:dyDescent="0.2">
      <c r="A49" s="187" t="str">
        <f t="shared" si="2"/>
        <v>01</v>
      </c>
      <c r="B49" s="187" t="s">
        <v>2376</v>
      </c>
      <c r="C49" s="1963"/>
      <c r="D49" s="191" t="s">
        <v>2278</v>
      </c>
      <c r="E49" s="1964"/>
      <c r="F49" s="1964"/>
      <c r="G49" s="191"/>
      <c r="H49" s="191"/>
      <c r="I49" s="678">
        <f ca="1">SUMIF('710'!$B$21:$B$77,D49,'710'!$K$21:$K$77)</f>
        <v>0</v>
      </c>
      <c r="J49" s="191"/>
      <c r="K49" s="191"/>
      <c r="L49" s="191"/>
      <c r="M49" s="191"/>
      <c r="N49" s="191"/>
      <c r="O49" s="191"/>
      <c r="P49" s="191"/>
      <c r="Q49" s="191"/>
      <c r="R49" s="191"/>
    </row>
    <row r="50" spans="1:18" ht="11.25" customHeight="1" x14ac:dyDescent="0.2">
      <c r="A50" s="187" t="str">
        <f t="shared" si="2"/>
        <v>01</v>
      </c>
      <c r="B50" s="187" t="s">
        <v>2377</v>
      </c>
      <c r="C50" s="193"/>
      <c r="D50" s="97" t="s">
        <v>2234</v>
      </c>
      <c r="E50" s="191"/>
      <c r="F50" s="191"/>
      <c r="G50" s="191"/>
      <c r="H50" s="191"/>
      <c r="I50" s="678">
        <f ca="1">SUMIF('710'!$B$21:$B$77,D50,'710'!$K$21:$K$77)</f>
        <v>0</v>
      </c>
      <c r="J50" s="191"/>
      <c r="K50" s="191"/>
      <c r="L50" s="191"/>
      <c r="M50" s="191"/>
      <c r="N50" s="191"/>
      <c r="O50" s="191"/>
      <c r="P50" s="191"/>
      <c r="Q50" s="191"/>
      <c r="R50" s="191"/>
    </row>
    <row r="51" spans="1:18" ht="11.25" customHeight="1" x14ac:dyDescent="0.2">
      <c r="A51" s="187" t="str">
        <f t="shared" si="2"/>
        <v>01</v>
      </c>
      <c r="B51" s="187" t="s">
        <v>2378</v>
      </c>
      <c r="C51" s="193"/>
      <c r="D51" s="191" t="s">
        <v>2236</v>
      </c>
      <c r="E51" s="191"/>
      <c r="F51" s="191"/>
      <c r="G51" s="191"/>
      <c r="H51" s="191"/>
      <c r="I51" s="678">
        <f ca="1">SUMIF('710'!$B$21:$B$77,D51,'710'!$K$21:$K$77)</f>
        <v>0</v>
      </c>
      <c r="J51" s="191"/>
      <c r="K51" s="191"/>
      <c r="L51" s="191"/>
      <c r="M51" s="191"/>
      <c r="N51" s="191"/>
      <c r="O51" s="191"/>
      <c r="P51" s="191"/>
      <c r="Q51" s="191"/>
      <c r="R51" s="191"/>
    </row>
    <row r="52" spans="1:18" ht="11.25" customHeight="1" x14ac:dyDescent="0.2">
      <c r="A52" s="187" t="str">
        <f t="shared" si="2"/>
        <v>01</v>
      </c>
      <c r="B52" s="187" t="s">
        <v>2379</v>
      </c>
      <c r="C52" s="193"/>
      <c r="D52" s="97" t="s">
        <v>2280</v>
      </c>
      <c r="E52" s="2909" t="s">
        <v>2239</v>
      </c>
      <c r="F52" s="2909"/>
      <c r="G52" s="2909"/>
      <c r="H52" s="191"/>
      <c r="I52" s="678">
        <f ca="1">SUMIF('710'!$B$21:$B$77,D52,'710'!$K$21:$K$77)</f>
        <v>0</v>
      </c>
      <c r="J52" s="191"/>
      <c r="K52" s="191"/>
      <c r="L52" s="191"/>
      <c r="M52" s="191"/>
      <c r="N52" s="191"/>
      <c r="O52" s="191"/>
      <c r="P52" s="191"/>
      <c r="Q52" s="191"/>
      <c r="R52" s="191"/>
    </row>
    <row r="53" spans="1:18" ht="11.25" customHeight="1" x14ac:dyDescent="0.2">
      <c r="A53" s="187" t="str">
        <f t="shared" si="2"/>
        <v>01</v>
      </c>
      <c r="B53" s="187" t="s">
        <v>2380</v>
      </c>
      <c r="C53" s="193"/>
      <c r="D53" s="97" t="s">
        <v>2282</v>
      </c>
      <c r="E53" s="2909" t="s">
        <v>2239</v>
      </c>
      <c r="F53" s="2909"/>
      <c r="G53" s="2909"/>
      <c r="H53" s="191"/>
      <c r="I53" s="678">
        <f ca="1">SUMIF('710'!$B$21:$B$77,D53,'710'!$K$21:$K$77)</f>
        <v>0</v>
      </c>
      <c r="J53" s="191"/>
      <c r="K53" s="191"/>
      <c r="L53" s="191"/>
      <c r="M53" s="191"/>
      <c r="N53" s="191"/>
      <c r="O53" s="191"/>
      <c r="P53" s="191"/>
      <c r="Q53" s="191"/>
      <c r="R53" s="191"/>
    </row>
    <row r="54" spans="1:18" ht="11.25" customHeight="1" x14ac:dyDescent="0.2">
      <c r="A54" s="187" t="str">
        <f t="shared" si="2"/>
        <v>01</v>
      </c>
      <c r="B54" s="187" t="s">
        <v>2381</v>
      </c>
      <c r="C54" s="193"/>
      <c r="D54" s="97" t="s">
        <v>2284</v>
      </c>
      <c r="E54" s="2909" t="s">
        <v>2239</v>
      </c>
      <c r="F54" s="2909"/>
      <c r="G54" s="2909"/>
      <c r="H54" s="191"/>
      <c r="I54" s="678">
        <f ca="1">SUMIF('710'!$B$21:$B$77,D54,'710'!$K$21:$K$77)</f>
        <v>0</v>
      </c>
      <c r="J54" s="191"/>
      <c r="K54" s="191"/>
      <c r="L54" s="191"/>
      <c r="M54" s="191"/>
      <c r="N54" s="191"/>
      <c r="O54" s="191"/>
      <c r="P54" s="191"/>
      <c r="Q54" s="191"/>
      <c r="R54" s="191"/>
    </row>
    <row r="55" spans="1:18" ht="11.25" customHeight="1" x14ac:dyDescent="0.2">
      <c r="A55" s="187" t="str">
        <f t="shared" si="2"/>
        <v>01</v>
      </c>
      <c r="B55" s="187" t="s">
        <v>2382</v>
      </c>
      <c r="C55" s="193"/>
      <c r="D55" s="97" t="s">
        <v>2286</v>
      </c>
      <c r="E55" s="2909" t="s">
        <v>2239</v>
      </c>
      <c r="F55" s="2909"/>
      <c r="G55" s="2909"/>
      <c r="H55" s="191"/>
      <c r="I55" s="678">
        <f ca="1">SUMIF('710'!$B$21:$B$77,D55,'710'!$K$21:$K$77)</f>
        <v>0</v>
      </c>
      <c r="J55" s="191"/>
      <c r="K55" s="191"/>
      <c r="L55" s="191"/>
      <c r="M55" s="191"/>
      <c r="N55" s="191"/>
      <c r="O55" s="191"/>
      <c r="P55" s="191"/>
      <c r="Q55" s="191"/>
      <c r="R55" s="191"/>
    </row>
    <row r="56" spans="1:18" ht="16.350000000000001" customHeight="1" thickBot="1" x14ac:dyDescent="0.3">
      <c r="A56" s="187" t="str">
        <f t="shared" si="2"/>
        <v>01</v>
      </c>
      <c r="B56" s="187" t="s">
        <v>2383</v>
      </c>
      <c r="C56" s="197" t="s">
        <v>2384</v>
      </c>
      <c r="D56" s="191"/>
      <c r="E56" s="191"/>
      <c r="F56" s="191"/>
      <c r="G56" s="191"/>
      <c r="H56" s="191"/>
      <c r="I56" s="679">
        <f ca="1">I35+SUM(I37:I55)</f>
        <v>0</v>
      </c>
      <c r="J56" s="191"/>
      <c r="K56" s="891" t="s">
        <v>2385</v>
      </c>
      <c r="L56" s="191"/>
      <c r="M56" s="191"/>
      <c r="N56" s="191"/>
      <c r="O56" s="191"/>
      <c r="P56" s="191"/>
      <c r="Q56" s="191"/>
      <c r="R56" s="191"/>
    </row>
    <row r="57" spans="1:18" ht="6" customHeight="1" thickTop="1" x14ac:dyDescent="0.2">
      <c r="A57" s="187" t="str">
        <f t="shared" si="2"/>
        <v>01</v>
      </c>
      <c r="C57" s="191"/>
      <c r="D57" s="191"/>
      <c r="E57" s="191"/>
      <c r="F57" s="191"/>
      <c r="G57" s="191"/>
    </row>
    <row r="58" spans="1:18" ht="12" customHeight="1" x14ac:dyDescent="0.2">
      <c r="A58" s="187" t="str">
        <f t="shared" si="2"/>
        <v>01</v>
      </c>
      <c r="C58" s="198"/>
      <c r="D58" s="191"/>
      <c r="E58" s="191"/>
      <c r="F58" s="191"/>
      <c r="G58" s="191"/>
      <c r="I58" s="230">
        <f ca="1">I56-'710'!K70</f>
        <v>0</v>
      </c>
      <c r="K58" s="187" t="str">
        <f ca="1">IF(I58=0,"","Error")</f>
        <v/>
      </c>
    </row>
  </sheetData>
  <sheetProtection algorithmName="SHA-512" hashValue="AtiLld4SaItAuaHW3/aIA0m7nfUti4NoV6Fpz09JroHG9FS3HI4cPWmvJIfgBsRuMmMSsvGcMXx53ePLPrQfLw==" saltValue="B8Nv2Pkw6vpTVLEClQ/7pQ==" spinCount="100000" sheet="1" objects="1" scenarios="1" autoFilter="0"/>
  <customSheetViews>
    <customSheetView guid="{9FCFC836-1CA5-48BF-958D-24D2EA94B219}" showGridLines="0" fitToPage="1">
      <pane xSplit="7" ySplit="13" topLeftCell="H26" activePane="bottomRight" state="frozen"/>
      <selection pane="bottomRight" activeCell="D50" sqref="D50"/>
      <pageMargins left="0" right="0" top="0" bottom="0" header="0" footer="0"/>
      <pageSetup scale="80" orientation="landscape" r:id="rId1"/>
      <headerFooter alignWithMargins="0">
        <oddFooter>&amp;R&amp;A</oddFooter>
      </headerFooter>
    </customSheetView>
    <customSheetView guid="{BEA4BE86-04D1-4C96-9358-7A260B9D2B2D}" showGridLines="0" fitToPage="1" showRuler="0" topLeftCell="A13">
      <selection sqref="A1:O1"/>
      <pageMargins left="0" right="0" top="0" bottom="0" header="0" footer="0"/>
      <pageSetup orientation="landscape" r:id="rId2"/>
      <headerFooter alignWithMargins="0">
        <oddFooter>&amp;R&amp;A</oddFooter>
      </headerFooter>
    </customSheetView>
    <customSheetView guid="{1250FD07-FF56-4A9D-AF9E-C27124A7EBE9}" showGridLines="0" fitToPage="1" showRuler="0" topLeftCell="A13">
      <selection sqref="A1:O1"/>
      <pageMargins left="0" right="0" top="0" bottom="0" header="0" footer="0"/>
      <pageSetup orientation="landscape" r:id="rId3"/>
      <headerFooter alignWithMargins="0">
        <oddFooter>&amp;R&amp;A</oddFooter>
      </headerFooter>
    </customSheetView>
    <customSheetView guid="{B08879A4-635B-4C39-9937-AC7883D562FC}" showGridLines="0" fitToPage="1">
      <pane xSplit="7" ySplit="13" topLeftCell="H26" activePane="bottomRight" state="frozen"/>
      <selection pane="bottomRight" activeCell="D50" sqref="D50"/>
      <pageMargins left="0" right="0" top="0" bottom="0" header="0" footer="0"/>
      <pageSetup scale="80" orientation="landscape" r:id="rId4"/>
      <headerFooter alignWithMargins="0">
        <oddFooter>&amp;R&amp;A</oddFooter>
      </headerFooter>
    </customSheetView>
  </customSheetViews>
  <mergeCells count="18">
    <mergeCell ref="C4:Q4"/>
    <mergeCell ref="F8:G8"/>
    <mergeCell ref="K37:L37"/>
    <mergeCell ref="C1:Q1"/>
    <mergeCell ref="C2:Q2"/>
    <mergeCell ref="C3:Q3"/>
    <mergeCell ref="C13:G13"/>
    <mergeCell ref="K12:Q12"/>
    <mergeCell ref="E54:G54"/>
    <mergeCell ref="E55:G55"/>
    <mergeCell ref="M6:Q6"/>
    <mergeCell ref="M7:Q7"/>
    <mergeCell ref="M8:Q8"/>
    <mergeCell ref="M9:Q9"/>
    <mergeCell ref="E33:G33"/>
    <mergeCell ref="E34:G34"/>
    <mergeCell ref="E52:G52"/>
    <mergeCell ref="E53:G53"/>
  </mergeCells>
  <phoneticPr fontId="16" type="noConversion"/>
  <conditionalFormatting sqref="R1:R3">
    <cfRule type="cellIs" dxfId="35" priority="1" stopIfTrue="1" operator="equal">
      <formula>"na"</formula>
    </cfRule>
  </conditionalFormatting>
  <hyperlinks>
    <hyperlink ref="C1:Q1" location="Index!A1" display="Office of the State Controller" xr:uid="{00000000-0004-0000-4000-000000000000}"/>
  </hyperlinks>
  <pageMargins left="0.6" right="0.6" top="0.5" bottom="0.5" header="0.3" footer="0.3"/>
  <pageSetup scale="79" orientation="landscape"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EA022FCA-EB7B-4FF9-889B-3828D6279335}">
          <x14:formula1>
            <xm:f>Notes!$X$3:$X$6</xm:f>
          </x14:formula1>
          <xm:sqref>E33:E34</xm:sqref>
        </x14:dataValidation>
        <x14:dataValidation type="list" allowBlank="1" showInputMessage="1" showErrorMessage="1" xr:uid="{9C257846-E437-4316-9D1B-A7DD57D677BD}">
          <x14:formula1>
            <xm:f>Notes!$X$10:$X$20</xm:f>
          </x14:formula1>
          <xm:sqref>E52:G55</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8"/>
  <dimension ref="A1:Z59"/>
  <sheetViews>
    <sheetView showGridLines="0" topLeftCell="C1" zoomScaleNormal="100" workbookViewId="0">
      <selection activeCell="A2" sqref="A2"/>
    </sheetView>
  </sheetViews>
  <sheetFormatPr defaultColWidth="9.42578125" defaultRowHeight="11.25" x14ac:dyDescent="0.2"/>
  <cols>
    <col min="1" max="1" width="5.42578125" style="192" hidden="1" customWidth="1"/>
    <col min="2" max="2" width="12.5703125" style="192" hidden="1" customWidth="1"/>
    <col min="3" max="3" width="2" style="191" customWidth="1"/>
    <col min="4" max="4" width="6.5703125" style="191" customWidth="1"/>
    <col min="5" max="5" width="28.85546875" style="191" customWidth="1"/>
    <col min="6" max="6" width="14.42578125" style="191" customWidth="1"/>
    <col min="7" max="7" width="0.5703125" style="191" customWidth="1"/>
    <col min="8" max="8" width="14.42578125" style="191" customWidth="1"/>
    <col min="9" max="9" width="0.5703125" style="191" customWidth="1"/>
    <col min="10" max="10" width="14.42578125" style="191" customWidth="1"/>
    <col min="11" max="11" width="0.5703125" style="191" customWidth="1"/>
    <col min="12" max="12" width="14.42578125" style="191" customWidth="1"/>
    <col min="13" max="13" width="0.5703125" style="191" customWidth="1"/>
    <col min="14" max="14" width="13" style="191" customWidth="1"/>
    <col min="15" max="15" width="0.5703125" style="191" customWidth="1"/>
    <col min="16" max="16" width="12.42578125" style="191" customWidth="1"/>
    <col min="17" max="17" width="0.5703125" style="191" customWidth="1"/>
    <col min="18" max="18" width="12.5703125" style="191" customWidth="1"/>
    <col min="19" max="19" width="16.5703125" style="191" customWidth="1"/>
    <col min="20" max="20" width="4.5703125" style="191" customWidth="1"/>
    <col min="21" max="24" width="9.42578125" style="191"/>
    <col min="25" max="25" width="9.42578125" style="1461"/>
    <col min="26" max="16384" width="9.42578125" style="191"/>
  </cols>
  <sheetData>
    <row r="1" spans="1:26" ht="15.75" x14ac:dyDescent="0.25">
      <c r="A1" s="206" t="str">
        <f>AgyIdx</f>
        <v>01</v>
      </c>
      <c r="C1" s="2455" t="str">
        <f>+Index!$A$1</f>
        <v xml:space="preserve">                                                               Office of the State Controller                                                                </v>
      </c>
      <c r="D1" s="2455"/>
      <c r="E1" s="2455"/>
      <c r="F1" s="2455"/>
      <c r="G1" s="2455"/>
      <c r="H1" s="2455"/>
      <c r="I1" s="2455"/>
      <c r="J1" s="2455"/>
      <c r="K1" s="2455"/>
      <c r="L1" s="2455"/>
      <c r="M1" s="2455"/>
      <c r="N1" s="2455"/>
      <c r="O1" s="2455"/>
      <c r="P1" s="2455"/>
      <c r="Q1" s="2455"/>
      <c r="R1" s="2455"/>
      <c r="S1" s="880"/>
      <c r="T1" s="234"/>
      <c r="U1" s="234"/>
      <c r="V1" s="234"/>
      <c r="Z1" s="1461" t="s">
        <v>2386</v>
      </c>
    </row>
    <row r="2" spans="1:26" ht="15.75" x14ac:dyDescent="0.25">
      <c r="A2" s="192" t="str">
        <f t="shared" ref="A2:A33" si="0">AgyIdx</f>
        <v>01</v>
      </c>
      <c r="C2" s="2439" t="str">
        <f>+Index!$A$2</f>
        <v>2023 ACFR Worksheets</v>
      </c>
      <c r="D2" s="2439"/>
      <c r="E2" s="2439"/>
      <c r="F2" s="2439"/>
      <c r="G2" s="2439"/>
      <c r="H2" s="2439"/>
      <c r="I2" s="2439"/>
      <c r="J2" s="2439"/>
      <c r="K2" s="2439"/>
      <c r="L2" s="2439"/>
      <c r="M2" s="2439"/>
      <c r="N2" s="2439"/>
      <c r="O2" s="2439"/>
      <c r="P2" s="2439"/>
      <c r="Q2" s="2439"/>
      <c r="R2" s="2439"/>
      <c r="S2" s="880"/>
    </row>
    <row r="3" spans="1:26" ht="15.75" x14ac:dyDescent="0.25">
      <c r="A3" s="192" t="str">
        <f t="shared" si="0"/>
        <v>01</v>
      </c>
      <c r="C3" s="2439" t="s">
        <v>2194</v>
      </c>
      <c r="D3" s="2439"/>
      <c r="E3" s="2439"/>
      <c r="F3" s="2439"/>
      <c r="G3" s="2439"/>
      <c r="H3" s="2439"/>
      <c r="I3" s="2439"/>
      <c r="J3" s="2439"/>
      <c r="K3" s="2439"/>
      <c r="L3" s="2439"/>
      <c r="M3" s="2439"/>
      <c r="N3" s="2439"/>
      <c r="O3" s="2439"/>
      <c r="P3" s="2439"/>
      <c r="Q3" s="2439"/>
      <c r="R3" s="2439"/>
      <c r="S3" s="880"/>
    </row>
    <row r="4" spans="1:26" ht="15.75" x14ac:dyDescent="0.25">
      <c r="A4" s="192" t="str">
        <f t="shared" si="0"/>
        <v>01</v>
      </c>
      <c r="C4" s="2439" t="s">
        <v>2387</v>
      </c>
      <c r="D4" s="2439"/>
      <c r="E4" s="2439"/>
      <c r="F4" s="2439"/>
      <c r="G4" s="2439"/>
      <c r="H4" s="2439"/>
      <c r="I4" s="2439"/>
      <c r="J4" s="2439"/>
      <c r="K4" s="2439"/>
      <c r="L4" s="2439"/>
      <c r="M4" s="2439"/>
      <c r="N4" s="2439"/>
      <c r="O4" s="2439"/>
      <c r="P4" s="2439"/>
      <c r="Q4" s="2439"/>
      <c r="R4" s="2241" t="str">
        <f>IF(Index!$B$94="na","NA","")</f>
        <v/>
      </c>
      <c r="S4" s="2208"/>
    </row>
    <row r="5" spans="1:26" ht="15.75" customHeight="1" x14ac:dyDescent="0.2">
      <c r="A5" s="192" t="str">
        <f t="shared" si="0"/>
        <v>01</v>
      </c>
      <c r="N5" s="257"/>
      <c r="R5" s="2241"/>
    </row>
    <row r="6" spans="1:26" ht="14.1" customHeight="1" x14ac:dyDescent="0.2">
      <c r="A6" s="192" t="str">
        <f t="shared" si="0"/>
        <v>01</v>
      </c>
      <c r="C6" s="442" t="s">
        <v>317</v>
      </c>
      <c r="F6" s="2267" t="str">
        <f>+Index!$E$10</f>
        <v>01</v>
      </c>
      <c r="L6" s="199" t="s">
        <v>318</v>
      </c>
      <c r="N6" s="2911" t="str">
        <f>+Index!$E$11</f>
        <v>North Carolina General Assembly</v>
      </c>
      <c r="O6" s="2911"/>
      <c r="P6" s="2911"/>
      <c r="Q6" s="2911"/>
      <c r="R6" s="2573"/>
    </row>
    <row r="7" spans="1:26" ht="14.1" customHeight="1" x14ac:dyDescent="0.2">
      <c r="A7" s="192" t="str">
        <f t="shared" si="0"/>
        <v>01</v>
      </c>
      <c r="L7" s="199" t="s">
        <v>319</v>
      </c>
      <c r="N7" s="2872" t="str">
        <f>CONCATENATE(Index!$E$12," ",Index!$E$14)</f>
        <v xml:space="preserve"> </v>
      </c>
      <c r="O7" s="2872"/>
      <c r="P7" s="2872"/>
      <c r="Q7" s="2872"/>
      <c r="R7" s="2885"/>
    </row>
    <row r="8" spans="1:26" ht="14.1" customHeight="1" x14ac:dyDescent="0.2">
      <c r="A8" s="192" t="str">
        <f t="shared" si="0"/>
        <v>01</v>
      </c>
      <c r="C8" s="172" t="s">
        <v>568</v>
      </c>
      <c r="D8" s="187"/>
      <c r="F8" s="2603" t="s">
        <v>754</v>
      </c>
      <c r="G8" s="2603"/>
      <c r="L8" s="199" t="s">
        <v>71</v>
      </c>
      <c r="N8" s="2872">
        <f>+Index!$E$13</f>
        <v>0</v>
      </c>
      <c r="O8" s="2872"/>
      <c r="P8" s="2872"/>
      <c r="Q8" s="2872"/>
      <c r="R8" s="2885"/>
    </row>
    <row r="9" spans="1:26" ht="6.75" customHeight="1" thickBot="1" x14ac:dyDescent="0.25">
      <c r="A9" s="192" t="str">
        <f t="shared" si="0"/>
        <v>01</v>
      </c>
      <c r="C9" s="188"/>
      <c r="D9" s="188"/>
      <c r="E9" s="188"/>
      <c r="F9" s="188"/>
      <c r="G9" s="188"/>
      <c r="H9" s="188"/>
      <c r="I9" s="188"/>
      <c r="J9" s="188"/>
      <c r="K9" s="188"/>
      <c r="L9" s="188"/>
      <c r="M9" s="188"/>
      <c r="N9" s="188"/>
      <c r="O9" s="188"/>
      <c r="P9" s="188"/>
      <c r="Q9" s="188"/>
      <c r="R9" s="188"/>
      <c r="S9" s="200"/>
    </row>
    <row r="10" spans="1:26" ht="12" x14ac:dyDescent="0.2">
      <c r="A10" s="192" t="str">
        <f t="shared" si="0"/>
        <v>01</v>
      </c>
      <c r="C10" s="187"/>
      <c r="D10" s="187"/>
      <c r="E10" s="187"/>
      <c r="F10" s="2919" t="s">
        <v>2388</v>
      </c>
      <c r="G10" s="2919"/>
      <c r="H10" s="2919"/>
      <c r="I10" s="2919"/>
      <c r="J10" s="2919"/>
      <c r="K10" s="2919"/>
      <c r="L10" s="2919"/>
      <c r="M10" s="2919"/>
      <c r="N10" s="2919"/>
      <c r="O10" s="2919"/>
      <c r="P10" s="2919"/>
      <c r="Q10" s="2919"/>
      <c r="R10" s="2919"/>
    </row>
    <row r="11" spans="1:26" ht="12" x14ac:dyDescent="0.2">
      <c r="A11" s="192" t="str">
        <f t="shared" si="0"/>
        <v>01</v>
      </c>
      <c r="C11" s="187"/>
      <c r="D11" s="187"/>
      <c r="E11" s="187"/>
      <c r="F11" s="2920" t="s">
        <v>2389</v>
      </c>
      <c r="G11" s="2920"/>
      <c r="H11" s="2920"/>
      <c r="I11" s="2920"/>
      <c r="J11" s="2920"/>
      <c r="K11" s="2920"/>
      <c r="L11" s="2920"/>
      <c r="M11" s="2920"/>
      <c r="N11" s="2920"/>
      <c r="O11" s="2920"/>
      <c r="P11" s="2920"/>
      <c r="Q11" s="2920"/>
      <c r="R11" s="2920"/>
      <c r="S11" s="192"/>
    </row>
    <row r="12" spans="1:26" ht="12" x14ac:dyDescent="0.2">
      <c r="A12" s="192" t="str">
        <f t="shared" si="0"/>
        <v>01</v>
      </c>
      <c r="C12" s="187"/>
      <c r="D12" s="187"/>
      <c r="E12" s="187"/>
      <c r="F12" s="1965">
        <v>100</v>
      </c>
      <c r="G12" s="1965"/>
      <c r="H12" s="1965">
        <v>120</v>
      </c>
      <c r="I12" s="1965"/>
      <c r="J12" s="1965">
        <v>140</v>
      </c>
      <c r="K12" s="1965"/>
      <c r="L12" s="1965">
        <v>160</v>
      </c>
      <c r="M12" s="1965"/>
      <c r="N12" s="1965">
        <v>180</v>
      </c>
      <c r="O12" s="1965"/>
      <c r="P12" s="1965">
        <v>200</v>
      </c>
      <c r="Q12" s="1965"/>
      <c r="R12" s="1965">
        <v>220</v>
      </c>
      <c r="S12" s="1965">
        <v>240</v>
      </c>
      <c r="U12" s="192"/>
    </row>
    <row r="13" spans="1:26" ht="36" x14ac:dyDescent="0.2">
      <c r="A13" s="192" t="str">
        <f t="shared" si="0"/>
        <v>01</v>
      </c>
      <c r="C13" s="680"/>
      <c r="D13" s="2917" t="s">
        <v>2330</v>
      </c>
      <c r="E13" s="2917"/>
      <c r="F13" s="681" t="s">
        <v>2390</v>
      </c>
      <c r="G13" s="682"/>
      <c r="H13" s="681" t="s">
        <v>2391</v>
      </c>
      <c r="I13" s="682"/>
      <c r="J13" s="681" t="s">
        <v>592</v>
      </c>
      <c r="K13" s="682"/>
      <c r="L13" s="681" t="s">
        <v>2392</v>
      </c>
      <c r="M13" s="682"/>
      <c r="N13" s="681" t="s">
        <v>2393</v>
      </c>
      <c r="O13" s="682"/>
      <c r="P13" s="681" t="s">
        <v>2394</v>
      </c>
      <c r="Q13" s="682"/>
      <c r="R13" s="681" t="s">
        <v>2395</v>
      </c>
      <c r="S13" s="689" t="s">
        <v>955</v>
      </c>
      <c r="U13" s="192"/>
    </row>
    <row r="14" spans="1:26" x14ac:dyDescent="0.2">
      <c r="A14" s="192" t="str">
        <f t="shared" si="0"/>
        <v>01</v>
      </c>
      <c r="B14" s="192" t="s">
        <v>2339</v>
      </c>
      <c r="C14" s="683"/>
      <c r="D14" s="191" t="s">
        <v>2213</v>
      </c>
      <c r="F14" s="684"/>
      <c r="G14" s="685"/>
      <c r="H14" s="684"/>
      <c r="I14" s="686"/>
      <c r="J14" s="684"/>
      <c r="K14" s="686"/>
      <c r="L14" s="684"/>
      <c r="M14" s="686"/>
      <c r="N14" s="684"/>
      <c r="O14" s="686"/>
      <c r="P14" s="684"/>
      <c r="Q14" s="686"/>
      <c r="R14" s="684"/>
      <c r="S14" s="686">
        <f ca="1">SUM(F14:R14)-INDEX('720'!$B$14:$I$57,MATCH('725'!B14,'720'!$B$14:$B$57,0),8)</f>
        <v>0</v>
      </c>
      <c r="Y14" s="1461" t="s">
        <v>2213</v>
      </c>
    </row>
    <row r="15" spans="1:26" x14ac:dyDescent="0.2">
      <c r="A15" s="192" t="str">
        <f t="shared" si="0"/>
        <v>01</v>
      </c>
      <c r="B15" s="192" t="s">
        <v>2340</v>
      </c>
      <c r="C15" s="683"/>
      <c r="D15" s="191" t="s">
        <v>2396</v>
      </c>
      <c r="F15" s="684"/>
      <c r="G15" s="685"/>
      <c r="H15" s="684"/>
      <c r="I15" s="686"/>
      <c r="J15" s="684"/>
      <c r="K15" s="686"/>
      <c r="L15" s="684"/>
      <c r="M15" s="686"/>
      <c r="N15" s="684"/>
      <c r="O15" s="686"/>
      <c r="P15" s="684"/>
      <c r="Q15" s="686"/>
      <c r="R15" s="684"/>
      <c r="S15" s="686">
        <f ca="1">SUM(F15:R15)-INDEX('720'!$B$14:$I$57,MATCH('725'!B15,'720'!$B$14:$B$57,0),8)</f>
        <v>0</v>
      </c>
      <c r="Y15" s="1461" t="s">
        <v>2215</v>
      </c>
    </row>
    <row r="16" spans="1:26" x14ac:dyDescent="0.2">
      <c r="A16" s="192" t="str">
        <f t="shared" si="0"/>
        <v>01</v>
      </c>
      <c r="B16" s="192" t="s">
        <v>2341</v>
      </c>
      <c r="C16" s="683"/>
      <c r="D16" s="191" t="s">
        <v>2217</v>
      </c>
      <c r="F16" s="684"/>
      <c r="G16" s="685"/>
      <c r="H16" s="684"/>
      <c r="I16" s="686"/>
      <c r="J16" s="684"/>
      <c r="K16" s="686"/>
      <c r="L16" s="684"/>
      <c r="M16" s="686"/>
      <c r="N16" s="684"/>
      <c r="O16" s="686"/>
      <c r="P16" s="684"/>
      <c r="Q16" s="686"/>
      <c r="R16" s="684"/>
      <c r="S16" s="686">
        <f ca="1">SUM(F16:R16)-INDEX('720'!$B$14:$I$57,MATCH('725'!B16,'720'!$B$14:$B$57,0),8)</f>
        <v>0</v>
      </c>
      <c r="Y16" s="1461" t="s">
        <v>2217</v>
      </c>
    </row>
    <row r="17" spans="1:25" x14ac:dyDescent="0.2">
      <c r="A17" s="192" t="str">
        <f t="shared" si="0"/>
        <v>01</v>
      </c>
      <c r="B17" s="192" t="s">
        <v>2342</v>
      </c>
      <c r="C17" s="683"/>
      <c r="D17" s="191" t="s">
        <v>2219</v>
      </c>
      <c r="F17" s="684"/>
      <c r="G17" s="685"/>
      <c r="H17" s="684"/>
      <c r="I17" s="686"/>
      <c r="J17" s="684"/>
      <c r="K17" s="686"/>
      <c r="L17" s="684"/>
      <c r="M17" s="686"/>
      <c r="N17" s="684"/>
      <c r="O17" s="686"/>
      <c r="P17" s="684"/>
      <c r="Q17" s="686"/>
      <c r="R17" s="684"/>
      <c r="S17" s="686">
        <f ca="1">SUM(F17:R17)-INDEX('720'!$B$14:$I$57,MATCH('725'!B17,'720'!$B$14:$B$57,0),8)</f>
        <v>0</v>
      </c>
      <c r="Y17" s="1461" t="s">
        <v>2219</v>
      </c>
    </row>
    <row r="18" spans="1:25" x14ac:dyDescent="0.2">
      <c r="A18" s="192" t="str">
        <f t="shared" si="0"/>
        <v>01</v>
      </c>
      <c r="B18" s="192" t="s">
        <v>2343</v>
      </c>
      <c r="C18" s="683"/>
      <c r="D18" s="191" t="s">
        <v>2221</v>
      </c>
      <c r="F18" s="684"/>
      <c r="G18" s="685"/>
      <c r="H18" s="684"/>
      <c r="I18" s="686"/>
      <c r="J18" s="684"/>
      <c r="K18" s="686"/>
      <c r="L18" s="684"/>
      <c r="M18" s="686"/>
      <c r="N18" s="684"/>
      <c r="O18" s="686"/>
      <c r="P18" s="684"/>
      <c r="Q18" s="686"/>
      <c r="R18" s="684"/>
      <c r="S18" s="686">
        <f ca="1">SUM(F18:R18)-INDEX('720'!$B$14:$I$57,MATCH('725'!B18,'720'!$B$14:$B$57,0),8)</f>
        <v>0</v>
      </c>
      <c r="Y18" s="1461" t="s">
        <v>2221</v>
      </c>
    </row>
    <row r="19" spans="1:25" x14ac:dyDescent="0.2">
      <c r="A19" s="192" t="str">
        <f t="shared" si="0"/>
        <v>01</v>
      </c>
      <c r="B19" s="192" t="s">
        <v>2344</v>
      </c>
      <c r="C19" s="683"/>
      <c r="D19" s="2370" t="s">
        <v>2223</v>
      </c>
      <c r="F19" s="684"/>
      <c r="G19" s="685"/>
      <c r="H19" s="684"/>
      <c r="I19" s="686"/>
      <c r="J19" s="684"/>
      <c r="K19" s="686"/>
      <c r="L19" s="684"/>
      <c r="M19" s="686"/>
      <c r="N19" s="684"/>
      <c r="O19" s="686"/>
      <c r="P19" s="684"/>
      <c r="Q19" s="686"/>
      <c r="R19" s="684"/>
      <c r="S19" s="686">
        <f ca="1">SUM(F19:R19)-INDEX('720'!$B$14:$I$57,MATCH('725'!B19,'720'!$B$14:$B$57,0),8)</f>
        <v>0</v>
      </c>
      <c r="Y19" s="1461" t="s">
        <v>2223</v>
      </c>
    </row>
    <row r="20" spans="1:25" x14ac:dyDescent="0.2">
      <c r="A20" s="192" t="str">
        <f t="shared" si="0"/>
        <v>01</v>
      </c>
      <c r="B20" s="192" t="s">
        <v>2345</v>
      </c>
      <c r="C20" s="683"/>
      <c r="D20" s="191" t="s">
        <v>2225</v>
      </c>
      <c r="F20" s="684"/>
      <c r="G20" s="685"/>
      <c r="H20" s="684"/>
      <c r="I20" s="686"/>
      <c r="J20" s="684"/>
      <c r="K20" s="686"/>
      <c r="L20" s="684"/>
      <c r="M20" s="686"/>
      <c r="N20" s="684"/>
      <c r="O20" s="686"/>
      <c r="P20" s="684"/>
      <c r="Q20" s="686"/>
      <c r="R20" s="684"/>
      <c r="S20" s="686">
        <f ca="1">SUM(F20:R20)-INDEX('720'!$B$14:$I$57,MATCH('725'!B20,'720'!$B$14:$B$57,0),8)</f>
        <v>0</v>
      </c>
      <c r="Y20" s="1461" t="s">
        <v>2225</v>
      </c>
    </row>
    <row r="21" spans="1:25" x14ac:dyDescent="0.2">
      <c r="A21" s="192" t="str">
        <f t="shared" si="0"/>
        <v>01</v>
      </c>
      <c r="B21" s="192" t="s">
        <v>2346</v>
      </c>
      <c r="C21" s="683"/>
      <c r="D21" s="191" t="s">
        <v>1034</v>
      </c>
      <c r="F21" s="684"/>
      <c r="G21" s="685"/>
      <c r="H21" s="684"/>
      <c r="I21" s="686"/>
      <c r="J21" s="684"/>
      <c r="K21" s="686"/>
      <c r="L21" s="684"/>
      <c r="M21" s="686"/>
      <c r="N21" s="684"/>
      <c r="O21" s="686"/>
      <c r="P21" s="684"/>
      <c r="Q21" s="686"/>
      <c r="R21" s="684"/>
      <c r="S21" s="686">
        <f ca="1">SUM(F21:R21)-INDEX('720'!$B$14:$I$57,MATCH('725'!B21,'720'!$B$14:$B$57,0),8)</f>
        <v>0</v>
      </c>
      <c r="Y21" s="1461" t="s">
        <v>1034</v>
      </c>
    </row>
    <row r="22" spans="1:25" x14ac:dyDescent="0.2">
      <c r="A22" s="192" t="str">
        <f t="shared" si="0"/>
        <v>01</v>
      </c>
      <c r="B22" s="192" t="s">
        <v>2347</v>
      </c>
      <c r="C22" s="683"/>
      <c r="D22" s="97" t="s">
        <v>2262</v>
      </c>
      <c r="F22" s="684"/>
      <c r="G22" s="685"/>
      <c r="H22" s="684"/>
      <c r="I22" s="686"/>
      <c r="J22" s="684"/>
      <c r="K22" s="686"/>
      <c r="L22" s="684"/>
      <c r="M22" s="686"/>
      <c r="N22" s="684"/>
      <c r="O22" s="686"/>
      <c r="P22" s="684"/>
      <c r="Q22" s="686"/>
      <c r="R22" s="684"/>
      <c r="S22" s="686">
        <f ca="1">SUM(F22:R22)-INDEX('720'!$B$14:$I$57,MATCH('725'!B22,'720'!$B$14:$B$57,0),8)</f>
        <v>0</v>
      </c>
      <c r="Y22" s="1461" t="s">
        <v>2262</v>
      </c>
    </row>
    <row r="23" spans="1:25" ht="12.75" x14ac:dyDescent="0.2">
      <c r="A23" s="192" t="str">
        <f t="shared" si="0"/>
        <v>01</v>
      </c>
      <c r="B23" s="192" t="s">
        <v>2348</v>
      </c>
      <c r="C23" s="683"/>
      <c r="D23" s="191" t="s">
        <v>2252</v>
      </c>
      <c r="F23" s="684"/>
      <c r="G23" s="686"/>
      <c r="H23" s="684"/>
      <c r="I23" s="686"/>
      <c r="J23" s="684"/>
      <c r="K23" s="686"/>
      <c r="L23" s="684"/>
      <c r="M23" s="686"/>
      <c r="N23" s="684"/>
      <c r="O23" s="686"/>
      <c r="P23" s="684"/>
      <c r="Q23" s="686"/>
      <c r="R23" s="1046"/>
      <c r="S23" s="686">
        <f ca="1">SUM(F23:R23)-INDEX('720'!$B$14:$I$57,MATCH('725'!B23,'720'!$B$14:$B$57,0),8)</f>
        <v>0</v>
      </c>
      <c r="Y23" s="1461" t="s">
        <v>2252</v>
      </c>
    </row>
    <row r="24" spans="1:25" ht="12.75" x14ac:dyDescent="0.2">
      <c r="A24" s="192" t="str">
        <f t="shared" si="0"/>
        <v>01</v>
      </c>
      <c r="B24" s="192" t="s">
        <v>2349</v>
      </c>
      <c r="C24" s="683"/>
      <c r="D24" s="191" t="s">
        <v>2248</v>
      </c>
      <c r="F24" s="684"/>
      <c r="G24" s="686"/>
      <c r="H24" s="684"/>
      <c r="I24" s="686"/>
      <c r="J24" s="684"/>
      <c r="K24" s="686"/>
      <c r="L24" s="684"/>
      <c r="M24" s="686"/>
      <c r="N24" s="684"/>
      <c r="O24" s="686"/>
      <c r="P24" s="684"/>
      <c r="Q24" s="686"/>
      <c r="R24" s="1046"/>
      <c r="S24" s="686">
        <f ca="1">SUM(F24:R24)-INDEX('720'!$B$14:$I$57,MATCH('725'!B24,'720'!$B$14:$B$57,0),8)</f>
        <v>0</v>
      </c>
      <c r="Y24" s="1461" t="s">
        <v>2248</v>
      </c>
    </row>
    <row r="25" spans="1:25" x14ac:dyDescent="0.2">
      <c r="A25" s="192" t="str">
        <f t="shared" si="0"/>
        <v>01</v>
      </c>
      <c r="B25" s="192" t="s">
        <v>2350</v>
      </c>
      <c r="C25" s="683"/>
      <c r="D25" s="191" t="s">
        <v>2260</v>
      </c>
      <c r="F25" s="684"/>
      <c r="G25" s="686"/>
      <c r="H25" s="684"/>
      <c r="I25" s="686"/>
      <c r="J25" s="684"/>
      <c r="K25" s="686"/>
      <c r="L25" s="684"/>
      <c r="M25" s="686"/>
      <c r="N25" s="684"/>
      <c r="O25" s="686"/>
      <c r="P25" s="684"/>
      <c r="Q25" s="686"/>
      <c r="R25" s="684"/>
      <c r="S25" s="686">
        <f ca="1">SUM(F25:R25)-INDEX('720'!$B$14:$I$57,MATCH('725'!B25,'720'!$B$14:$B$57,0),8)</f>
        <v>0</v>
      </c>
      <c r="Y25" s="1461" t="s">
        <v>2260</v>
      </c>
    </row>
    <row r="26" spans="1:25" x14ac:dyDescent="0.2">
      <c r="A26" s="192" t="str">
        <f t="shared" si="0"/>
        <v>01</v>
      </c>
      <c r="B26" s="192" t="s">
        <v>2351</v>
      </c>
      <c r="C26" s="683"/>
      <c r="D26" s="191" t="s">
        <v>2228</v>
      </c>
      <c r="F26" s="684"/>
      <c r="G26" s="686"/>
      <c r="H26" s="684"/>
      <c r="I26" s="686"/>
      <c r="J26" s="684"/>
      <c r="K26" s="686"/>
      <c r="L26" s="684"/>
      <c r="M26" s="686"/>
      <c r="N26" s="684"/>
      <c r="O26" s="686"/>
      <c r="P26" s="684"/>
      <c r="Q26" s="686"/>
      <c r="R26" s="684"/>
      <c r="S26" s="686">
        <f ca="1">SUM(F26:R26)-INDEX('720'!$B$14:$I$57,MATCH('725'!B26,'720'!$B$14:$B$57,0),8)</f>
        <v>0</v>
      </c>
      <c r="Y26" s="1461" t="s">
        <v>2228</v>
      </c>
    </row>
    <row r="27" spans="1:25" x14ac:dyDescent="0.2">
      <c r="A27" s="192" t="str">
        <f t="shared" si="0"/>
        <v>01</v>
      </c>
      <c r="B27" s="192" t="s">
        <v>2352</v>
      </c>
      <c r="C27" s="683"/>
      <c r="D27" s="191" t="s">
        <v>2230</v>
      </c>
      <c r="F27" s="684"/>
      <c r="G27" s="686"/>
      <c r="H27" s="684"/>
      <c r="I27" s="686"/>
      <c r="J27" s="684"/>
      <c r="K27" s="686"/>
      <c r="L27" s="684"/>
      <c r="M27" s="686"/>
      <c r="N27" s="684"/>
      <c r="O27" s="686"/>
      <c r="P27" s="684"/>
      <c r="Q27" s="686"/>
      <c r="R27" s="684"/>
      <c r="S27" s="686">
        <f ca="1">SUM(F27:R27)-INDEX('720'!$B$14:$I$57,MATCH('725'!B27,'720'!$B$14:$B$57,0),8)</f>
        <v>0</v>
      </c>
      <c r="Y27" s="1461" t="s">
        <v>2230</v>
      </c>
    </row>
    <row r="28" spans="1:25" x14ac:dyDescent="0.2">
      <c r="A28" s="192" t="str">
        <f t="shared" si="0"/>
        <v>01</v>
      </c>
      <c r="B28" s="192" t="s">
        <v>2353</v>
      </c>
      <c r="C28" s="683"/>
      <c r="D28" s="191" t="s">
        <v>2232</v>
      </c>
      <c r="F28" s="684"/>
      <c r="G28" s="686"/>
      <c r="H28" s="684"/>
      <c r="I28" s="686"/>
      <c r="J28" s="684"/>
      <c r="K28" s="686"/>
      <c r="L28" s="684"/>
      <c r="M28" s="686"/>
      <c r="N28" s="684"/>
      <c r="O28" s="686"/>
      <c r="P28" s="684"/>
      <c r="Q28" s="686"/>
      <c r="R28" s="684"/>
      <c r="S28" s="686">
        <f ca="1">SUM(F28:R28)-INDEX('720'!$B$14:$I$57,MATCH('725'!B28,'720'!$B$14:$B$57,0),8)</f>
        <v>0</v>
      </c>
      <c r="Y28" s="1461" t="s">
        <v>2232</v>
      </c>
    </row>
    <row r="29" spans="1:25" x14ac:dyDescent="0.2">
      <c r="A29" s="192" t="str">
        <f t="shared" si="0"/>
        <v>01</v>
      </c>
      <c r="B29" s="192" t="s">
        <v>2354</v>
      </c>
      <c r="C29" s="683"/>
      <c r="D29" s="191" t="s">
        <v>2397</v>
      </c>
      <c r="E29" s="815" t="s">
        <v>2239</v>
      </c>
      <c r="F29" s="684"/>
      <c r="G29" s="686"/>
      <c r="H29" s="684"/>
      <c r="I29" s="686"/>
      <c r="J29" s="684"/>
      <c r="K29" s="686"/>
      <c r="L29" s="684"/>
      <c r="M29" s="686"/>
      <c r="N29" s="684"/>
      <c r="O29" s="686"/>
      <c r="P29" s="684"/>
      <c r="Q29" s="686"/>
      <c r="R29" s="684"/>
      <c r="S29" s="686">
        <f ca="1">SUM(F29:R29)-INDEX('720'!$B$14:$I$57,MATCH('725'!B29,'720'!$B$14:$B$57,0),8)</f>
        <v>0</v>
      </c>
      <c r="Y29" s="1461" t="str">
        <f>E29</f>
        <v>Select Other Investment (Click here)</v>
      </c>
    </row>
    <row r="30" spans="1:25" x14ac:dyDescent="0.2">
      <c r="A30" s="192" t="str">
        <f t="shared" si="0"/>
        <v>01</v>
      </c>
      <c r="B30" s="192" t="s">
        <v>2355</v>
      </c>
      <c r="C30" s="683"/>
      <c r="D30" s="191" t="s">
        <v>2398</v>
      </c>
      <c r="E30" s="815" t="s">
        <v>2239</v>
      </c>
      <c r="F30" s="807"/>
      <c r="G30" s="686"/>
      <c r="H30" s="685"/>
      <c r="I30" s="686"/>
      <c r="J30" s="685"/>
      <c r="K30" s="686"/>
      <c r="L30" s="685"/>
      <c r="M30" s="686"/>
      <c r="N30" s="685"/>
      <c r="O30" s="686"/>
      <c r="P30" s="685"/>
      <c r="Q30" s="686"/>
      <c r="R30" s="684"/>
      <c r="S30" s="686">
        <f ca="1">SUM(F30:R30)-INDEX('720'!$B$14:$I$57,MATCH('725'!B30,'720'!$B$14:$B$57,0),8)</f>
        <v>0</v>
      </c>
      <c r="Y30" s="1461" t="str">
        <f>E30</f>
        <v>Select Other Investment (Click here)</v>
      </c>
    </row>
    <row r="31" spans="1:25" ht="12" thickBot="1" x14ac:dyDescent="0.25">
      <c r="A31" s="192" t="str">
        <f t="shared" si="0"/>
        <v>01</v>
      </c>
      <c r="B31" s="192" t="s">
        <v>2356</v>
      </c>
      <c r="C31" s="683"/>
      <c r="D31" s="193" t="s">
        <v>955</v>
      </c>
      <c r="F31" s="687">
        <f>SUM(F14:F30)</f>
        <v>0</v>
      </c>
      <c r="G31" s="686"/>
      <c r="H31" s="687">
        <f>SUM(H14:H30)</f>
        <v>0</v>
      </c>
      <c r="I31" s="686"/>
      <c r="J31" s="687">
        <f>SUM(J14:J30)</f>
        <v>0</v>
      </c>
      <c r="K31" s="686"/>
      <c r="L31" s="687">
        <f>SUM(L14:L30)</f>
        <v>0</v>
      </c>
      <c r="M31" s="686"/>
      <c r="N31" s="687">
        <f>SUM(N14:N30)</f>
        <v>0</v>
      </c>
      <c r="O31" s="686"/>
      <c r="P31" s="687">
        <f>SUM(P14:P30)</f>
        <v>0</v>
      </c>
      <c r="Q31" s="686"/>
      <c r="R31" s="687">
        <f>SUM(R14:R30)</f>
        <v>0</v>
      </c>
      <c r="S31" s="687">
        <f ca="1">SUM(S14:S30)</f>
        <v>0</v>
      </c>
    </row>
    <row r="32" spans="1:25" ht="12.75" thickTop="1" x14ac:dyDescent="0.2">
      <c r="A32" s="192" t="str">
        <f t="shared" si="0"/>
        <v>01</v>
      </c>
      <c r="C32" s="688"/>
      <c r="D32" s="187"/>
      <c r="E32" s="187"/>
      <c r="F32" s="686"/>
      <c r="G32" s="686"/>
      <c r="H32" s="686"/>
      <c r="I32" s="686"/>
      <c r="J32" s="686"/>
      <c r="K32" s="686"/>
      <c r="L32" s="686"/>
      <c r="M32" s="686"/>
      <c r="N32" s="686"/>
      <c r="O32" s="686"/>
      <c r="P32" s="686"/>
      <c r="Q32" s="686"/>
      <c r="R32" s="686"/>
      <c r="S32" s="690" t="str">
        <f ca="1">IF(S31=0,"Ok","Out with 720")</f>
        <v>Ok</v>
      </c>
    </row>
    <row r="33" spans="1:20" ht="9" customHeight="1" x14ac:dyDescent="0.2">
      <c r="A33" s="192" t="str">
        <f t="shared" si="0"/>
        <v>01</v>
      </c>
      <c r="C33" s="203"/>
    </row>
    <row r="34" spans="1:20" ht="9" customHeight="1" x14ac:dyDescent="0.2">
      <c r="A34" s="192" t="str">
        <f t="shared" ref="A34:A59" si="1">AgyIdx</f>
        <v>01</v>
      </c>
      <c r="C34" s="210" t="s">
        <v>2399</v>
      </c>
      <c r="F34" s="202"/>
      <c r="H34" s="202"/>
      <c r="J34" s="202"/>
      <c r="L34" s="202"/>
      <c r="N34" s="202"/>
      <c r="P34" s="202"/>
      <c r="R34" s="202"/>
      <c r="S34" s="202"/>
      <c r="T34" s="202"/>
    </row>
    <row r="35" spans="1:20" ht="9" customHeight="1" x14ac:dyDescent="0.2">
      <c r="A35" s="192" t="str">
        <f t="shared" si="1"/>
        <v>01</v>
      </c>
      <c r="D35" s="2370" t="s">
        <v>2400</v>
      </c>
    </row>
    <row r="36" spans="1:20" x14ac:dyDescent="0.2">
      <c r="A36" s="192" t="str">
        <f t="shared" si="1"/>
        <v>01</v>
      </c>
      <c r="D36" s="2370" t="s">
        <v>2401</v>
      </c>
    </row>
    <row r="37" spans="1:20" x14ac:dyDescent="0.2">
      <c r="A37" s="192" t="str">
        <f t="shared" si="1"/>
        <v>01</v>
      </c>
      <c r="H37" s="2354" t="s">
        <v>339</v>
      </c>
      <c r="J37" s="2359"/>
      <c r="L37" s="2354" t="s">
        <v>340</v>
      </c>
      <c r="N37" s="2359"/>
      <c r="P37" s="2354" t="s">
        <v>2402</v>
      </c>
      <c r="R37" s="344"/>
      <c r="S37" s="393"/>
      <c r="T37" s="393"/>
    </row>
    <row r="38" spans="1:20" x14ac:dyDescent="0.2">
      <c r="A38" s="192" t="str">
        <f t="shared" si="1"/>
        <v>01</v>
      </c>
      <c r="L38" s="2354"/>
      <c r="P38" s="2354"/>
    </row>
    <row r="39" spans="1:20" x14ac:dyDescent="0.2">
      <c r="A39" s="192" t="str">
        <f t="shared" si="1"/>
        <v>01</v>
      </c>
      <c r="C39" s="191" t="s">
        <v>2403</v>
      </c>
      <c r="L39" s="2354"/>
      <c r="P39" s="2354"/>
    </row>
    <row r="40" spans="1:20" x14ac:dyDescent="0.2">
      <c r="A40" s="192" t="str">
        <f t="shared" si="1"/>
        <v>01</v>
      </c>
      <c r="L40" s="192" t="s">
        <v>1399</v>
      </c>
      <c r="M40" s="192"/>
      <c r="N40" s="192"/>
      <c r="O40" s="192"/>
      <c r="R40" s="192" t="s">
        <v>1696</v>
      </c>
      <c r="S40" s="192"/>
      <c r="T40" s="192"/>
    </row>
    <row r="41" spans="1:20" x14ac:dyDescent="0.2">
      <c r="A41" s="192" t="str">
        <f t="shared" si="1"/>
        <v>01</v>
      </c>
      <c r="C41" s="2921" t="s">
        <v>2330</v>
      </c>
      <c r="D41" s="2921"/>
      <c r="E41" s="2921"/>
      <c r="F41" s="2921"/>
      <c r="G41" s="2921"/>
      <c r="H41" s="2921"/>
      <c r="I41" s="192"/>
      <c r="J41" s="2355" t="s">
        <v>1341</v>
      </c>
      <c r="K41" s="192"/>
      <c r="L41" s="2355" t="s">
        <v>2389</v>
      </c>
      <c r="M41" s="192"/>
      <c r="N41" s="2916" t="s">
        <v>2404</v>
      </c>
      <c r="O41" s="2916"/>
      <c r="P41" s="2916"/>
      <c r="R41" s="2355" t="s">
        <v>2389</v>
      </c>
      <c r="S41" s="192"/>
      <c r="T41" s="192"/>
    </row>
    <row r="42" spans="1:20" x14ac:dyDescent="0.2">
      <c r="A42" s="192" t="str">
        <f t="shared" si="1"/>
        <v>01</v>
      </c>
      <c r="D42" s="2918"/>
      <c r="E42" s="2918"/>
      <c r="F42" s="2918"/>
      <c r="G42" s="2918"/>
      <c r="H42" s="2918"/>
      <c r="I42" s="2370"/>
      <c r="J42" s="342"/>
      <c r="K42" s="2370"/>
      <c r="L42" s="2357"/>
      <c r="M42" s="192"/>
      <c r="N42" s="2918"/>
      <c r="O42" s="2918"/>
      <c r="P42" s="2918"/>
      <c r="R42" s="345"/>
      <c r="S42" s="345"/>
      <c r="T42" s="345"/>
    </row>
    <row r="43" spans="1:20" x14ac:dyDescent="0.2">
      <c r="A43" s="192" t="str">
        <f t="shared" si="1"/>
        <v>01</v>
      </c>
      <c r="D43" s="2918"/>
      <c r="E43" s="2918"/>
      <c r="F43" s="2918"/>
      <c r="G43" s="2918"/>
      <c r="H43" s="2918"/>
      <c r="I43" s="2370"/>
      <c r="J43" s="342"/>
      <c r="K43" s="2370"/>
      <c r="L43" s="2357"/>
      <c r="M43" s="192"/>
      <c r="N43" s="2918"/>
      <c r="O43" s="2918"/>
      <c r="P43" s="2918"/>
      <c r="R43" s="2357"/>
      <c r="S43" s="345"/>
      <c r="T43" s="345"/>
    </row>
    <row r="44" spans="1:20" ht="12.75" x14ac:dyDescent="0.2">
      <c r="A44" s="192" t="str">
        <f t="shared" si="1"/>
        <v>01</v>
      </c>
      <c r="C44" s="204"/>
      <c r="D44" s="203"/>
      <c r="E44"/>
      <c r="F44"/>
      <c r="G44"/>
      <c r="H44"/>
      <c r="I44"/>
      <c r="J44"/>
      <c r="K44"/>
      <c r="L44"/>
      <c r="M44"/>
      <c r="N44"/>
      <c r="O44"/>
      <c r="P44"/>
      <c r="Q44"/>
      <c r="R44"/>
      <c r="S44"/>
      <c r="T44"/>
    </row>
    <row r="45" spans="1:20" x14ac:dyDescent="0.2">
      <c r="A45" s="192" t="str">
        <f t="shared" si="1"/>
        <v>01</v>
      </c>
      <c r="C45" s="203"/>
      <c r="D45" s="203"/>
    </row>
    <row r="46" spans="1:20" x14ac:dyDescent="0.2">
      <c r="A46" s="192" t="str">
        <f t="shared" si="1"/>
        <v>01</v>
      </c>
    </row>
    <row r="47" spans="1:20" x14ac:dyDescent="0.2">
      <c r="A47" s="192" t="str">
        <f t="shared" si="1"/>
        <v>01</v>
      </c>
    </row>
    <row r="48" spans="1:20" x14ac:dyDescent="0.2">
      <c r="A48" s="192" t="str">
        <f t="shared" si="1"/>
        <v>01</v>
      </c>
    </row>
    <row r="49" spans="1:1" x14ac:dyDescent="0.2">
      <c r="A49" s="192" t="str">
        <f t="shared" si="1"/>
        <v>01</v>
      </c>
    </row>
    <row r="50" spans="1:1" x14ac:dyDescent="0.2">
      <c r="A50" s="192" t="str">
        <f t="shared" si="1"/>
        <v>01</v>
      </c>
    </row>
    <row r="51" spans="1:1" x14ac:dyDescent="0.2">
      <c r="A51" s="192" t="str">
        <f t="shared" si="1"/>
        <v>01</v>
      </c>
    </row>
    <row r="52" spans="1:1" x14ac:dyDescent="0.2">
      <c r="A52" s="192" t="str">
        <f t="shared" si="1"/>
        <v>01</v>
      </c>
    </row>
    <row r="53" spans="1:1" x14ac:dyDescent="0.2">
      <c r="A53" s="192" t="str">
        <f t="shared" si="1"/>
        <v>01</v>
      </c>
    </row>
    <row r="54" spans="1:1" x14ac:dyDescent="0.2">
      <c r="A54" s="192" t="str">
        <f t="shared" si="1"/>
        <v>01</v>
      </c>
    </row>
    <row r="55" spans="1:1" x14ac:dyDescent="0.2">
      <c r="A55" s="192" t="str">
        <f t="shared" si="1"/>
        <v>01</v>
      </c>
    </row>
    <row r="56" spans="1:1" x14ac:dyDescent="0.2">
      <c r="A56" s="192" t="str">
        <f t="shared" si="1"/>
        <v>01</v>
      </c>
    </row>
    <row r="57" spans="1:1" x14ac:dyDescent="0.2">
      <c r="A57" s="192" t="str">
        <f t="shared" si="1"/>
        <v>01</v>
      </c>
    </row>
    <row r="58" spans="1:1" x14ac:dyDescent="0.2">
      <c r="A58" s="192" t="str">
        <f t="shared" si="1"/>
        <v>01</v>
      </c>
    </row>
    <row r="59" spans="1:1" x14ac:dyDescent="0.2">
      <c r="A59" s="192" t="str">
        <f t="shared" si="1"/>
        <v>01</v>
      </c>
    </row>
  </sheetData>
  <sheetProtection algorithmName="SHA-512" hashValue="ruSi6sFQ8FCeQRf11vo47FwGUs4OEZqtlXFqN2cLGrzqiWefNIMU2571rOKO44/A6iPu4Rqh+b1eF7Qf1rsyow==" saltValue="Y8WUrbbf1Skp/rSNSezBxQ==" spinCount="100000" sheet="1" objects="1" scenarios="1" autoFilter="0"/>
  <customSheetViews>
    <customSheetView guid="{9FCFC836-1CA5-48BF-958D-24D2EA94B219}" showGridLines="0" hiddenColumns="1" topLeftCell="C1">
      <selection activeCell="B12" sqref="B12"/>
      <pageMargins left="0" right="0" top="0" bottom="0" header="0" footer="0"/>
      <pageSetup orientation="landscape" horizontalDpi="1200" verticalDpi="1200" r:id="rId1"/>
      <headerFooter>
        <oddFooter>&amp;R&amp;A</oddFooter>
      </headerFooter>
    </customSheetView>
    <customSheetView guid="{B08879A4-635B-4C39-9937-AC7883D562FC}" showGridLines="0" hiddenColumns="1" topLeftCell="C1">
      <selection activeCell="B12" sqref="B12"/>
      <pageMargins left="0" right="0" top="0" bottom="0" header="0" footer="0"/>
      <pageSetup orientation="landscape" horizontalDpi="1200" verticalDpi="1200" r:id="rId2"/>
      <headerFooter>
        <oddFooter>&amp;R&amp;A</oddFooter>
      </headerFooter>
    </customSheetView>
  </customSheetViews>
  <mergeCells count="17">
    <mergeCell ref="D42:H42"/>
    <mergeCell ref="N42:P42"/>
    <mergeCell ref="D43:H43"/>
    <mergeCell ref="N43:P43"/>
    <mergeCell ref="N7:R7"/>
    <mergeCell ref="F8:G8"/>
    <mergeCell ref="N8:R8"/>
    <mergeCell ref="F10:R10"/>
    <mergeCell ref="F11:R11"/>
    <mergeCell ref="C41:H41"/>
    <mergeCell ref="N41:P41"/>
    <mergeCell ref="C1:R1"/>
    <mergeCell ref="C2:R2"/>
    <mergeCell ref="C3:R3"/>
    <mergeCell ref="N6:R6"/>
    <mergeCell ref="D13:E13"/>
    <mergeCell ref="C4:Q4"/>
  </mergeCells>
  <conditionalFormatting sqref="R4:R5">
    <cfRule type="cellIs" dxfId="34" priority="1" stopIfTrue="1" operator="equal">
      <formula>"na"</formula>
    </cfRule>
  </conditionalFormatting>
  <conditionalFormatting sqref="S1:S3">
    <cfRule type="cellIs" dxfId="33" priority="2" stopIfTrue="1" operator="equal">
      <formula>"na"</formula>
    </cfRule>
  </conditionalFormatting>
  <hyperlinks>
    <hyperlink ref="C1:Q1" location="Index!A1" display="Index!A1" xr:uid="{00000000-0004-0000-4100-000000000000}"/>
  </hyperlinks>
  <pageMargins left="0.6" right="0.6" top="0.5" bottom="0.5" header="0.3" footer="0.3"/>
  <pageSetup scale="85"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38E723DF-C51A-4554-B5F7-C93B1402FEDF}">
          <x14:formula1>
            <xm:f>Notes!$X$3:$X$6</xm:f>
          </x14:formula1>
          <xm:sqref>E29:E30</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6"/>
  <dimension ref="A1:S56"/>
  <sheetViews>
    <sheetView showGridLines="0" topLeftCell="B1" zoomScaleNormal="100" workbookViewId="0">
      <selection activeCell="A2" sqref="A2"/>
    </sheetView>
  </sheetViews>
  <sheetFormatPr defaultColWidth="9.42578125" defaultRowHeight="12" x14ac:dyDescent="0.2"/>
  <cols>
    <col min="1" max="1" width="0" style="187" hidden="1" customWidth="1"/>
    <col min="2" max="2" width="2" style="187" customWidth="1"/>
    <col min="3" max="3" width="5.5703125" style="187" customWidth="1"/>
    <col min="4" max="4" width="8.5703125" style="187" customWidth="1"/>
    <col min="5" max="5" width="12.5703125" style="187" customWidth="1"/>
    <col min="6" max="6" width="5.5703125" style="187" customWidth="1"/>
    <col min="7" max="7" width="0.5703125" style="187" customWidth="1"/>
    <col min="8" max="8" width="15.5703125" style="187" customWidth="1"/>
    <col min="9" max="9" width="0.5703125" style="187" customWidth="1"/>
    <col min="10" max="10" width="14.5703125" style="187" customWidth="1"/>
    <col min="11" max="11" width="0.5703125" style="187" customWidth="1"/>
    <col min="12" max="12" width="14.5703125" style="187" customWidth="1"/>
    <col min="13" max="13" width="0.5703125" style="187" customWidth="1"/>
    <col min="14" max="14" width="14.5703125" style="187" customWidth="1"/>
    <col min="15" max="15" width="0.5703125" style="187" customWidth="1"/>
    <col min="16" max="16" width="14.5703125" style="187" customWidth="1"/>
    <col min="17" max="17" width="0.5703125" style="187" customWidth="1"/>
    <col min="18" max="18" width="10.42578125" style="187" customWidth="1"/>
    <col min="19" max="19" width="4.5703125" style="187" customWidth="1"/>
    <col min="20" max="16384" width="9.42578125" style="187"/>
  </cols>
  <sheetData>
    <row r="1" spans="1:19" ht="15.75" x14ac:dyDescent="0.25">
      <c r="A1" s="187" t="str">
        <f t="shared" ref="A1:A32" si="0">AgyIdx</f>
        <v>01</v>
      </c>
      <c r="B1" s="2455" t="str">
        <f>+Index!$A$1</f>
        <v xml:space="preserve">                                                               Office of the State Controller                                                                </v>
      </c>
      <c r="C1" s="2455"/>
      <c r="D1" s="2455"/>
      <c r="E1" s="2455"/>
      <c r="F1" s="2455"/>
      <c r="G1" s="2455"/>
      <c r="H1" s="2455"/>
      <c r="I1" s="2455"/>
      <c r="J1" s="2455"/>
      <c r="K1" s="2455"/>
      <c r="L1" s="2455"/>
      <c r="M1" s="2455"/>
      <c r="N1" s="2455"/>
      <c r="O1" s="2455"/>
      <c r="P1" s="2455"/>
      <c r="Q1" s="2455"/>
      <c r="R1" s="2455"/>
      <c r="S1" s="2520" t="str">
        <f>IF(Index!$B$95="na","NA","")</f>
        <v/>
      </c>
    </row>
    <row r="2" spans="1:19" ht="15.75" x14ac:dyDescent="0.25">
      <c r="A2" s="187" t="str">
        <f t="shared" si="0"/>
        <v>01</v>
      </c>
      <c r="B2" s="2439" t="str">
        <f>+Index!$A$2</f>
        <v>2023 ACFR Worksheets</v>
      </c>
      <c r="C2" s="2439"/>
      <c r="D2" s="2439"/>
      <c r="E2" s="2439"/>
      <c r="F2" s="2439"/>
      <c r="G2" s="2439"/>
      <c r="H2" s="2439"/>
      <c r="I2" s="2439"/>
      <c r="J2" s="2439"/>
      <c r="K2" s="2439"/>
      <c r="L2" s="2439"/>
      <c r="M2" s="2439"/>
      <c r="N2" s="2439"/>
      <c r="O2" s="2439"/>
      <c r="P2" s="2439"/>
      <c r="Q2" s="2439"/>
      <c r="R2" s="2439"/>
      <c r="S2" s="2520"/>
    </row>
    <row r="3" spans="1:19" ht="15.75" x14ac:dyDescent="0.25">
      <c r="A3" s="187" t="str">
        <f t="shared" si="0"/>
        <v>01</v>
      </c>
      <c r="B3" s="2439" t="s">
        <v>2194</v>
      </c>
      <c r="C3" s="2439"/>
      <c r="D3" s="2439"/>
      <c r="E3" s="2439"/>
      <c r="F3" s="2439"/>
      <c r="G3" s="2439"/>
      <c r="H3" s="2439"/>
      <c r="I3" s="2439"/>
      <c r="J3" s="2439"/>
      <c r="K3" s="2439"/>
      <c r="L3" s="2439"/>
      <c r="M3" s="2439"/>
      <c r="N3" s="2439"/>
      <c r="O3" s="2439"/>
      <c r="P3" s="2439"/>
      <c r="Q3" s="2439"/>
      <c r="R3" s="2439"/>
      <c r="S3" s="2520"/>
    </row>
    <row r="4" spans="1:19" ht="15.75" x14ac:dyDescent="0.25">
      <c r="A4" s="187" t="str">
        <f t="shared" si="0"/>
        <v>01</v>
      </c>
      <c r="B4" s="2439" t="s">
        <v>2405</v>
      </c>
      <c r="C4" s="2439"/>
      <c r="D4" s="2439"/>
      <c r="E4" s="2439"/>
      <c r="F4" s="2439"/>
      <c r="G4" s="2439"/>
      <c r="H4" s="2439"/>
      <c r="I4" s="2439"/>
      <c r="J4" s="2439"/>
      <c r="K4" s="2439"/>
      <c r="L4" s="2439"/>
      <c r="M4" s="2439"/>
      <c r="N4" s="2439"/>
      <c r="O4" s="2439"/>
      <c r="P4" s="2439"/>
      <c r="Q4" s="2439"/>
      <c r="R4" s="2439"/>
    </row>
    <row r="5" spans="1:19" ht="15" customHeight="1" x14ac:dyDescent="0.2">
      <c r="A5" s="187" t="str">
        <f t="shared" si="0"/>
        <v>01</v>
      </c>
      <c r="L5" s="257"/>
    </row>
    <row r="6" spans="1:19" ht="15" customHeight="1" x14ac:dyDescent="0.2">
      <c r="A6" s="187" t="str">
        <f t="shared" si="0"/>
        <v>01</v>
      </c>
      <c r="B6" s="443" t="s">
        <v>317</v>
      </c>
      <c r="E6" s="2911" t="str">
        <f>+Index!$E$10</f>
        <v>01</v>
      </c>
      <c r="F6" s="2911"/>
      <c r="J6" s="5" t="s">
        <v>318</v>
      </c>
      <c r="L6" s="2911" t="str">
        <f>+Index!$E$11</f>
        <v>North Carolina General Assembly</v>
      </c>
      <c r="M6" s="2911"/>
      <c r="N6" s="2911"/>
      <c r="O6" s="2911"/>
      <c r="P6" s="2911"/>
      <c r="Q6" s="2911"/>
      <c r="R6" s="2911"/>
    </row>
    <row r="7" spans="1:19" ht="15" customHeight="1" x14ac:dyDescent="0.2">
      <c r="A7" s="187" t="str">
        <f t="shared" si="0"/>
        <v>01</v>
      </c>
      <c r="J7" s="5" t="s">
        <v>319</v>
      </c>
      <c r="L7" s="2871" t="str">
        <f>CONCATENATE(Index!$E$12," ",Index!$E$14)</f>
        <v xml:space="preserve"> </v>
      </c>
      <c r="M7" s="2871"/>
      <c r="N7" s="2871"/>
      <c r="O7" s="2871"/>
      <c r="P7" s="2871"/>
      <c r="Q7" s="2871"/>
      <c r="R7" s="2871"/>
    </row>
    <row r="8" spans="1:19" ht="15" customHeight="1" x14ac:dyDescent="0.2">
      <c r="A8" s="187" t="str">
        <f t="shared" si="0"/>
        <v>01</v>
      </c>
      <c r="B8" s="4" t="s">
        <v>568</v>
      </c>
      <c r="E8" s="2603" t="s">
        <v>754</v>
      </c>
      <c r="F8" s="2603"/>
      <c r="J8" s="5" t="s">
        <v>71</v>
      </c>
      <c r="L8" s="2871">
        <f>+Index!$E$13</f>
        <v>0</v>
      </c>
      <c r="M8" s="2871"/>
      <c r="N8" s="2871"/>
      <c r="O8" s="2871"/>
      <c r="P8" s="2871"/>
      <c r="Q8" s="2871"/>
      <c r="R8" s="2871"/>
    </row>
    <row r="9" spans="1:19" ht="15" customHeight="1" thickBot="1" x14ac:dyDescent="0.25">
      <c r="A9" s="187" t="str">
        <f t="shared" si="0"/>
        <v>01</v>
      </c>
      <c r="B9" s="188"/>
      <c r="C9" s="188"/>
      <c r="D9" s="188"/>
      <c r="E9" s="189"/>
      <c r="F9" s="189"/>
      <c r="G9" s="189"/>
      <c r="H9" s="189"/>
      <c r="I9" s="189"/>
      <c r="J9" s="190"/>
      <c r="K9" s="189"/>
      <c r="L9" s="189"/>
      <c r="M9" s="189"/>
      <c r="N9" s="189"/>
      <c r="O9" s="189"/>
      <c r="P9" s="189"/>
      <c r="Q9" s="189"/>
      <c r="R9" s="189"/>
    </row>
    <row r="10" spans="1:19" ht="15" customHeight="1" x14ac:dyDescent="0.2">
      <c r="A10" s="187" t="str">
        <f t="shared" si="0"/>
        <v>01</v>
      </c>
    </row>
    <row r="11" spans="1:19" ht="12" customHeight="1" x14ac:dyDescent="0.2">
      <c r="A11" s="187" t="str">
        <f t="shared" si="0"/>
        <v>01</v>
      </c>
      <c r="B11" s="187" t="s">
        <v>2406</v>
      </c>
    </row>
    <row r="12" spans="1:19" ht="12" customHeight="1" x14ac:dyDescent="0.2">
      <c r="A12" s="187" t="str">
        <f t="shared" si="0"/>
        <v>01</v>
      </c>
      <c r="B12" s="187" t="s">
        <v>2407</v>
      </c>
      <c r="C12" s="205"/>
      <c r="E12" s="205"/>
      <c r="J12" s="205"/>
      <c r="L12" s="426"/>
      <c r="N12" s="205"/>
      <c r="P12" s="426"/>
    </row>
    <row r="13" spans="1:19" ht="10.35" customHeight="1" x14ac:dyDescent="0.2">
      <c r="A13" s="187" t="str">
        <f t="shared" si="0"/>
        <v>01</v>
      </c>
      <c r="C13" s="205"/>
      <c r="E13" s="205"/>
      <c r="J13" s="205"/>
      <c r="L13" s="206"/>
      <c r="N13" s="205"/>
      <c r="P13" s="206"/>
    </row>
    <row r="14" spans="1:19" ht="12" customHeight="1" x14ac:dyDescent="0.2">
      <c r="A14" s="187" t="str">
        <f t="shared" si="0"/>
        <v>01</v>
      </c>
    </row>
    <row r="15" spans="1:19" ht="8.1" customHeight="1" x14ac:dyDescent="0.2">
      <c r="A15" s="187" t="str">
        <f t="shared" si="0"/>
        <v>01</v>
      </c>
    </row>
    <row r="16" spans="1:19" ht="11.85" customHeight="1" x14ac:dyDescent="0.2">
      <c r="A16" s="187" t="str">
        <f t="shared" si="0"/>
        <v>01</v>
      </c>
      <c r="C16" s="191"/>
      <c r="D16" s="191"/>
      <c r="E16" s="191"/>
      <c r="F16" s="191"/>
      <c r="G16" s="191"/>
      <c r="H16" s="191"/>
      <c r="I16" s="191"/>
      <c r="J16" s="2916" t="s">
        <v>2329</v>
      </c>
      <c r="K16" s="2916"/>
      <c r="L16" s="2916"/>
      <c r="M16" s="2916"/>
      <c r="N16" s="2916"/>
      <c r="O16" s="2916"/>
      <c r="P16" s="2916"/>
      <c r="Q16" s="191"/>
      <c r="R16" s="192"/>
    </row>
    <row r="17" spans="1:18" ht="12.75" customHeight="1" x14ac:dyDescent="0.2">
      <c r="A17" s="187" t="str">
        <f t="shared" si="0"/>
        <v>01</v>
      </c>
      <c r="B17" s="2916" t="s">
        <v>2408</v>
      </c>
      <c r="C17" s="2916"/>
      <c r="D17" s="2916"/>
      <c r="E17" s="2916"/>
      <c r="F17" s="2916"/>
      <c r="G17" s="191"/>
      <c r="H17" s="2355" t="s">
        <v>2196</v>
      </c>
      <c r="I17" s="192"/>
      <c r="J17" s="2355" t="s">
        <v>2331</v>
      </c>
      <c r="K17" s="192"/>
      <c r="L17" s="2355" t="s">
        <v>2332</v>
      </c>
      <c r="M17" s="192"/>
      <c r="N17" s="2355" t="s">
        <v>2333</v>
      </c>
      <c r="O17" s="192"/>
      <c r="P17" s="2355" t="s">
        <v>2334</v>
      </c>
      <c r="Q17" s="191"/>
      <c r="R17" s="2355" t="s">
        <v>2409</v>
      </c>
    </row>
    <row r="18" spans="1:18" ht="10.35" customHeight="1" x14ac:dyDescent="0.2">
      <c r="A18" s="187" t="str">
        <f t="shared" si="0"/>
        <v>01</v>
      </c>
      <c r="B18" s="191"/>
      <c r="C18" s="191"/>
      <c r="D18" s="191"/>
      <c r="E18" s="191"/>
      <c r="F18" s="191"/>
      <c r="G18" s="191"/>
      <c r="H18" s="191"/>
      <c r="I18" s="191"/>
      <c r="J18" s="191"/>
      <c r="K18" s="191"/>
      <c r="L18" s="191"/>
      <c r="M18" s="191"/>
      <c r="N18" s="191"/>
      <c r="O18" s="191"/>
      <c r="P18" s="191"/>
      <c r="Q18" s="191"/>
      <c r="R18" s="192"/>
    </row>
    <row r="19" spans="1:18" ht="12" customHeight="1" x14ac:dyDescent="0.2">
      <c r="A19" s="187" t="str">
        <f t="shared" si="0"/>
        <v>01</v>
      </c>
      <c r="B19" s="2370" t="s">
        <v>2410</v>
      </c>
      <c r="C19" s="191"/>
      <c r="D19" s="191"/>
      <c r="E19" s="191"/>
      <c r="F19" s="191"/>
      <c r="G19" s="191"/>
      <c r="H19" s="191"/>
      <c r="I19" s="191"/>
      <c r="J19" s="191"/>
      <c r="K19" s="191"/>
      <c r="L19" s="191"/>
      <c r="M19" s="191"/>
      <c r="N19" s="191"/>
      <c r="O19" s="191"/>
      <c r="P19" s="191"/>
      <c r="Q19" s="191"/>
      <c r="R19" s="192"/>
    </row>
    <row r="20" spans="1:18" ht="13.35" customHeight="1" x14ac:dyDescent="0.2">
      <c r="A20" s="187" t="str">
        <f t="shared" si="0"/>
        <v>01</v>
      </c>
      <c r="B20" s="193"/>
      <c r="C20" s="2923"/>
      <c r="D20" s="2923"/>
      <c r="E20" s="2923"/>
      <c r="F20" s="2923"/>
      <c r="G20" s="191"/>
      <c r="H20" s="191"/>
      <c r="I20" s="191"/>
      <c r="J20" s="191"/>
      <c r="K20" s="191"/>
      <c r="L20" s="191"/>
      <c r="M20" s="191"/>
      <c r="N20" s="191"/>
      <c r="O20" s="191"/>
      <c r="P20" s="191"/>
      <c r="Q20" s="191"/>
      <c r="R20" s="192"/>
    </row>
    <row r="21" spans="1:18" ht="6" customHeight="1" x14ac:dyDescent="0.2">
      <c r="A21" s="187" t="str">
        <f t="shared" si="0"/>
        <v>01</v>
      </c>
      <c r="B21" s="193"/>
      <c r="C21" s="191"/>
      <c r="D21" s="191"/>
      <c r="E21" s="191"/>
      <c r="F21" s="191"/>
      <c r="G21" s="191"/>
      <c r="H21" s="191"/>
      <c r="I21" s="191"/>
      <c r="J21" s="191"/>
      <c r="K21" s="191"/>
      <c r="L21" s="191"/>
      <c r="M21" s="191"/>
      <c r="N21" s="191"/>
      <c r="O21" s="191"/>
      <c r="P21" s="191"/>
      <c r="Q21" s="191"/>
      <c r="R21" s="192"/>
    </row>
    <row r="22" spans="1:18" ht="12" customHeight="1" x14ac:dyDescent="0.2">
      <c r="A22" s="187" t="str">
        <f t="shared" si="0"/>
        <v>01</v>
      </c>
      <c r="C22" s="2370" t="s">
        <v>2411</v>
      </c>
      <c r="D22" s="191"/>
      <c r="E22" s="191"/>
      <c r="F22" s="191"/>
      <c r="G22" s="191"/>
      <c r="H22" s="191"/>
      <c r="I22" s="191"/>
      <c r="J22" s="191"/>
      <c r="K22" s="191"/>
      <c r="L22" s="191"/>
      <c r="M22" s="191"/>
      <c r="N22" s="191"/>
      <c r="O22" s="191"/>
      <c r="P22" s="191"/>
      <c r="Q22" s="191"/>
      <c r="R22" s="192"/>
    </row>
    <row r="23" spans="1:18" ht="13.35" customHeight="1" x14ac:dyDescent="0.2">
      <c r="A23" s="187" t="str">
        <f t="shared" si="0"/>
        <v>01</v>
      </c>
      <c r="B23" s="193"/>
      <c r="C23" s="2923"/>
      <c r="D23" s="2923"/>
      <c r="E23" s="2923"/>
      <c r="F23" s="2923"/>
      <c r="G23" s="191"/>
      <c r="H23" s="342"/>
      <c r="I23" s="191"/>
      <c r="J23" s="342"/>
      <c r="K23" s="191"/>
      <c r="L23" s="342"/>
      <c r="M23" s="191"/>
      <c r="N23" s="342"/>
      <c r="O23" s="191"/>
      <c r="P23" s="342"/>
      <c r="Q23" s="191"/>
      <c r="R23" s="2359"/>
    </row>
    <row r="24" spans="1:18" ht="13.35" customHeight="1" x14ac:dyDescent="0.2">
      <c r="A24" s="187" t="str">
        <f t="shared" si="0"/>
        <v>01</v>
      </c>
      <c r="B24" s="191"/>
      <c r="C24" s="2922"/>
      <c r="D24" s="2922"/>
      <c r="E24" s="2922"/>
      <c r="F24" s="2922"/>
      <c r="G24" s="191"/>
      <c r="H24" s="342"/>
      <c r="I24" s="191"/>
      <c r="J24" s="342"/>
      <c r="K24" s="191"/>
      <c r="L24" s="342"/>
      <c r="M24" s="191"/>
      <c r="N24" s="342"/>
      <c r="O24" s="191"/>
      <c r="P24" s="342"/>
      <c r="Q24" s="191"/>
      <c r="R24" s="2357"/>
    </row>
    <row r="25" spans="1:18" ht="12" customHeight="1" x14ac:dyDescent="0.2">
      <c r="A25" s="187" t="str">
        <f t="shared" si="0"/>
        <v>01</v>
      </c>
      <c r="B25" s="191"/>
      <c r="C25" s="191"/>
      <c r="D25" s="191"/>
      <c r="E25" s="191"/>
      <c r="F25" s="191"/>
      <c r="G25" s="191"/>
      <c r="H25" s="191"/>
      <c r="I25" s="191"/>
      <c r="J25" s="191"/>
      <c r="K25" s="191"/>
      <c r="L25" s="191"/>
      <c r="M25" s="191"/>
      <c r="N25" s="191"/>
      <c r="O25" s="191"/>
      <c r="P25" s="191"/>
      <c r="Q25" s="191"/>
      <c r="R25" s="192"/>
    </row>
    <row r="26" spans="1:18" ht="12" customHeight="1" x14ac:dyDescent="0.2">
      <c r="A26" s="187" t="str">
        <f t="shared" si="0"/>
        <v>01</v>
      </c>
      <c r="B26" s="2370" t="s">
        <v>2412</v>
      </c>
      <c r="C26" s="191"/>
      <c r="D26" s="191"/>
      <c r="E26" s="191"/>
      <c r="F26" s="191"/>
      <c r="G26" s="191"/>
      <c r="H26" s="191"/>
      <c r="I26" s="191"/>
      <c r="J26" s="191"/>
      <c r="K26" s="191"/>
      <c r="L26" s="191"/>
      <c r="M26" s="191"/>
      <c r="N26" s="191"/>
      <c r="O26" s="191"/>
      <c r="P26" s="191"/>
      <c r="Q26" s="191"/>
      <c r="R26" s="192"/>
    </row>
    <row r="27" spans="1:18" ht="13.35" customHeight="1" x14ac:dyDescent="0.2">
      <c r="A27" s="187" t="str">
        <f t="shared" si="0"/>
        <v>01</v>
      </c>
      <c r="B27" s="191"/>
      <c r="C27" s="2923"/>
      <c r="D27" s="2923"/>
      <c r="E27" s="2923"/>
      <c r="F27" s="2923"/>
      <c r="G27" s="191"/>
      <c r="H27" s="191"/>
      <c r="I27" s="191"/>
      <c r="J27" s="191"/>
      <c r="K27" s="191"/>
      <c r="L27" s="191"/>
      <c r="M27" s="191"/>
      <c r="N27" s="191"/>
      <c r="O27" s="191"/>
      <c r="P27" s="191"/>
      <c r="Q27" s="191"/>
      <c r="R27" s="192"/>
    </row>
    <row r="28" spans="1:18" ht="6" customHeight="1" x14ac:dyDescent="0.2">
      <c r="A28" s="187" t="str">
        <f t="shared" si="0"/>
        <v>01</v>
      </c>
      <c r="B28" s="191"/>
      <c r="C28" s="191"/>
      <c r="D28" s="191"/>
      <c r="E28" s="191"/>
      <c r="F28" s="191"/>
      <c r="G28" s="191"/>
      <c r="H28" s="191"/>
      <c r="I28" s="191"/>
      <c r="J28" s="191"/>
      <c r="K28" s="191"/>
      <c r="L28" s="191"/>
      <c r="M28" s="191"/>
      <c r="N28" s="191"/>
      <c r="O28" s="191"/>
      <c r="P28" s="191"/>
      <c r="Q28" s="191"/>
      <c r="R28" s="192"/>
    </row>
    <row r="29" spans="1:18" ht="12" customHeight="1" x14ac:dyDescent="0.2">
      <c r="A29" s="187" t="str">
        <f t="shared" si="0"/>
        <v>01</v>
      </c>
      <c r="B29" s="191"/>
      <c r="C29" s="2370" t="s">
        <v>2411</v>
      </c>
      <c r="D29" s="191"/>
      <c r="E29" s="191"/>
      <c r="F29" s="191"/>
      <c r="G29" s="191"/>
      <c r="H29" s="191"/>
      <c r="I29" s="191"/>
      <c r="J29" s="191"/>
      <c r="K29" s="191"/>
      <c r="L29" s="191"/>
      <c r="M29" s="191"/>
      <c r="N29" s="191"/>
      <c r="O29" s="191"/>
      <c r="P29" s="191"/>
      <c r="Q29" s="191"/>
      <c r="R29" s="192"/>
    </row>
    <row r="30" spans="1:18" ht="13.35" customHeight="1" x14ac:dyDescent="0.2">
      <c r="A30" s="187" t="str">
        <f t="shared" si="0"/>
        <v>01</v>
      </c>
      <c r="B30" s="193"/>
      <c r="C30" s="2923"/>
      <c r="D30" s="2923"/>
      <c r="E30" s="2923"/>
      <c r="F30" s="2923"/>
      <c r="G30" s="191"/>
      <c r="H30" s="342"/>
      <c r="I30" s="191"/>
      <c r="J30" s="342"/>
      <c r="K30" s="191"/>
      <c r="L30" s="342"/>
      <c r="M30" s="191"/>
      <c r="N30" s="342"/>
      <c r="O30" s="191"/>
      <c r="P30" s="342"/>
      <c r="Q30" s="191"/>
      <c r="R30" s="2359"/>
    </row>
    <row r="31" spans="1:18" ht="13.35" customHeight="1" x14ac:dyDescent="0.2">
      <c r="A31" s="187" t="str">
        <f t="shared" si="0"/>
        <v>01</v>
      </c>
      <c r="B31" s="191"/>
      <c r="C31" s="2922"/>
      <c r="D31" s="2922"/>
      <c r="E31" s="2922"/>
      <c r="F31" s="2922"/>
      <c r="G31" s="191"/>
      <c r="H31" s="342"/>
      <c r="I31" s="191"/>
      <c r="J31" s="342"/>
      <c r="K31" s="191"/>
      <c r="L31" s="342"/>
      <c r="M31" s="191"/>
      <c r="N31" s="342"/>
      <c r="O31" s="191"/>
      <c r="P31" s="342"/>
      <c r="Q31" s="191"/>
      <c r="R31" s="2359"/>
    </row>
    <row r="32" spans="1:18" ht="12" customHeight="1" x14ac:dyDescent="0.2">
      <c r="A32" s="187" t="str">
        <f t="shared" si="0"/>
        <v>01</v>
      </c>
      <c r="C32" s="191"/>
      <c r="D32" s="191"/>
      <c r="E32" s="191"/>
      <c r="F32" s="191"/>
      <c r="G32" s="191"/>
      <c r="H32" s="191"/>
      <c r="I32" s="191"/>
      <c r="J32" s="191"/>
      <c r="K32" s="191"/>
      <c r="L32" s="191"/>
      <c r="M32" s="191"/>
      <c r="N32" s="191"/>
      <c r="O32" s="191"/>
      <c r="P32" s="191"/>
      <c r="Q32" s="191"/>
      <c r="R32" s="192"/>
    </row>
    <row r="33" spans="1:18" ht="12" customHeight="1" x14ac:dyDescent="0.2">
      <c r="A33" s="187" t="str">
        <f t="shared" ref="A33:A56" si="1">AgyIdx</f>
        <v>01</v>
      </c>
      <c r="B33" s="2370" t="s">
        <v>2413</v>
      </c>
      <c r="C33" s="191"/>
      <c r="D33" s="191"/>
      <c r="E33" s="191"/>
      <c r="F33" s="191"/>
      <c r="G33" s="191"/>
      <c r="H33" s="191"/>
      <c r="I33" s="191"/>
      <c r="J33" s="191"/>
      <c r="K33" s="191"/>
      <c r="L33" s="191"/>
      <c r="M33" s="191"/>
      <c r="N33" s="191"/>
      <c r="O33" s="191"/>
      <c r="P33" s="191"/>
      <c r="Q33" s="191"/>
      <c r="R33" s="192"/>
    </row>
    <row r="34" spans="1:18" ht="13.35" customHeight="1" x14ac:dyDescent="0.2">
      <c r="A34" s="187" t="str">
        <f t="shared" si="1"/>
        <v>01</v>
      </c>
      <c r="B34" s="191"/>
      <c r="C34" s="2923"/>
      <c r="D34" s="2923"/>
      <c r="E34" s="2923"/>
      <c r="F34" s="2923"/>
      <c r="G34" s="191"/>
      <c r="H34" s="191"/>
      <c r="I34" s="191"/>
      <c r="J34" s="191"/>
      <c r="K34" s="191"/>
      <c r="L34" s="191"/>
      <c r="M34" s="191"/>
      <c r="N34" s="191"/>
      <c r="O34" s="191"/>
      <c r="P34" s="191"/>
      <c r="Q34" s="191"/>
      <c r="R34" s="192"/>
    </row>
    <row r="35" spans="1:18" ht="6" customHeight="1" x14ac:dyDescent="0.2">
      <c r="A35" s="187" t="str">
        <f t="shared" si="1"/>
        <v>01</v>
      </c>
      <c r="B35" s="191"/>
      <c r="C35" s="191"/>
      <c r="D35" s="191"/>
      <c r="E35" s="191"/>
      <c r="F35" s="191"/>
      <c r="G35" s="191"/>
      <c r="H35" s="191"/>
      <c r="I35" s="191"/>
      <c r="J35" s="191"/>
      <c r="K35" s="191"/>
      <c r="L35" s="191"/>
      <c r="M35" s="191"/>
      <c r="N35" s="191"/>
      <c r="O35" s="191"/>
      <c r="P35" s="191"/>
      <c r="Q35" s="191"/>
      <c r="R35" s="192"/>
    </row>
    <row r="36" spans="1:18" ht="12" customHeight="1" x14ac:dyDescent="0.2">
      <c r="A36" s="187" t="str">
        <f t="shared" si="1"/>
        <v>01</v>
      </c>
      <c r="B36" s="191"/>
      <c r="C36" s="2370" t="s">
        <v>2411</v>
      </c>
      <c r="D36" s="191"/>
      <c r="E36" s="191"/>
      <c r="F36" s="191"/>
      <c r="G36" s="191"/>
      <c r="H36" s="191"/>
      <c r="I36" s="191"/>
      <c r="J36" s="191"/>
      <c r="K36" s="191"/>
      <c r="L36" s="191"/>
      <c r="M36" s="191"/>
      <c r="N36" s="191"/>
      <c r="O36" s="191"/>
      <c r="P36" s="191"/>
      <c r="Q36" s="191"/>
      <c r="R36" s="192"/>
    </row>
    <row r="37" spans="1:18" ht="13.35" customHeight="1" x14ac:dyDescent="0.2">
      <c r="A37" s="187" t="str">
        <f t="shared" si="1"/>
        <v>01</v>
      </c>
      <c r="B37" s="193"/>
      <c r="C37" s="2923"/>
      <c r="D37" s="2923"/>
      <c r="E37" s="2923"/>
      <c r="F37" s="2923"/>
      <c r="G37" s="191"/>
      <c r="H37" s="342"/>
      <c r="I37" s="191"/>
      <c r="J37" s="342"/>
      <c r="K37" s="196"/>
      <c r="L37" s="342"/>
      <c r="M37" s="191"/>
      <c r="N37" s="342"/>
      <c r="O37" s="191"/>
      <c r="P37" s="342"/>
      <c r="Q37" s="191"/>
      <c r="R37" s="2359"/>
    </row>
    <row r="38" spans="1:18" ht="13.35" customHeight="1" x14ac:dyDescent="0.2">
      <c r="A38" s="187" t="str">
        <f t="shared" si="1"/>
        <v>01</v>
      </c>
      <c r="B38" s="193"/>
      <c r="C38" s="2922"/>
      <c r="D38" s="2922"/>
      <c r="E38" s="2922"/>
      <c r="F38" s="2922"/>
      <c r="G38" s="191"/>
      <c r="H38" s="342"/>
      <c r="I38" s="191"/>
      <c r="J38" s="342"/>
      <c r="K38" s="191"/>
      <c r="L38" s="342"/>
      <c r="M38" s="191"/>
      <c r="N38" s="342"/>
      <c r="O38" s="191"/>
      <c r="P38" s="342"/>
      <c r="Q38" s="191"/>
      <c r="R38" s="2357"/>
    </row>
    <row r="39" spans="1:18" ht="10.35" customHeight="1" x14ac:dyDescent="0.2">
      <c r="A39" s="187" t="str">
        <f t="shared" si="1"/>
        <v>01</v>
      </c>
      <c r="B39" s="193"/>
      <c r="C39" s="191"/>
      <c r="D39" s="191"/>
      <c r="E39" s="191"/>
      <c r="F39" s="191"/>
      <c r="G39" s="191"/>
      <c r="H39" s="191"/>
      <c r="I39" s="191"/>
      <c r="J39" s="191"/>
      <c r="K39" s="191"/>
      <c r="L39" s="191"/>
      <c r="M39" s="191"/>
      <c r="N39" s="191"/>
      <c r="O39" s="191"/>
      <c r="P39" s="191"/>
      <c r="Q39" s="191"/>
      <c r="R39" s="191"/>
    </row>
    <row r="40" spans="1:18" ht="10.35" customHeight="1" x14ac:dyDescent="0.2">
      <c r="A40" s="187" t="str">
        <f t="shared" si="1"/>
        <v>01</v>
      </c>
      <c r="B40" s="193"/>
      <c r="C40" s="191"/>
      <c r="D40" s="191"/>
      <c r="E40" s="191"/>
      <c r="F40" s="191"/>
      <c r="G40" s="191"/>
      <c r="H40" s="191"/>
      <c r="I40" s="191"/>
      <c r="J40" s="191"/>
      <c r="K40" s="191"/>
      <c r="L40" s="191"/>
      <c r="M40" s="191"/>
      <c r="N40" s="191"/>
      <c r="O40" s="191"/>
      <c r="P40" s="191"/>
      <c r="Q40" s="191"/>
      <c r="R40" s="191"/>
    </row>
    <row r="41" spans="1:18" ht="11.1" customHeight="1" x14ac:dyDescent="0.2">
      <c r="A41" s="187" t="str">
        <f t="shared" si="1"/>
        <v>01</v>
      </c>
      <c r="B41" s="2370" t="s">
        <v>542</v>
      </c>
      <c r="C41" s="191" t="s">
        <v>2414</v>
      </c>
      <c r="D41" s="191"/>
      <c r="E41" s="191"/>
      <c r="F41" s="191"/>
      <c r="G41" s="191"/>
      <c r="H41" s="191"/>
      <c r="I41" s="191"/>
      <c r="J41" s="191"/>
      <c r="K41" s="191"/>
      <c r="L41" s="191"/>
      <c r="M41" s="191"/>
      <c r="N41" s="191"/>
      <c r="O41" s="191"/>
      <c r="P41" s="191"/>
      <c r="Q41" s="191"/>
    </row>
    <row r="42" spans="1:18" ht="11.1" customHeight="1" x14ac:dyDescent="0.2">
      <c r="A42" s="187" t="str">
        <f t="shared" si="1"/>
        <v>01</v>
      </c>
      <c r="B42" s="193"/>
      <c r="C42" s="191" t="s">
        <v>2415</v>
      </c>
      <c r="D42" s="191"/>
      <c r="E42" s="191"/>
      <c r="F42" s="191"/>
      <c r="G42" s="191"/>
      <c r="H42" s="191"/>
      <c r="I42" s="191"/>
      <c r="J42" s="191"/>
      <c r="K42" s="191"/>
      <c r="L42" s="191"/>
      <c r="M42" s="191"/>
      <c r="N42" s="191"/>
      <c r="O42" s="191"/>
      <c r="P42" s="191"/>
      <c r="Q42" s="191"/>
    </row>
    <row r="43" spans="1:18" ht="11.1" customHeight="1" x14ac:dyDescent="0.2">
      <c r="A43" s="187" t="str">
        <f t="shared" si="1"/>
        <v>01</v>
      </c>
      <c r="B43" s="193"/>
      <c r="C43" s="191" t="s">
        <v>2416</v>
      </c>
      <c r="D43" s="191"/>
      <c r="E43" s="191"/>
      <c r="F43" s="191"/>
      <c r="G43" s="191"/>
      <c r="H43" s="191"/>
      <c r="I43" s="191"/>
      <c r="J43" s="191"/>
      <c r="K43" s="191"/>
      <c r="L43" s="191"/>
      <c r="M43" s="191"/>
      <c r="N43" s="191"/>
      <c r="O43" s="191"/>
      <c r="P43" s="191"/>
      <c r="Q43" s="191"/>
    </row>
    <row r="44" spans="1:18" ht="6" customHeight="1" x14ac:dyDescent="0.2">
      <c r="A44" s="187" t="str">
        <f t="shared" si="1"/>
        <v>01</v>
      </c>
      <c r="B44" s="193"/>
      <c r="C44" s="191"/>
      <c r="D44" s="191"/>
      <c r="E44" s="191"/>
      <c r="F44" s="191"/>
      <c r="G44" s="191"/>
      <c r="H44" s="191"/>
      <c r="I44" s="191"/>
      <c r="J44" s="191"/>
      <c r="K44" s="191"/>
      <c r="L44" s="191"/>
      <c r="M44" s="191"/>
      <c r="N44" s="191"/>
      <c r="O44" s="191"/>
      <c r="P44" s="191"/>
      <c r="Q44" s="191"/>
    </row>
    <row r="45" spans="1:18" ht="11.1" customHeight="1" x14ac:dyDescent="0.2">
      <c r="A45" s="187" t="str">
        <f t="shared" si="1"/>
        <v>01</v>
      </c>
      <c r="B45" s="2370" t="s">
        <v>545</v>
      </c>
      <c r="C45" s="191" t="s">
        <v>2417</v>
      </c>
      <c r="D45" s="191"/>
      <c r="E45" s="191"/>
      <c r="F45" s="191"/>
      <c r="G45" s="191"/>
      <c r="H45" s="191"/>
      <c r="I45" s="191"/>
      <c r="J45" s="191"/>
      <c r="K45" s="191"/>
      <c r="L45" s="191"/>
      <c r="M45" s="191"/>
      <c r="N45" s="191"/>
      <c r="O45" s="191"/>
      <c r="P45" s="191"/>
      <c r="Q45" s="191"/>
    </row>
    <row r="46" spans="1:18" ht="11.1" customHeight="1" x14ac:dyDescent="0.2">
      <c r="A46" s="187" t="str">
        <f t="shared" si="1"/>
        <v>01</v>
      </c>
      <c r="B46" s="193"/>
      <c r="C46" s="191" t="s">
        <v>2418</v>
      </c>
      <c r="D46" s="191"/>
      <c r="E46" s="191"/>
      <c r="F46" s="191"/>
      <c r="G46" s="191"/>
      <c r="H46" s="191"/>
      <c r="I46" s="191"/>
      <c r="J46" s="191"/>
      <c r="K46" s="191"/>
      <c r="L46" s="191"/>
      <c r="M46" s="191"/>
      <c r="N46" s="191"/>
      <c r="O46" s="191"/>
      <c r="P46" s="191"/>
      <c r="Q46" s="191"/>
    </row>
    <row r="47" spans="1:18" ht="10.35" customHeight="1" x14ac:dyDescent="0.2">
      <c r="A47" s="187" t="str">
        <f t="shared" si="1"/>
        <v>01</v>
      </c>
      <c r="B47" s="193"/>
      <c r="C47" s="191"/>
      <c r="D47" s="191"/>
      <c r="E47" s="191"/>
      <c r="F47" s="191"/>
      <c r="G47" s="191"/>
      <c r="H47" s="191"/>
      <c r="I47" s="191"/>
      <c r="J47" s="191"/>
      <c r="K47" s="191"/>
      <c r="L47" s="191"/>
      <c r="M47" s="191"/>
      <c r="N47" s="191"/>
      <c r="O47" s="191"/>
      <c r="P47" s="191"/>
      <c r="Q47" s="191"/>
    </row>
    <row r="48" spans="1:18" ht="8.1" customHeight="1" x14ac:dyDescent="0.2">
      <c r="A48" s="187" t="str">
        <f t="shared" si="1"/>
        <v>01</v>
      </c>
      <c r="B48" s="193"/>
      <c r="C48" s="191"/>
      <c r="D48" s="191"/>
      <c r="E48" s="191"/>
      <c r="F48" s="191"/>
      <c r="G48" s="191"/>
      <c r="H48" s="191"/>
      <c r="I48" s="191"/>
      <c r="J48" s="191"/>
      <c r="K48" s="191"/>
      <c r="L48" s="191"/>
      <c r="M48" s="191"/>
      <c r="N48" s="191"/>
      <c r="O48" s="191"/>
      <c r="P48" s="191"/>
      <c r="Q48" s="191"/>
    </row>
    <row r="49" spans="1:17" ht="12" customHeight="1" x14ac:dyDescent="0.2">
      <c r="A49" s="187" t="str">
        <f t="shared" si="1"/>
        <v>01</v>
      </c>
      <c r="B49" s="2370"/>
      <c r="D49" s="191"/>
      <c r="E49" s="191"/>
      <c r="F49" s="191"/>
      <c r="G49" s="191"/>
      <c r="H49" s="191"/>
      <c r="I49" s="191"/>
      <c r="J49" s="191"/>
      <c r="K49" s="191"/>
      <c r="L49" s="191"/>
      <c r="M49" s="191"/>
      <c r="N49" s="191"/>
      <c r="O49" s="191"/>
      <c r="P49" s="191"/>
      <c r="Q49" s="191"/>
    </row>
    <row r="50" spans="1:17" ht="10.35" customHeight="1" x14ac:dyDescent="0.2">
      <c r="A50" s="187" t="str">
        <f t="shared" si="1"/>
        <v>01</v>
      </c>
      <c r="B50" s="191"/>
      <c r="D50" s="191"/>
      <c r="E50" s="191"/>
      <c r="F50" s="191"/>
    </row>
    <row r="51" spans="1:17" ht="12" customHeight="1" x14ac:dyDescent="0.2">
      <c r="A51" s="187" t="str">
        <f t="shared" si="1"/>
        <v>01</v>
      </c>
      <c r="B51" s="198"/>
      <c r="C51" s="191"/>
      <c r="D51" s="191"/>
      <c r="E51" s="191"/>
      <c r="F51" s="191"/>
    </row>
    <row r="52" spans="1:17" x14ac:dyDescent="0.2">
      <c r="A52" s="187" t="str">
        <f t="shared" si="1"/>
        <v>01</v>
      </c>
    </row>
    <row r="53" spans="1:17" x14ac:dyDescent="0.2">
      <c r="A53" s="187" t="str">
        <f t="shared" si="1"/>
        <v>01</v>
      </c>
    </row>
    <row r="54" spans="1:17" x14ac:dyDescent="0.2">
      <c r="A54" s="187" t="str">
        <f t="shared" si="1"/>
        <v>01</v>
      </c>
    </row>
    <row r="55" spans="1:17" x14ac:dyDescent="0.2">
      <c r="A55" s="187" t="str">
        <f t="shared" si="1"/>
        <v>01</v>
      </c>
    </row>
    <row r="56" spans="1:17" x14ac:dyDescent="0.2">
      <c r="A56" s="187" t="str">
        <f t="shared" si="1"/>
        <v>01</v>
      </c>
    </row>
  </sheetData>
  <sheetProtection algorithmName="SHA-512" hashValue="D9wgXQzs+xNXsSphtRxZhqnptmG3lLamB6jlhRPuhSLdD5ne61l2R1cB+JSKdv/nEEQb7XwU8MNvOJEUZsBjIg==" saltValue="L0RoLRQ+Ld3qsu3jIx73wQ==" spinCount="100000" sheet="1" objects="1" scenarios="1" autoFilter="0"/>
  <customSheetViews>
    <customSheetView guid="{9FCFC836-1CA5-48BF-958D-24D2EA94B219}" showGridLines="0" fitToPage="1" hiddenColumns="1" topLeftCell="B1">
      <selection activeCell="B12" sqref="B12"/>
      <pageMargins left="0" right="0" top="0" bottom="0" header="0" footer="0"/>
      <pageSetup orientation="landscape" r:id="rId1"/>
      <headerFooter alignWithMargins="0">
        <oddFooter>&amp;R&amp;A</oddFooter>
      </headerFooter>
    </customSheetView>
    <customSheetView guid="{BEA4BE86-04D1-4C96-9358-7A260B9D2B2D}" showGridLines="0" fitToPage="1" showRuler="0">
      <selection activeCell="D8" sqref="D8:E8"/>
      <pageMargins left="0" right="0" top="0" bottom="0" header="0" footer="0"/>
      <pageSetup orientation="landscape" r:id="rId2"/>
      <headerFooter alignWithMargins="0">
        <oddFooter>&amp;R&amp;A</oddFooter>
      </headerFooter>
    </customSheetView>
    <customSheetView guid="{1250FD07-FF56-4A9D-AF9E-C27124A7EBE9}" showGridLines="0" fitToPage="1" showRuler="0">
      <selection activeCell="D8" sqref="D8:E8"/>
      <pageMargins left="0" right="0" top="0" bottom="0" header="0" footer="0"/>
      <pageSetup orientation="landscape" r:id="rId3"/>
      <headerFooter alignWithMargins="0">
        <oddFooter>&amp;R&amp;A</oddFooter>
      </headerFooter>
    </customSheetView>
    <customSheetView guid="{B08879A4-635B-4C39-9937-AC7883D562FC}" showGridLines="0" fitToPage="1" hiddenColumns="1" topLeftCell="B1">
      <selection activeCell="B12" sqref="B12"/>
      <pageMargins left="0" right="0" top="0" bottom="0" header="0" footer="0"/>
      <pageSetup orientation="landscape" r:id="rId4"/>
      <headerFooter alignWithMargins="0">
        <oddFooter>&amp;R&amp;A</oddFooter>
      </headerFooter>
    </customSheetView>
  </customSheetViews>
  <mergeCells count="21">
    <mergeCell ref="C38:F38"/>
    <mergeCell ref="C20:F20"/>
    <mergeCell ref="C27:F27"/>
    <mergeCell ref="C34:F34"/>
    <mergeCell ref="C23:F23"/>
    <mergeCell ref="C37:F37"/>
    <mergeCell ref="C31:F31"/>
    <mergeCell ref="C30:F30"/>
    <mergeCell ref="C24:F24"/>
    <mergeCell ref="S1:S3"/>
    <mergeCell ref="L6:R6"/>
    <mergeCell ref="L7:R7"/>
    <mergeCell ref="E6:F6"/>
    <mergeCell ref="B2:R2"/>
    <mergeCell ref="B1:R1"/>
    <mergeCell ref="B17:F17"/>
    <mergeCell ref="J16:P16"/>
    <mergeCell ref="L8:R8"/>
    <mergeCell ref="B3:R3"/>
    <mergeCell ref="B4:R4"/>
    <mergeCell ref="E8:F8"/>
  </mergeCells>
  <phoneticPr fontId="16" type="noConversion"/>
  <conditionalFormatting sqref="S1:S3">
    <cfRule type="cellIs" dxfId="32" priority="1" stopIfTrue="1" operator="equal">
      <formula>"na"</formula>
    </cfRule>
  </conditionalFormatting>
  <hyperlinks>
    <hyperlink ref="B1:R1" location="Index!A1" display="Index!A1" xr:uid="{00000000-0004-0000-4200-000000000000}"/>
  </hyperlinks>
  <pageMargins left="0.6" right="0.6" top="0.5" bottom="0.5" header="0.3" footer="0.3"/>
  <pageSetup scale="85" orientation="landscape" r:id="rId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7">
    <pageSetUpPr fitToPage="1"/>
  </sheetPr>
  <dimension ref="A1:P56"/>
  <sheetViews>
    <sheetView showGridLines="0" topLeftCell="C1" zoomScaleNormal="100" workbookViewId="0">
      <selection activeCell="A2" sqref="A2"/>
    </sheetView>
  </sheetViews>
  <sheetFormatPr defaultColWidth="9.42578125" defaultRowHeight="12" x14ac:dyDescent="0.2"/>
  <cols>
    <col min="1" max="2" width="0" style="187" hidden="1" customWidth="1"/>
    <col min="3" max="3" width="2" style="187" customWidth="1"/>
    <col min="4" max="4" width="5.5703125" style="187" customWidth="1"/>
    <col min="5" max="5" width="8.42578125" style="187" customWidth="1"/>
    <col min="6" max="6" width="12.5703125" style="187" customWidth="1"/>
    <col min="7" max="7" width="8.5703125" style="187" customWidth="1"/>
    <col min="8" max="8" width="1.42578125" style="187" customWidth="1"/>
    <col min="9" max="9" width="17.5703125" style="187" customWidth="1"/>
    <col min="10" max="10" width="1.42578125" style="187" customWidth="1"/>
    <col min="11" max="11" width="16.5703125" style="187" customWidth="1"/>
    <col min="12" max="12" width="1.42578125" style="187" customWidth="1"/>
    <col min="13" max="13" width="15.5703125" style="187" customWidth="1"/>
    <col min="14" max="14" width="1.42578125" style="187" customWidth="1"/>
    <col min="15" max="15" width="17.5703125" style="187" customWidth="1"/>
    <col min="16" max="16" width="4.5703125" style="187" customWidth="1"/>
    <col min="17" max="16384" width="9.42578125" style="187"/>
  </cols>
  <sheetData>
    <row r="1" spans="1:16" ht="15.75" x14ac:dyDescent="0.25">
      <c r="A1" s="187" t="str">
        <f t="shared" ref="A1:A32" si="0">AgyIdx</f>
        <v>01</v>
      </c>
      <c r="C1" s="2455" t="str">
        <f>+Index!$A$1</f>
        <v xml:space="preserve">                                                               Office of the State Controller                                                                </v>
      </c>
      <c r="D1" s="2455"/>
      <c r="E1" s="2455"/>
      <c r="F1" s="2455"/>
      <c r="G1" s="2455"/>
      <c r="H1" s="2455"/>
      <c r="I1" s="2455"/>
      <c r="J1" s="2455"/>
      <c r="K1" s="2455"/>
      <c r="L1" s="2455"/>
      <c r="M1" s="2455"/>
      <c r="N1" s="2455"/>
      <c r="O1" s="2455"/>
      <c r="P1" s="2520" t="str">
        <f>IF(Index!$B$96="na","NA","")</f>
        <v/>
      </c>
    </row>
    <row r="2" spans="1:16" ht="15.75" x14ac:dyDescent="0.25">
      <c r="A2" s="187" t="str">
        <f t="shared" si="0"/>
        <v>01</v>
      </c>
      <c r="C2" s="2439" t="str">
        <f>+Index!$A$2</f>
        <v>2023 ACFR Worksheets</v>
      </c>
      <c r="D2" s="2439"/>
      <c r="E2" s="2439"/>
      <c r="F2" s="2439"/>
      <c r="G2" s="2439"/>
      <c r="H2" s="2439"/>
      <c r="I2" s="2439"/>
      <c r="J2" s="2439"/>
      <c r="K2" s="2439"/>
      <c r="L2" s="2439"/>
      <c r="M2" s="2439"/>
      <c r="N2" s="2439"/>
      <c r="O2" s="2439"/>
      <c r="P2" s="2520"/>
    </row>
    <row r="3" spans="1:16" ht="15.75" x14ac:dyDescent="0.25">
      <c r="A3" s="187" t="str">
        <f t="shared" si="0"/>
        <v>01</v>
      </c>
      <c r="C3" s="2439" t="s">
        <v>2194</v>
      </c>
      <c r="D3" s="2439"/>
      <c r="E3" s="2439"/>
      <c r="F3" s="2439"/>
      <c r="G3" s="2439"/>
      <c r="H3" s="2439"/>
      <c r="I3" s="2439"/>
      <c r="J3" s="2439"/>
      <c r="K3" s="2439"/>
      <c r="L3" s="2439"/>
      <c r="M3" s="2439"/>
      <c r="N3" s="2439"/>
      <c r="O3" s="2439"/>
      <c r="P3" s="2520"/>
    </row>
    <row r="4" spans="1:16" ht="15.75" x14ac:dyDescent="0.25">
      <c r="A4" s="187" t="str">
        <f t="shared" si="0"/>
        <v>01</v>
      </c>
      <c r="C4" s="2439" t="s">
        <v>2419</v>
      </c>
      <c r="D4" s="2439"/>
      <c r="E4" s="2439"/>
      <c r="F4" s="2439"/>
      <c r="G4" s="2439"/>
      <c r="H4" s="2439"/>
      <c r="I4" s="2439"/>
      <c r="J4" s="2439"/>
      <c r="K4" s="2439"/>
      <c r="L4" s="2439"/>
      <c r="M4" s="2439"/>
      <c r="N4" s="2439"/>
      <c r="O4" s="2439"/>
      <c r="P4" s="2208"/>
    </row>
    <row r="5" spans="1:16" ht="15" customHeight="1" x14ac:dyDescent="0.2">
      <c r="A5" s="187" t="str">
        <f t="shared" si="0"/>
        <v>01</v>
      </c>
    </row>
    <row r="6" spans="1:16" ht="15" customHeight="1" x14ac:dyDescent="0.2">
      <c r="A6" s="187" t="str">
        <f t="shared" si="0"/>
        <v>01</v>
      </c>
      <c r="C6" s="159" t="s">
        <v>2420</v>
      </c>
      <c r="F6" s="2603" t="str">
        <f>+Index!$E$10</f>
        <v>01</v>
      </c>
      <c r="G6" s="2603"/>
      <c r="J6" s="5" t="s">
        <v>318</v>
      </c>
      <c r="K6" s="2911" t="str">
        <f>+Index!$E$11</f>
        <v>North Carolina General Assembly</v>
      </c>
      <c r="L6" s="2911"/>
      <c r="M6" s="2911"/>
      <c r="N6" s="2911"/>
      <c r="O6" s="2911"/>
    </row>
    <row r="7" spans="1:16" ht="15" customHeight="1" x14ac:dyDescent="0.2">
      <c r="A7" s="187" t="str">
        <f t="shared" si="0"/>
        <v>01</v>
      </c>
      <c r="J7" s="5" t="s">
        <v>319</v>
      </c>
      <c r="K7" s="2872" t="str">
        <f>CONCATENATE(Index!$E$12," ",Index!$E$14)</f>
        <v xml:space="preserve"> </v>
      </c>
      <c r="L7" s="2872"/>
      <c r="M7" s="2872"/>
      <c r="N7" s="2872"/>
      <c r="O7" s="2872"/>
    </row>
    <row r="8" spans="1:16" ht="15" customHeight="1" x14ac:dyDescent="0.2">
      <c r="A8" s="187" t="str">
        <f t="shared" si="0"/>
        <v>01</v>
      </c>
      <c r="C8" s="4" t="s">
        <v>568</v>
      </c>
      <c r="F8" s="2603" t="s">
        <v>754</v>
      </c>
      <c r="G8" s="2603"/>
      <c r="J8" s="5" t="s">
        <v>71</v>
      </c>
      <c r="K8" s="2871">
        <f>+Index!$E$13</f>
        <v>0</v>
      </c>
      <c r="L8" s="2871"/>
      <c r="M8" s="2871"/>
      <c r="N8" s="2871"/>
      <c r="O8" s="2871"/>
    </row>
    <row r="9" spans="1:16" ht="15" customHeight="1" thickBot="1" x14ac:dyDescent="0.25">
      <c r="A9" s="187" t="str">
        <f t="shared" si="0"/>
        <v>01</v>
      </c>
      <c r="C9" s="188"/>
      <c r="D9" s="188"/>
      <c r="E9" s="188"/>
      <c r="F9" s="189"/>
      <c r="G9" s="189"/>
      <c r="H9" s="189"/>
      <c r="I9" s="189"/>
      <c r="J9" s="189"/>
      <c r="K9" s="190"/>
      <c r="L9" s="189"/>
      <c r="M9" s="189"/>
      <c r="N9" s="189"/>
      <c r="O9" s="189"/>
    </row>
    <row r="10" spans="1:16" ht="15" customHeight="1" x14ac:dyDescent="0.2">
      <c r="A10" s="187" t="str">
        <f t="shared" si="0"/>
        <v>01</v>
      </c>
    </row>
    <row r="11" spans="1:16" ht="12.75" customHeight="1" x14ac:dyDescent="0.2">
      <c r="A11" s="187" t="str">
        <f t="shared" si="0"/>
        <v>01</v>
      </c>
      <c r="C11" s="2924" t="s">
        <v>2421</v>
      </c>
      <c r="D11" s="2924"/>
      <c r="E11" s="2924"/>
      <c r="F11" s="2924"/>
      <c r="G11" s="2924"/>
      <c r="H11" s="2924"/>
      <c r="I11" s="2924"/>
      <c r="J11" s="2924"/>
      <c r="K11" s="2924"/>
      <c r="L11" s="2924"/>
      <c r="M11" s="2924"/>
      <c r="N11" s="2924"/>
      <c r="O11" s="2924"/>
    </row>
    <row r="12" spans="1:16" ht="12.75" customHeight="1" x14ac:dyDescent="0.2">
      <c r="A12" s="187" t="str">
        <f t="shared" si="0"/>
        <v>01</v>
      </c>
      <c r="C12" s="2924"/>
      <c r="D12" s="2924"/>
      <c r="E12" s="2924"/>
      <c r="F12" s="2924"/>
      <c r="G12" s="2924"/>
      <c r="H12" s="2924"/>
      <c r="I12" s="2924"/>
      <c r="J12" s="2924"/>
      <c r="K12" s="2924"/>
      <c r="L12" s="2924"/>
      <c r="M12" s="2924"/>
      <c r="N12" s="2924"/>
      <c r="O12" s="2924"/>
    </row>
    <row r="13" spans="1:16" ht="10.35" customHeight="1" x14ac:dyDescent="0.2">
      <c r="A13" s="187" t="str">
        <f t="shared" si="0"/>
        <v>01</v>
      </c>
    </row>
    <row r="14" spans="1:16" ht="14.1" customHeight="1" x14ac:dyDescent="0.2">
      <c r="A14" s="187" t="str">
        <f t="shared" si="0"/>
        <v>01</v>
      </c>
      <c r="C14" s="187" t="s">
        <v>2422</v>
      </c>
    </row>
    <row r="15" spans="1:16" ht="14.1" customHeight="1" x14ac:dyDescent="0.2">
      <c r="A15" s="187" t="str">
        <f t="shared" si="0"/>
        <v>01</v>
      </c>
      <c r="C15" s="187" t="s">
        <v>2423</v>
      </c>
    </row>
    <row r="16" spans="1:16" ht="12" customHeight="1" x14ac:dyDescent="0.2">
      <c r="A16" s="187" t="str">
        <f t="shared" si="0"/>
        <v>01</v>
      </c>
      <c r="C16" s="211" t="s">
        <v>2424</v>
      </c>
    </row>
    <row r="17" spans="1:16" ht="15" customHeight="1" x14ac:dyDescent="0.2">
      <c r="A17" s="187" t="str">
        <f t="shared" si="0"/>
        <v>01</v>
      </c>
      <c r="D17" s="205"/>
      <c r="F17" s="205"/>
      <c r="I17" s="205"/>
      <c r="K17" s="426"/>
      <c r="M17" s="205"/>
      <c r="O17" s="426"/>
    </row>
    <row r="18" spans="1:16" ht="10.35" customHeight="1" x14ac:dyDescent="0.2">
      <c r="A18" s="187" t="str">
        <f t="shared" si="0"/>
        <v>01</v>
      </c>
      <c r="D18" s="205"/>
      <c r="F18" s="205"/>
      <c r="I18" s="205"/>
      <c r="K18" s="206"/>
      <c r="M18" s="205"/>
      <c r="O18" s="206"/>
    </row>
    <row r="19" spans="1:16" ht="12" customHeight="1" x14ac:dyDescent="0.2">
      <c r="A19" s="187" t="str">
        <f t="shared" si="0"/>
        <v>01</v>
      </c>
      <c r="C19" s="187" t="s">
        <v>2425</v>
      </c>
      <c r="D19" s="205"/>
      <c r="F19" s="205"/>
      <c r="I19" s="205"/>
      <c r="K19" s="206"/>
      <c r="M19" s="205"/>
      <c r="O19" s="206"/>
    </row>
    <row r="20" spans="1:16" ht="12.75" customHeight="1" x14ac:dyDescent="0.2">
      <c r="A20" s="187" t="str">
        <f t="shared" si="0"/>
        <v>01</v>
      </c>
      <c r="D20" s="191"/>
      <c r="E20" s="191"/>
      <c r="F20" s="191"/>
      <c r="G20" s="191"/>
      <c r="H20" s="191"/>
      <c r="I20" s="2921"/>
      <c r="J20" s="2921"/>
      <c r="K20" s="2921"/>
      <c r="L20" s="192"/>
      <c r="M20" s="192"/>
      <c r="N20" s="192"/>
      <c r="O20" s="192"/>
      <c r="P20" s="191"/>
    </row>
    <row r="21" spans="1:16" ht="12.75" customHeight="1" x14ac:dyDescent="0.2">
      <c r="A21" s="187" t="str">
        <f t="shared" si="0"/>
        <v>01</v>
      </c>
      <c r="C21" s="2921" t="s">
        <v>2330</v>
      </c>
      <c r="D21" s="2921"/>
      <c r="E21" s="2921"/>
      <c r="F21" s="2921"/>
      <c r="G21" s="2921"/>
      <c r="H21" s="191"/>
      <c r="I21" s="2921" t="s">
        <v>2426</v>
      </c>
      <c r="J21" s="2921"/>
      <c r="K21" s="2921"/>
      <c r="L21" s="2921"/>
      <c r="M21" s="2921"/>
      <c r="N21" s="192"/>
      <c r="O21" s="192" t="s">
        <v>2196</v>
      </c>
      <c r="P21" s="191"/>
    </row>
    <row r="22" spans="1:16" ht="12.75" customHeight="1" x14ac:dyDescent="0.2">
      <c r="A22" s="187" t="str">
        <f t="shared" si="0"/>
        <v>01</v>
      </c>
      <c r="C22" s="2926" t="s">
        <v>592</v>
      </c>
      <c r="D22" s="2926"/>
      <c r="E22" s="2926"/>
      <c r="F22" s="2926"/>
      <c r="G22" s="2926"/>
      <c r="H22" s="191"/>
      <c r="I22" s="2926" t="s">
        <v>593</v>
      </c>
      <c r="J22" s="2926"/>
      <c r="K22" s="2926"/>
      <c r="L22" s="2926"/>
      <c r="M22" s="2926"/>
      <c r="N22" s="192"/>
      <c r="O22" s="2360" t="s">
        <v>594</v>
      </c>
      <c r="P22" s="191"/>
    </row>
    <row r="23" spans="1:16" ht="21.75" customHeight="1" x14ac:dyDescent="0.2">
      <c r="A23" s="187" t="str">
        <f t="shared" si="0"/>
        <v>01</v>
      </c>
      <c r="B23" s="187">
        <v>100</v>
      </c>
      <c r="C23" s="2925"/>
      <c r="D23" s="2925"/>
      <c r="E23" s="2925"/>
      <c r="F23" s="2925"/>
      <c r="G23" s="2925"/>
      <c r="H23" s="191"/>
      <c r="I23" s="2925"/>
      <c r="J23" s="2925"/>
      <c r="K23" s="2925"/>
      <c r="L23" s="2925"/>
      <c r="M23" s="2925"/>
      <c r="N23" s="191"/>
      <c r="O23" s="348"/>
      <c r="P23" s="191"/>
    </row>
    <row r="24" spans="1:16" ht="14.85" customHeight="1" x14ac:dyDescent="0.2">
      <c r="A24" s="187" t="str">
        <f t="shared" si="0"/>
        <v>01</v>
      </c>
      <c r="B24" s="187">
        <v>120</v>
      </c>
      <c r="C24" s="2925"/>
      <c r="D24" s="2925"/>
      <c r="E24" s="2925"/>
      <c r="F24" s="2925"/>
      <c r="G24" s="2925"/>
      <c r="H24" s="191"/>
      <c r="I24" s="2925"/>
      <c r="J24" s="2925"/>
      <c r="K24" s="2925"/>
      <c r="L24" s="2925"/>
      <c r="M24" s="2925"/>
      <c r="N24" s="191"/>
      <c r="O24" s="348"/>
      <c r="P24" s="191"/>
    </row>
    <row r="25" spans="1:16" ht="14.85" customHeight="1" x14ac:dyDescent="0.2">
      <c r="A25" s="187" t="str">
        <f t="shared" si="0"/>
        <v>01</v>
      </c>
      <c r="B25" s="187">
        <v>140</v>
      </c>
      <c r="C25" s="2925"/>
      <c r="D25" s="2925"/>
      <c r="E25" s="2925"/>
      <c r="F25" s="2925"/>
      <c r="G25" s="2925"/>
      <c r="H25" s="191"/>
      <c r="I25" s="2925"/>
      <c r="J25" s="2925"/>
      <c r="K25" s="2925"/>
      <c r="L25" s="2925"/>
      <c r="M25" s="2925"/>
      <c r="N25" s="191"/>
      <c r="O25" s="348"/>
      <c r="P25" s="191"/>
    </row>
    <row r="26" spans="1:16" ht="14.85" customHeight="1" x14ac:dyDescent="0.2">
      <c r="A26" s="187" t="str">
        <f t="shared" si="0"/>
        <v>01</v>
      </c>
      <c r="B26" s="187">
        <v>160</v>
      </c>
      <c r="C26" s="2925"/>
      <c r="D26" s="2925"/>
      <c r="E26" s="2925"/>
      <c r="F26" s="2925"/>
      <c r="G26" s="2925"/>
      <c r="H26" s="191"/>
      <c r="I26" s="2925"/>
      <c r="J26" s="2925"/>
      <c r="K26" s="2925"/>
      <c r="L26" s="2925"/>
      <c r="M26" s="2925"/>
      <c r="N26" s="191"/>
      <c r="O26" s="348"/>
      <c r="P26" s="191"/>
    </row>
    <row r="27" spans="1:16" ht="14.85" customHeight="1" x14ac:dyDescent="0.2">
      <c r="A27" s="187" t="str">
        <f t="shared" si="0"/>
        <v>01</v>
      </c>
      <c r="B27" s="187">
        <v>180</v>
      </c>
      <c r="C27" s="2925"/>
      <c r="D27" s="2925"/>
      <c r="E27" s="2925"/>
      <c r="F27" s="2925"/>
      <c r="G27" s="2925"/>
      <c r="H27" s="191"/>
      <c r="I27" s="2925"/>
      <c r="J27" s="2925"/>
      <c r="K27" s="2925"/>
      <c r="L27" s="2925"/>
      <c r="M27" s="2925"/>
      <c r="N27" s="191"/>
      <c r="O27" s="348"/>
      <c r="P27" s="191"/>
    </row>
    <row r="28" spans="1:16" ht="14.85" customHeight="1" x14ac:dyDescent="0.2">
      <c r="A28" s="187" t="str">
        <f t="shared" si="0"/>
        <v>01</v>
      </c>
      <c r="B28" s="187">
        <v>200</v>
      </c>
      <c r="C28" s="2925"/>
      <c r="D28" s="2925"/>
      <c r="E28" s="2925"/>
      <c r="F28" s="2925"/>
      <c r="G28" s="2925"/>
      <c r="H28" s="191"/>
      <c r="I28" s="2925"/>
      <c r="J28" s="2925"/>
      <c r="K28" s="2925"/>
      <c r="L28" s="2925"/>
      <c r="M28" s="2925"/>
      <c r="N28" s="191"/>
      <c r="O28" s="348"/>
      <c r="P28" s="191"/>
    </row>
    <row r="29" spans="1:16" ht="14.85" customHeight="1" x14ac:dyDescent="0.2">
      <c r="A29" s="187" t="str">
        <f t="shared" si="0"/>
        <v>01</v>
      </c>
      <c r="B29" s="187">
        <v>220</v>
      </c>
      <c r="C29" s="2925"/>
      <c r="D29" s="2925"/>
      <c r="E29" s="2925"/>
      <c r="F29" s="2925"/>
      <c r="G29" s="2925"/>
      <c r="H29" s="191"/>
      <c r="I29" s="2925"/>
      <c r="J29" s="2925"/>
      <c r="K29" s="2925"/>
      <c r="L29" s="2925"/>
      <c r="M29" s="2925"/>
      <c r="N29" s="191"/>
      <c r="O29" s="348"/>
      <c r="P29" s="191"/>
    </row>
    <row r="30" spans="1:16" ht="14.85" customHeight="1" x14ac:dyDescent="0.2">
      <c r="A30" s="187" t="str">
        <f t="shared" si="0"/>
        <v>01</v>
      </c>
      <c r="B30" s="187">
        <v>240</v>
      </c>
      <c r="C30" s="2925"/>
      <c r="D30" s="2925"/>
      <c r="E30" s="2925"/>
      <c r="F30" s="2925"/>
      <c r="G30" s="2925"/>
      <c r="H30" s="191"/>
      <c r="I30" s="2925"/>
      <c r="J30" s="2925"/>
      <c r="K30" s="2925"/>
      <c r="L30" s="2925"/>
      <c r="M30" s="2925"/>
      <c r="N30" s="191"/>
      <c r="O30" s="348"/>
      <c r="P30" s="191"/>
    </row>
    <row r="31" spans="1:16" ht="14.85" customHeight="1" x14ac:dyDescent="0.2">
      <c r="A31" s="187" t="str">
        <f t="shared" si="0"/>
        <v>01</v>
      </c>
      <c r="B31" s="187">
        <v>260</v>
      </c>
      <c r="C31" s="2925"/>
      <c r="D31" s="2925"/>
      <c r="E31" s="2925"/>
      <c r="F31" s="2925"/>
      <c r="G31" s="2925"/>
      <c r="H31" s="191"/>
      <c r="I31" s="2925"/>
      <c r="J31" s="2925"/>
      <c r="K31" s="2925"/>
      <c r="L31" s="2925"/>
      <c r="M31" s="2925"/>
      <c r="N31" s="191"/>
      <c r="O31" s="348"/>
      <c r="P31" s="191"/>
    </row>
    <row r="32" spans="1:16" ht="18.75" customHeight="1" thickBot="1" x14ac:dyDescent="0.25">
      <c r="A32" s="187" t="str">
        <f t="shared" si="0"/>
        <v>01</v>
      </c>
      <c r="B32" s="187">
        <v>280</v>
      </c>
      <c r="C32" s="193"/>
      <c r="D32" s="191"/>
      <c r="E32" s="191"/>
      <c r="F32" s="191"/>
      <c r="G32" s="191"/>
      <c r="H32" s="191"/>
      <c r="I32" s="191"/>
      <c r="J32" s="191"/>
      <c r="M32" s="2358" t="s">
        <v>955</v>
      </c>
      <c r="N32" s="191"/>
      <c r="O32" s="185">
        <f>SUM(O23:O31)</f>
        <v>0</v>
      </c>
      <c r="P32" s="191"/>
    </row>
    <row r="33" spans="1:16" ht="8.1" customHeight="1" thickTop="1" x14ac:dyDescent="0.2">
      <c r="A33" s="187" t="str">
        <f t="shared" ref="A33:A56" si="1">AgyIdx</f>
        <v>01</v>
      </c>
      <c r="C33" s="193"/>
      <c r="D33" s="191"/>
      <c r="E33" s="191"/>
      <c r="F33" s="191"/>
      <c r="G33" s="191"/>
      <c r="H33" s="191"/>
      <c r="I33" s="191"/>
      <c r="J33" s="191"/>
      <c r="K33" s="2358"/>
      <c r="L33" s="191"/>
      <c r="M33" s="191"/>
      <c r="N33" s="191"/>
      <c r="O33" s="191"/>
      <c r="P33" s="191"/>
    </row>
    <row r="34" spans="1:16" ht="8.1" customHeight="1" x14ac:dyDescent="0.2">
      <c r="A34" s="187" t="str">
        <f t="shared" si="1"/>
        <v>01</v>
      </c>
      <c r="C34" s="193"/>
      <c r="D34" s="191"/>
      <c r="E34" s="191"/>
      <c r="F34" s="191"/>
      <c r="G34" s="191"/>
      <c r="H34" s="191"/>
      <c r="I34" s="191"/>
      <c r="J34" s="191"/>
      <c r="K34" s="191"/>
      <c r="L34" s="191"/>
      <c r="M34" s="191"/>
      <c r="N34" s="191"/>
      <c r="O34" s="191"/>
      <c r="P34" s="191"/>
    </row>
    <row r="35" spans="1:16" ht="11.1" customHeight="1" x14ac:dyDescent="0.2">
      <c r="A35" s="187" t="str">
        <f t="shared" si="1"/>
        <v>01</v>
      </c>
      <c r="C35" s="201" t="s">
        <v>708</v>
      </c>
      <c r="D35" s="191" t="s">
        <v>2427</v>
      </c>
      <c r="E35" s="191"/>
      <c r="F35" s="191"/>
      <c r="G35" s="191"/>
      <c r="H35" s="191"/>
      <c r="I35" s="191"/>
      <c r="J35" s="191"/>
      <c r="K35" s="191"/>
      <c r="L35" s="191"/>
      <c r="M35" s="191"/>
      <c r="N35" s="191"/>
      <c r="O35" s="191"/>
      <c r="P35" s="191"/>
    </row>
    <row r="36" spans="1:16" ht="11.1" customHeight="1" x14ac:dyDescent="0.25">
      <c r="A36" s="187" t="str">
        <f t="shared" si="1"/>
        <v>01</v>
      </c>
      <c r="C36" s="193"/>
      <c r="D36" s="191"/>
      <c r="E36" s="247" t="s">
        <v>2428</v>
      </c>
      <c r="F36" s="191"/>
      <c r="G36" s="191"/>
      <c r="H36" s="191"/>
      <c r="I36" s="191"/>
      <c r="J36" s="191"/>
      <c r="K36" s="191"/>
      <c r="L36" s="191"/>
      <c r="M36" s="191"/>
      <c r="N36" s="191"/>
      <c r="O36" s="191"/>
      <c r="P36" s="191"/>
    </row>
    <row r="37" spans="1:16" ht="11.1" customHeight="1" x14ac:dyDescent="0.25">
      <c r="A37" s="187" t="str">
        <f t="shared" si="1"/>
        <v>01</v>
      </c>
      <c r="C37" s="193"/>
      <c r="D37" s="191"/>
      <c r="E37" s="511" t="s">
        <v>2429</v>
      </c>
      <c r="F37" s="192"/>
      <c r="G37" s="192"/>
      <c r="H37" s="192"/>
      <c r="I37" s="192"/>
      <c r="J37" s="192"/>
      <c r="K37" s="192"/>
      <c r="L37" s="192"/>
      <c r="M37" s="192"/>
      <c r="N37" s="192"/>
      <c r="O37" s="191"/>
      <c r="P37" s="191"/>
    </row>
    <row r="38" spans="1:16" ht="11.1" customHeight="1" x14ac:dyDescent="0.25">
      <c r="A38" s="187" t="str">
        <f t="shared" si="1"/>
        <v>01</v>
      </c>
      <c r="C38" s="193"/>
      <c r="D38" s="191"/>
      <c r="E38" s="1966" t="s">
        <v>2430</v>
      </c>
      <c r="F38" s="208"/>
      <c r="G38" s="208"/>
      <c r="H38" s="208"/>
      <c r="I38" s="208"/>
      <c r="J38" s="208"/>
      <c r="K38" s="191"/>
      <c r="L38" s="191"/>
      <c r="M38" s="191"/>
      <c r="N38" s="191"/>
      <c r="O38" s="191"/>
      <c r="P38" s="191"/>
    </row>
    <row r="39" spans="1:16" ht="12" customHeight="1" thickBot="1" x14ac:dyDescent="0.3">
      <c r="A39" s="187" t="str">
        <f t="shared" si="1"/>
        <v>01</v>
      </c>
      <c r="C39" s="193"/>
      <c r="D39" s="191"/>
      <c r="E39" s="1967" t="s">
        <v>2431</v>
      </c>
      <c r="F39" s="209"/>
      <c r="G39" s="209"/>
      <c r="H39" s="209"/>
      <c r="I39" s="209"/>
      <c r="J39" s="209"/>
      <c r="K39" s="191"/>
      <c r="L39" s="191"/>
      <c r="M39" s="191"/>
      <c r="N39" s="191"/>
      <c r="O39" s="191"/>
      <c r="P39" s="191"/>
    </row>
    <row r="40" spans="1:16" ht="8.1" customHeight="1" thickTop="1" x14ac:dyDescent="0.2">
      <c r="A40" s="187" t="str">
        <f t="shared" si="1"/>
        <v>01</v>
      </c>
      <c r="C40" s="193"/>
      <c r="D40" s="191"/>
      <c r="E40" s="191"/>
      <c r="F40" s="191"/>
      <c r="G40" s="191"/>
      <c r="H40" s="191"/>
      <c r="I40" s="191"/>
      <c r="J40" s="191"/>
      <c r="K40" s="191"/>
      <c r="L40" s="191"/>
      <c r="M40" s="191"/>
      <c r="N40" s="191"/>
      <c r="O40" s="191"/>
      <c r="P40" s="191"/>
    </row>
    <row r="41" spans="1:16" ht="11.1" customHeight="1" x14ac:dyDescent="0.2">
      <c r="A41" s="187" t="str">
        <f t="shared" si="1"/>
        <v>01</v>
      </c>
      <c r="C41" s="201" t="s">
        <v>710</v>
      </c>
      <c r="D41" s="191" t="s">
        <v>2432</v>
      </c>
      <c r="E41" s="191"/>
      <c r="F41" s="191"/>
      <c r="G41" s="191"/>
      <c r="H41" s="191"/>
      <c r="I41" s="191"/>
      <c r="J41" s="191"/>
      <c r="K41" s="191"/>
      <c r="L41" s="191"/>
      <c r="M41" s="191"/>
      <c r="N41" s="191"/>
      <c r="O41" s="191"/>
      <c r="P41" s="191"/>
    </row>
    <row r="42" spans="1:16" ht="11.1" customHeight="1" x14ac:dyDescent="0.2">
      <c r="A42" s="187" t="str">
        <f t="shared" si="1"/>
        <v>01</v>
      </c>
      <c r="C42" s="193"/>
      <c r="D42" s="191" t="s">
        <v>2433</v>
      </c>
      <c r="E42" s="191"/>
      <c r="F42" s="191"/>
      <c r="G42" s="191"/>
      <c r="H42" s="191"/>
      <c r="I42" s="191"/>
      <c r="J42" s="191"/>
      <c r="K42" s="191"/>
      <c r="L42" s="191"/>
      <c r="M42" s="191"/>
      <c r="N42" s="191"/>
      <c r="O42" s="191"/>
      <c r="P42" s="191"/>
    </row>
    <row r="43" spans="1:16" ht="10.35" customHeight="1" x14ac:dyDescent="0.2">
      <c r="A43" s="187" t="str">
        <f t="shared" si="1"/>
        <v>01</v>
      </c>
      <c r="C43" s="2370"/>
      <c r="D43" s="191"/>
      <c r="E43" s="191"/>
      <c r="F43" s="191"/>
      <c r="G43" s="191"/>
      <c r="H43" s="191"/>
      <c r="I43" s="191"/>
      <c r="J43" s="191"/>
      <c r="K43" s="191"/>
      <c r="L43" s="191"/>
      <c r="M43" s="191"/>
      <c r="N43" s="191"/>
      <c r="O43" s="191"/>
      <c r="P43" s="191"/>
    </row>
    <row r="44" spans="1:16" ht="10.35" customHeight="1" x14ac:dyDescent="0.2">
      <c r="A44" s="187" t="str">
        <f t="shared" si="1"/>
        <v>01</v>
      </c>
      <c r="C44" s="191"/>
      <c r="D44" s="191"/>
      <c r="E44" s="191"/>
      <c r="F44" s="191"/>
      <c r="G44" s="191"/>
    </row>
    <row r="45" spans="1:16" ht="12" customHeight="1" x14ac:dyDescent="0.2">
      <c r="A45" s="187" t="str">
        <f t="shared" si="1"/>
        <v>01</v>
      </c>
      <c r="C45" s="198"/>
      <c r="D45" s="191"/>
      <c r="E45" s="191"/>
      <c r="F45" s="191"/>
      <c r="G45" s="191"/>
    </row>
    <row r="46" spans="1:16" x14ac:dyDescent="0.2">
      <c r="A46" s="187" t="str">
        <f t="shared" si="1"/>
        <v>01</v>
      </c>
    </row>
    <row r="47" spans="1:16" x14ac:dyDescent="0.2">
      <c r="A47" s="187" t="str">
        <f t="shared" si="1"/>
        <v>01</v>
      </c>
    </row>
    <row r="48" spans="1:16" x14ac:dyDescent="0.2">
      <c r="A48" s="187" t="str">
        <f t="shared" si="1"/>
        <v>01</v>
      </c>
    </row>
    <row r="49" spans="1:1" x14ac:dyDescent="0.2">
      <c r="A49" s="187" t="str">
        <f t="shared" si="1"/>
        <v>01</v>
      </c>
    </row>
    <row r="50" spans="1:1" x14ac:dyDescent="0.2">
      <c r="A50" s="187" t="str">
        <f t="shared" si="1"/>
        <v>01</v>
      </c>
    </row>
    <row r="51" spans="1:1" x14ac:dyDescent="0.2">
      <c r="A51" s="187" t="str">
        <f t="shared" si="1"/>
        <v>01</v>
      </c>
    </row>
    <row r="52" spans="1:1" x14ac:dyDescent="0.2">
      <c r="A52" s="187" t="str">
        <f t="shared" si="1"/>
        <v>01</v>
      </c>
    </row>
    <row r="53" spans="1:1" x14ac:dyDescent="0.2">
      <c r="A53" s="187" t="str">
        <f t="shared" si="1"/>
        <v>01</v>
      </c>
    </row>
    <row r="54" spans="1:1" x14ac:dyDescent="0.2">
      <c r="A54" s="187" t="str">
        <f t="shared" si="1"/>
        <v>01</v>
      </c>
    </row>
    <row r="55" spans="1:1" x14ac:dyDescent="0.2">
      <c r="A55" s="187" t="str">
        <f t="shared" si="1"/>
        <v>01</v>
      </c>
    </row>
    <row r="56" spans="1:1" x14ac:dyDescent="0.2">
      <c r="A56" s="187" t="str">
        <f t="shared" si="1"/>
        <v>01</v>
      </c>
    </row>
  </sheetData>
  <sheetProtection algorithmName="SHA-512" hashValue="MHraAaMjCbLeqmsBsK0KyaalSTBZ2jAt+Q7SqDkvYLQPkSyzFTxPQBw3G9n3sB+cAVy3wZuiJBiN5kAVt9JCmQ==" saltValue="cQPmbc4LVkLR8zpwWjzHMg==" spinCount="100000" sheet="1" objects="1" scenarios="1" autoFilter="0"/>
  <customSheetViews>
    <customSheetView guid="{9FCFC836-1CA5-48BF-958D-24D2EA94B219}" showGridLines="0" fitToPage="1" hiddenColumns="1" topLeftCell="C1">
      <selection activeCell="B12" sqref="B12"/>
      <pageMargins left="0" right="0" top="0" bottom="0" header="0" footer="0"/>
      <pageSetup scale="96" orientation="landscape" r:id="rId1"/>
      <headerFooter alignWithMargins="0">
        <oddFooter>&amp;R&amp;A</oddFooter>
      </headerFooter>
    </customSheetView>
    <customSheetView guid="{BEA4BE86-04D1-4C96-9358-7A260B9D2B2D}" showGridLines="0" fitToPage="1" showRuler="0">
      <selection activeCell="D8" sqref="D8:E8"/>
      <pageMargins left="0" right="0" top="0" bottom="0" header="0" footer="0"/>
      <pageSetup orientation="landscape" r:id="rId2"/>
      <headerFooter alignWithMargins="0">
        <oddFooter>&amp;R&amp;A</oddFooter>
      </headerFooter>
    </customSheetView>
    <customSheetView guid="{1250FD07-FF56-4A9D-AF9E-C27124A7EBE9}" showGridLines="0" fitToPage="1" showRuler="0">
      <selection activeCell="D8" sqref="D8:E8"/>
      <pageMargins left="0" right="0" top="0" bottom="0" header="0" footer="0"/>
      <pageSetup orientation="landscape" r:id="rId3"/>
      <headerFooter alignWithMargins="0">
        <oddFooter>&amp;R&amp;A</oddFooter>
      </headerFooter>
    </customSheetView>
    <customSheetView guid="{B08879A4-635B-4C39-9937-AC7883D562FC}" showGridLines="0" fitToPage="1" hiddenColumns="1" topLeftCell="C1">
      <selection activeCell="B12" sqref="B12"/>
      <pageMargins left="0" right="0" top="0" bottom="0" header="0" footer="0"/>
      <pageSetup scale="96" orientation="landscape" r:id="rId4"/>
      <headerFooter alignWithMargins="0">
        <oddFooter>&amp;R&amp;A</oddFooter>
      </headerFooter>
    </customSheetView>
  </customSheetViews>
  <mergeCells count="34">
    <mergeCell ref="C22:G22"/>
    <mergeCell ref="I22:M22"/>
    <mergeCell ref="C26:G26"/>
    <mergeCell ref="I25:M25"/>
    <mergeCell ref="I26:M26"/>
    <mergeCell ref="C23:G23"/>
    <mergeCell ref="C24:G24"/>
    <mergeCell ref="I23:M23"/>
    <mergeCell ref="I24:M24"/>
    <mergeCell ref="C25:G25"/>
    <mergeCell ref="C21:G21"/>
    <mergeCell ref="I20:K20"/>
    <mergeCell ref="I21:M21"/>
    <mergeCell ref="C2:O2"/>
    <mergeCell ref="C3:O3"/>
    <mergeCell ref="C4:O4"/>
    <mergeCell ref="F6:G6"/>
    <mergeCell ref="I27:M27"/>
    <mergeCell ref="I28:M28"/>
    <mergeCell ref="C28:G28"/>
    <mergeCell ref="C31:G31"/>
    <mergeCell ref="C30:G30"/>
    <mergeCell ref="I30:M30"/>
    <mergeCell ref="I31:M31"/>
    <mergeCell ref="I29:M29"/>
    <mergeCell ref="C29:G29"/>
    <mergeCell ref="C27:G27"/>
    <mergeCell ref="P1:P3"/>
    <mergeCell ref="C11:O12"/>
    <mergeCell ref="K6:O6"/>
    <mergeCell ref="K7:O7"/>
    <mergeCell ref="K8:O8"/>
    <mergeCell ref="F8:G8"/>
    <mergeCell ref="C1:O1"/>
  </mergeCells>
  <phoneticPr fontId="16" type="noConversion"/>
  <conditionalFormatting sqref="P1:P3">
    <cfRule type="cellIs" dxfId="31" priority="1" stopIfTrue="1" operator="equal">
      <formula>"na"</formula>
    </cfRule>
  </conditionalFormatting>
  <hyperlinks>
    <hyperlink ref="C1:O1" location="Index!A1" display="Index!A1" xr:uid="{00000000-0004-0000-4300-000000000000}"/>
  </hyperlinks>
  <pageMargins left="0.6" right="0.6" top="0.5" bottom="0.5" header="0.3" footer="0.3"/>
  <pageSetup scale="86" fitToHeight="0" orientation="portrait" r:id="rId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pageSetUpPr fitToPage="1"/>
  </sheetPr>
  <dimension ref="A1:R73"/>
  <sheetViews>
    <sheetView showGridLines="0" topLeftCell="C1" zoomScaleNormal="100" workbookViewId="0">
      <selection activeCell="B125" sqref="B125:E125"/>
    </sheetView>
  </sheetViews>
  <sheetFormatPr defaultColWidth="9.42578125" defaultRowHeight="12" x14ac:dyDescent="0.2"/>
  <cols>
    <col min="1" max="1" width="0" style="187" hidden="1" customWidth="1"/>
    <col min="2" max="2" width="9.42578125" style="187" hidden="1" customWidth="1"/>
    <col min="3" max="3" width="2" style="187" customWidth="1"/>
    <col min="4" max="4" width="5.5703125" style="187" customWidth="1"/>
    <col min="5" max="5" width="8.42578125" style="187" customWidth="1"/>
    <col min="6" max="6" width="12.5703125" style="187" customWidth="1"/>
    <col min="7" max="7" width="14.5703125" style="187" bestFit="1" customWidth="1"/>
    <col min="8" max="8" width="12.5703125" style="187" customWidth="1"/>
    <col min="9" max="9" width="8.5703125" style="187" customWidth="1"/>
    <col min="10" max="10" width="1.42578125" style="187" customWidth="1"/>
    <col min="11" max="11" width="17.5703125" style="187" customWidth="1"/>
    <col min="12" max="12" width="1.42578125" style="187" customWidth="1"/>
    <col min="13" max="13" width="16.5703125" style="187" customWidth="1"/>
    <col min="14" max="14" width="1.42578125" style="187" customWidth="1"/>
    <col min="15" max="15" width="17.5703125" style="187" customWidth="1"/>
    <col min="16" max="16" width="4.5703125" style="187" customWidth="1"/>
    <col min="17" max="17" width="9.42578125" style="187"/>
    <col min="18" max="18" width="9.42578125" style="1502"/>
    <col min="19" max="16384" width="9.42578125" style="187"/>
  </cols>
  <sheetData>
    <row r="1" spans="1:18" ht="15.75" x14ac:dyDescent="0.25">
      <c r="A1" s="187" t="str">
        <f t="shared" ref="A1:A45" si="0">AgyIdx</f>
        <v>01</v>
      </c>
      <c r="C1" s="2455" t="str">
        <f>+Index!$A$1</f>
        <v xml:space="preserve">                                                               Office of the State Controller                                                                </v>
      </c>
      <c r="D1" s="2455"/>
      <c r="E1" s="2455"/>
      <c r="F1" s="2455"/>
      <c r="G1" s="2455"/>
      <c r="H1" s="2455"/>
      <c r="I1" s="2455"/>
      <c r="J1" s="2455"/>
      <c r="K1" s="2455"/>
      <c r="L1" s="2455"/>
      <c r="M1" s="2455"/>
      <c r="N1" s="2455"/>
      <c r="O1" s="2455"/>
      <c r="P1" s="2520" t="str">
        <f>IF(Index!$B$97="na","NA","")</f>
        <v/>
      </c>
    </row>
    <row r="2" spans="1:18" ht="15.75" x14ac:dyDescent="0.25">
      <c r="A2" s="187" t="str">
        <f t="shared" si="0"/>
        <v>01</v>
      </c>
      <c r="C2" s="2439" t="str">
        <f>+Index!$A$2</f>
        <v>2023 ACFR Worksheets</v>
      </c>
      <c r="D2" s="2439"/>
      <c r="E2" s="2439"/>
      <c r="F2" s="2439"/>
      <c r="G2" s="2439"/>
      <c r="H2" s="2439"/>
      <c r="I2" s="2439"/>
      <c r="J2" s="2439"/>
      <c r="K2" s="2439"/>
      <c r="L2" s="2439"/>
      <c r="M2" s="2439"/>
      <c r="N2" s="2439"/>
      <c r="O2" s="2439"/>
      <c r="P2" s="2520"/>
    </row>
    <row r="3" spans="1:18" ht="15.75" x14ac:dyDescent="0.25">
      <c r="A3" s="187" t="str">
        <f t="shared" si="0"/>
        <v>01</v>
      </c>
      <c r="C3" s="2439" t="s">
        <v>2194</v>
      </c>
      <c r="D3" s="2439"/>
      <c r="E3" s="2439"/>
      <c r="F3" s="2439"/>
      <c r="G3" s="2439"/>
      <c r="H3" s="2439"/>
      <c r="I3" s="2439"/>
      <c r="J3" s="2439"/>
      <c r="K3" s="2439"/>
      <c r="L3" s="2439"/>
      <c r="M3" s="2439"/>
      <c r="N3" s="2439"/>
      <c r="O3" s="2439"/>
      <c r="P3" s="2520"/>
    </row>
    <row r="4" spans="1:18" ht="15.75" x14ac:dyDescent="0.25">
      <c r="A4" s="187" t="str">
        <f t="shared" si="0"/>
        <v>01</v>
      </c>
      <c r="C4" s="2439" t="s">
        <v>2434</v>
      </c>
      <c r="D4" s="2439"/>
      <c r="E4" s="2439"/>
      <c r="F4" s="2439"/>
      <c r="G4" s="2439"/>
      <c r="H4" s="2439"/>
      <c r="I4" s="2439"/>
      <c r="J4" s="2439"/>
      <c r="K4" s="2439"/>
      <c r="L4" s="2439"/>
      <c r="M4" s="2439"/>
      <c r="N4" s="2439"/>
      <c r="O4" s="2439"/>
      <c r="P4" s="2208"/>
    </row>
    <row r="5" spans="1:18" ht="15" customHeight="1" x14ac:dyDescent="0.2">
      <c r="A5" s="187" t="str">
        <f t="shared" si="0"/>
        <v>01</v>
      </c>
      <c r="K5" s="257"/>
    </row>
    <row r="6" spans="1:18" ht="15" customHeight="1" x14ac:dyDescent="0.2">
      <c r="A6" s="187" t="str">
        <f t="shared" si="0"/>
        <v>01</v>
      </c>
      <c r="C6" s="159" t="s">
        <v>317</v>
      </c>
      <c r="F6" s="2603" t="str">
        <f>+Index!$E$10</f>
        <v>01</v>
      </c>
      <c r="G6" s="2603"/>
      <c r="I6" s="5" t="s">
        <v>318</v>
      </c>
      <c r="K6" s="2911" t="str">
        <f>+Index!$E$11</f>
        <v>North Carolina General Assembly</v>
      </c>
      <c r="L6" s="2911"/>
      <c r="M6" s="2911"/>
      <c r="N6" s="2911"/>
      <c r="O6" s="2911"/>
    </row>
    <row r="7" spans="1:18" ht="15" customHeight="1" x14ac:dyDescent="0.2">
      <c r="A7" s="187" t="str">
        <f t="shared" si="0"/>
        <v>01</v>
      </c>
      <c r="I7" s="5" t="s">
        <v>319</v>
      </c>
      <c r="K7" s="2872" t="str">
        <f>CONCATENATE(Index!$E$12," ",Index!$E$14)</f>
        <v xml:space="preserve"> </v>
      </c>
      <c r="L7" s="2872"/>
      <c r="M7" s="2872"/>
      <c r="N7" s="2872"/>
      <c r="O7" s="2872"/>
    </row>
    <row r="8" spans="1:18" ht="15" customHeight="1" x14ac:dyDescent="0.2">
      <c r="A8" s="187" t="str">
        <f t="shared" si="0"/>
        <v>01</v>
      </c>
      <c r="C8" s="4" t="s">
        <v>568</v>
      </c>
      <c r="D8" s="159"/>
      <c r="F8" s="2603" t="s">
        <v>754</v>
      </c>
      <c r="G8" s="2603"/>
      <c r="H8" s="2246"/>
      <c r="I8" s="5" t="s">
        <v>71</v>
      </c>
      <c r="K8" s="2871">
        <f>+Index!$E$13</f>
        <v>0</v>
      </c>
      <c r="L8" s="2871"/>
      <c r="M8" s="2871"/>
      <c r="N8" s="2871"/>
      <c r="O8" s="2871"/>
    </row>
    <row r="9" spans="1:18" ht="15" customHeight="1" thickBot="1" x14ac:dyDescent="0.25">
      <c r="A9" s="187" t="str">
        <f t="shared" si="0"/>
        <v>01</v>
      </c>
      <c r="C9" s="188"/>
      <c r="D9" s="188"/>
      <c r="E9" s="188"/>
      <c r="F9" s="189"/>
      <c r="G9" s="189"/>
      <c r="H9" s="189"/>
      <c r="I9" s="189"/>
      <c r="J9" s="189"/>
      <c r="K9" s="189"/>
      <c r="L9" s="189"/>
      <c r="M9" s="190"/>
      <c r="N9" s="189"/>
      <c r="O9" s="189"/>
    </row>
    <row r="10" spans="1:18" ht="15" customHeight="1" x14ac:dyDescent="0.2">
      <c r="A10" s="187" t="str">
        <f t="shared" si="0"/>
        <v>01</v>
      </c>
      <c r="C10" s="200"/>
      <c r="D10" s="200"/>
      <c r="E10" s="200"/>
      <c r="M10" s="5"/>
    </row>
    <row r="11" spans="1:18" ht="15" customHeight="1" x14ac:dyDescent="0.2">
      <c r="A11" s="187" t="str">
        <f t="shared" si="0"/>
        <v>01</v>
      </c>
      <c r="C11" s="879" t="s">
        <v>2435</v>
      </c>
      <c r="D11" s="200"/>
      <c r="E11" s="200"/>
      <c r="M11" s="5"/>
    </row>
    <row r="12" spans="1:18" ht="15" customHeight="1" x14ac:dyDescent="0.2">
      <c r="A12" s="187" t="str">
        <f t="shared" si="0"/>
        <v>01</v>
      </c>
      <c r="C12" s="2929" t="s">
        <v>2436</v>
      </c>
      <c r="D12" s="2929"/>
      <c r="E12" s="2929"/>
      <c r="F12" s="2929"/>
      <c r="G12" s="2929"/>
      <c r="H12" s="2929"/>
      <c r="I12" s="2929"/>
      <c r="J12" s="2929"/>
      <c r="K12" s="2929"/>
      <c r="L12" s="2929"/>
      <c r="M12" s="2929"/>
      <c r="N12" s="2929"/>
      <c r="O12" s="2929"/>
    </row>
    <row r="13" spans="1:18" ht="15" customHeight="1" x14ac:dyDescent="0.2">
      <c r="A13" s="187" t="str">
        <f t="shared" si="0"/>
        <v>01</v>
      </c>
      <c r="C13" s="2929"/>
      <c r="D13" s="2929"/>
      <c r="E13" s="2929"/>
      <c r="F13" s="2929"/>
      <c r="G13" s="2929"/>
      <c r="H13" s="2929"/>
      <c r="I13" s="2929"/>
      <c r="J13" s="2929"/>
      <c r="K13" s="2929"/>
      <c r="L13" s="2929"/>
      <c r="M13" s="2929"/>
      <c r="N13" s="2929"/>
      <c r="O13" s="2929"/>
    </row>
    <row r="14" spans="1:18" x14ac:dyDescent="0.2">
      <c r="A14" s="187" t="str">
        <f t="shared" si="0"/>
        <v>01</v>
      </c>
      <c r="D14" s="191"/>
      <c r="E14" s="191"/>
      <c r="F14" s="191"/>
      <c r="G14" s="191"/>
      <c r="H14" s="191"/>
      <c r="I14" s="191"/>
      <c r="J14" s="191"/>
      <c r="K14" s="2921" t="s">
        <v>2437</v>
      </c>
      <c r="L14" s="2921"/>
      <c r="M14" s="2921"/>
      <c r="N14" s="192"/>
      <c r="O14" s="192" t="s">
        <v>2196</v>
      </c>
    </row>
    <row r="15" spans="1:18" ht="12.75" customHeight="1" x14ac:dyDescent="0.2">
      <c r="A15" s="187" t="str">
        <f t="shared" si="0"/>
        <v>01</v>
      </c>
      <c r="C15" s="2921" t="s">
        <v>2330</v>
      </c>
      <c r="D15" s="2921"/>
      <c r="E15" s="2921"/>
      <c r="F15" s="2921"/>
      <c r="G15" s="2921"/>
      <c r="H15" s="2921"/>
      <c r="I15" s="2921"/>
      <c r="J15" s="191"/>
      <c r="K15" s="2921" t="s">
        <v>2438</v>
      </c>
      <c r="L15" s="2921"/>
      <c r="M15" s="2921"/>
      <c r="N15" s="192"/>
      <c r="O15" s="192" t="s">
        <v>2439</v>
      </c>
    </row>
    <row r="16" spans="1:18" ht="22.5" customHeight="1" x14ac:dyDescent="0.2">
      <c r="A16" s="187" t="str">
        <f t="shared" si="0"/>
        <v>01</v>
      </c>
      <c r="C16" s="2928" t="s">
        <v>592</v>
      </c>
      <c r="D16" s="2928"/>
      <c r="E16" s="2928"/>
      <c r="F16" s="2928"/>
      <c r="G16" s="2928"/>
      <c r="H16" s="2928"/>
      <c r="I16" s="2928"/>
      <c r="J16" s="885"/>
      <c r="K16" s="2928" t="s">
        <v>593</v>
      </c>
      <c r="L16" s="2928"/>
      <c r="M16" s="2928"/>
      <c r="N16" s="885"/>
      <c r="O16" s="2361" t="s">
        <v>594</v>
      </c>
      <c r="P16" s="191"/>
      <c r="R16" s="1503" t="s">
        <v>2440</v>
      </c>
    </row>
    <row r="17" spans="1:18" ht="14.85" customHeight="1" x14ac:dyDescent="0.2">
      <c r="A17" s="187" t="str">
        <f t="shared" si="0"/>
        <v>01</v>
      </c>
      <c r="B17" s="187">
        <v>100</v>
      </c>
      <c r="C17" s="2927" t="s">
        <v>2441</v>
      </c>
      <c r="D17" s="2927"/>
      <c r="E17" s="2927"/>
      <c r="F17" s="2927"/>
      <c r="G17" s="2927"/>
      <c r="H17" s="2927"/>
      <c r="I17" s="2927"/>
      <c r="J17" s="191"/>
      <c r="K17" s="2927" t="s">
        <v>2442</v>
      </c>
      <c r="L17" s="2927"/>
      <c r="M17" s="2927"/>
      <c r="N17" s="191"/>
      <c r="O17" s="348"/>
      <c r="P17" s="191"/>
      <c r="R17" s="1502" t="str">
        <f>IF(C17="Other hedge funds","Hedge funds",IF(C17="Foreign Common Stock","Foreign stocks",IF(C17="","",C17)))</f>
        <v>Select Investment Type (Click here)</v>
      </c>
    </row>
    <row r="18" spans="1:18" ht="14.85" customHeight="1" x14ac:dyDescent="0.2">
      <c r="A18" s="187" t="str">
        <f t="shared" si="0"/>
        <v>01</v>
      </c>
      <c r="B18" s="187">
        <v>120</v>
      </c>
      <c r="C18" s="2927" t="s">
        <v>2441</v>
      </c>
      <c r="D18" s="2927"/>
      <c r="E18" s="2927"/>
      <c r="F18" s="2927"/>
      <c r="G18" s="2927"/>
      <c r="H18" s="2927"/>
      <c r="I18" s="2927"/>
      <c r="J18" s="191"/>
      <c r="K18" s="2927" t="s">
        <v>2442</v>
      </c>
      <c r="L18" s="2927"/>
      <c r="M18" s="2927"/>
      <c r="N18" s="191"/>
      <c r="O18" s="348"/>
      <c r="P18" s="191"/>
      <c r="R18" s="1502" t="str">
        <f t="shared" ref="R18:R43" si="1">IF(C18="Other hedge funds","Hedge funds",IF(C18="","",C18))</f>
        <v>Select Investment Type (Click here)</v>
      </c>
    </row>
    <row r="19" spans="1:18" ht="14.85" customHeight="1" x14ac:dyDescent="0.2">
      <c r="A19" s="187" t="str">
        <f t="shared" si="0"/>
        <v>01</v>
      </c>
      <c r="B19" s="187">
        <v>140</v>
      </c>
      <c r="C19" s="2927" t="s">
        <v>2441</v>
      </c>
      <c r="D19" s="2927"/>
      <c r="E19" s="2927"/>
      <c r="F19" s="2927"/>
      <c r="G19" s="2927"/>
      <c r="H19" s="2927"/>
      <c r="I19" s="2927"/>
      <c r="J19" s="191"/>
      <c r="K19" s="2927" t="s">
        <v>2442</v>
      </c>
      <c r="L19" s="2927"/>
      <c r="M19" s="2927"/>
      <c r="N19" s="191"/>
      <c r="O19" s="348"/>
      <c r="P19" s="191"/>
      <c r="R19" s="1502" t="str">
        <f t="shared" si="1"/>
        <v>Select Investment Type (Click here)</v>
      </c>
    </row>
    <row r="20" spans="1:18" ht="14.85" customHeight="1" x14ac:dyDescent="0.2">
      <c r="A20" s="187" t="str">
        <f t="shared" si="0"/>
        <v>01</v>
      </c>
      <c r="B20" s="187">
        <v>160</v>
      </c>
      <c r="C20" s="2927" t="s">
        <v>2441</v>
      </c>
      <c r="D20" s="2927"/>
      <c r="E20" s="2927"/>
      <c r="F20" s="2927"/>
      <c r="G20" s="2927"/>
      <c r="H20" s="2927"/>
      <c r="I20" s="2927"/>
      <c r="J20" s="191"/>
      <c r="K20" s="2927" t="s">
        <v>2442</v>
      </c>
      <c r="L20" s="2927"/>
      <c r="M20" s="2927"/>
      <c r="N20" s="191"/>
      <c r="O20" s="348"/>
      <c r="P20" s="191"/>
      <c r="R20" s="1502" t="str">
        <f t="shared" si="1"/>
        <v>Select Investment Type (Click here)</v>
      </c>
    </row>
    <row r="21" spans="1:18" ht="14.85" customHeight="1" x14ac:dyDescent="0.2">
      <c r="A21" s="187" t="str">
        <f t="shared" si="0"/>
        <v>01</v>
      </c>
      <c r="B21" s="187">
        <v>180</v>
      </c>
      <c r="C21" s="2927" t="s">
        <v>2441</v>
      </c>
      <c r="D21" s="2927"/>
      <c r="E21" s="2927"/>
      <c r="F21" s="2927"/>
      <c r="G21" s="2927"/>
      <c r="H21" s="2927"/>
      <c r="I21" s="2927"/>
      <c r="J21" s="191"/>
      <c r="K21" s="2927" t="s">
        <v>2442</v>
      </c>
      <c r="L21" s="2927"/>
      <c r="M21" s="2927"/>
      <c r="N21" s="191"/>
      <c r="O21" s="348"/>
      <c r="P21" s="191"/>
      <c r="R21" s="1502" t="str">
        <f t="shared" si="1"/>
        <v>Select Investment Type (Click here)</v>
      </c>
    </row>
    <row r="22" spans="1:18" ht="14.85" customHeight="1" x14ac:dyDescent="0.2">
      <c r="A22" s="187" t="str">
        <f t="shared" si="0"/>
        <v>01</v>
      </c>
      <c r="B22" s="187">
        <v>200</v>
      </c>
      <c r="C22" s="2927" t="s">
        <v>2441</v>
      </c>
      <c r="D22" s="2927"/>
      <c r="E22" s="2927"/>
      <c r="F22" s="2927"/>
      <c r="G22" s="2927"/>
      <c r="H22" s="2927"/>
      <c r="I22" s="2927"/>
      <c r="J22" s="191"/>
      <c r="K22" s="2927" t="s">
        <v>2442</v>
      </c>
      <c r="L22" s="2927"/>
      <c r="M22" s="2927"/>
      <c r="N22" s="191"/>
      <c r="O22" s="348"/>
      <c r="P22" s="191"/>
      <c r="R22" s="1502" t="str">
        <f t="shared" si="1"/>
        <v>Select Investment Type (Click here)</v>
      </c>
    </row>
    <row r="23" spans="1:18" ht="14.85" customHeight="1" x14ac:dyDescent="0.2">
      <c r="A23" s="187" t="str">
        <f t="shared" si="0"/>
        <v>01</v>
      </c>
      <c r="B23" s="187">
        <v>220</v>
      </c>
      <c r="C23" s="2927" t="s">
        <v>2441</v>
      </c>
      <c r="D23" s="2927"/>
      <c r="E23" s="2927"/>
      <c r="F23" s="2927"/>
      <c r="G23" s="2927"/>
      <c r="H23" s="2927"/>
      <c r="I23" s="2927"/>
      <c r="J23" s="191"/>
      <c r="K23" s="2927" t="s">
        <v>2442</v>
      </c>
      <c r="L23" s="2927"/>
      <c r="M23" s="2927"/>
      <c r="N23" s="191"/>
      <c r="O23" s="348"/>
      <c r="P23" s="191"/>
      <c r="R23" s="1502" t="str">
        <f t="shared" si="1"/>
        <v>Select Investment Type (Click here)</v>
      </c>
    </row>
    <row r="24" spans="1:18" ht="14.85" customHeight="1" x14ac:dyDescent="0.2">
      <c r="A24" s="187" t="str">
        <f t="shared" si="0"/>
        <v>01</v>
      </c>
      <c r="B24" s="187">
        <v>240</v>
      </c>
      <c r="C24" s="2927" t="s">
        <v>2441</v>
      </c>
      <c r="D24" s="2927"/>
      <c r="E24" s="2927"/>
      <c r="F24" s="2927"/>
      <c r="G24" s="2927"/>
      <c r="H24" s="2927"/>
      <c r="I24" s="2927"/>
      <c r="J24" s="191"/>
      <c r="K24" s="2927" t="s">
        <v>2442</v>
      </c>
      <c r="L24" s="2927"/>
      <c r="M24" s="2927"/>
      <c r="N24" s="191"/>
      <c r="O24" s="348"/>
      <c r="P24" s="191"/>
      <c r="R24" s="1502" t="str">
        <f t="shared" si="1"/>
        <v>Select Investment Type (Click here)</v>
      </c>
    </row>
    <row r="25" spans="1:18" ht="14.85" customHeight="1" x14ac:dyDescent="0.2">
      <c r="A25" s="187" t="str">
        <f t="shared" si="0"/>
        <v>01</v>
      </c>
      <c r="B25" s="187">
        <v>260</v>
      </c>
      <c r="C25" s="2927" t="s">
        <v>2441</v>
      </c>
      <c r="D25" s="2927"/>
      <c r="E25" s="2927"/>
      <c r="F25" s="2927"/>
      <c r="G25" s="2927"/>
      <c r="H25" s="2927"/>
      <c r="I25" s="2927"/>
      <c r="J25" s="191"/>
      <c r="K25" s="2927" t="s">
        <v>2442</v>
      </c>
      <c r="L25" s="2927"/>
      <c r="M25" s="2927"/>
      <c r="N25" s="191"/>
      <c r="O25" s="348"/>
      <c r="P25" s="191"/>
      <c r="R25" s="1502" t="str">
        <f t="shared" si="1"/>
        <v>Select Investment Type (Click here)</v>
      </c>
    </row>
    <row r="26" spans="1:18" ht="14.85" customHeight="1" x14ac:dyDescent="0.2">
      <c r="A26" s="187" t="str">
        <f t="shared" si="0"/>
        <v>01</v>
      </c>
      <c r="B26" s="187">
        <v>280</v>
      </c>
      <c r="C26" s="2927" t="s">
        <v>2441</v>
      </c>
      <c r="D26" s="2927"/>
      <c r="E26" s="2927"/>
      <c r="F26" s="2927"/>
      <c r="G26" s="2927"/>
      <c r="H26" s="2927"/>
      <c r="I26" s="2927"/>
      <c r="J26" s="191"/>
      <c r="K26" s="2927" t="s">
        <v>2442</v>
      </c>
      <c r="L26" s="2927"/>
      <c r="M26" s="2927"/>
      <c r="N26" s="191"/>
      <c r="O26" s="348"/>
      <c r="P26" s="191"/>
      <c r="R26" s="1502" t="str">
        <f t="shared" si="1"/>
        <v>Select Investment Type (Click here)</v>
      </c>
    </row>
    <row r="27" spans="1:18" ht="14.85" customHeight="1" x14ac:dyDescent="0.2">
      <c r="A27" s="187" t="str">
        <f t="shared" si="0"/>
        <v>01</v>
      </c>
      <c r="B27" s="187">
        <v>300</v>
      </c>
      <c r="C27" s="2927" t="s">
        <v>2441</v>
      </c>
      <c r="D27" s="2927"/>
      <c r="E27" s="2927"/>
      <c r="F27" s="2927"/>
      <c r="G27" s="2927"/>
      <c r="H27" s="2927"/>
      <c r="I27" s="2927"/>
      <c r="J27" s="191"/>
      <c r="K27" s="2927" t="s">
        <v>2442</v>
      </c>
      <c r="L27" s="2927"/>
      <c r="M27" s="2927"/>
      <c r="N27" s="191"/>
      <c r="O27" s="348"/>
      <c r="P27" s="191"/>
      <c r="R27" s="1502" t="str">
        <f t="shared" si="1"/>
        <v>Select Investment Type (Click here)</v>
      </c>
    </row>
    <row r="28" spans="1:18" ht="14.85" customHeight="1" x14ac:dyDescent="0.2">
      <c r="A28" s="187" t="str">
        <f t="shared" si="0"/>
        <v>01</v>
      </c>
      <c r="B28" s="187">
        <v>320</v>
      </c>
      <c r="C28" s="2927" t="s">
        <v>2441</v>
      </c>
      <c r="D28" s="2927"/>
      <c r="E28" s="2927"/>
      <c r="F28" s="2927"/>
      <c r="G28" s="2927"/>
      <c r="H28" s="2927"/>
      <c r="I28" s="2927"/>
      <c r="J28" s="191"/>
      <c r="K28" s="2927" t="s">
        <v>2442</v>
      </c>
      <c r="L28" s="2927"/>
      <c r="M28" s="2927"/>
      <c r="N28" s="191"/>
      <c r="O28" s="348"/>
      <c r="P28" s="191"/>
      <c r="R28" s="1502" t="str">
        <f t="shared" si="1"/>
        <v>Select Investment Type (Click here)</v>
      </c>
    </row>
    <row r="29" spans="1:18" ht="14.85" customHeight="1" x14ac:dyDescent="0.2">
      <c r="A29" s="187" t="str">
        <f t="shared" si="0"/>
        <v>01</v>
      </c>
      <c r="C29" s="2927" t="s">
        <v>2441</v>
      </c>
      <c r="D29" s="2927"/>
      <c r="E29" s="2927"/>
      <c r="F29" s="2927"/>
      <c r="G29" s="2927"/>
      <c r="H29" s="2927"/>
      <c r="I29" s="2927"/>
      <c r="J29" s="191"/>
      <c r="K29" s="2927" t="s">
        <v>2442</v>
      </c>
      <c r="L29" s="2927"/>
      <c r="M29" s="2927"/>
      <c r="N29" s="191"/>
      <c r="O29" s="348"/>
      <c r="P29" s="191"/>
      <c r="R29" s="1502" t="str">
        <f t="shared" si="1"/>
        <v>Select Investment Type (Click here)</v>
      </c>
    </row>
    <row r="30" spans="1:18" ht="14.85" customHeight="1" x14ac:dyDescent="0.2">
      <c r="A30" s="187" t="str">
        <f t="shared" si="0"/>
        <v>01</v>
      </c>
      <c r="C30" s="2927" t="s">
        <v>2441</v>
      </c>
      <c r="D30" s="2927"/>
      <c r="E30" s="2927"/>
      <c r="F30" s="2927"/>
      <c r="G30" s="2927"/>
      <c r="H30" s="2927"/>
      <c r="I30" s="2927"/>
      <c r="J30" s="191"/>
      <c r="K30" s="2927" t="s">
        <v>2442</v>
      </c>
      <c r="L30" s="2927"/>
      <c r="M30" s="2927"/>
      <c r="N30" s="191"/>
      <c r="O30" s="348"/>
      <c r="P30" s="191"/>
      <c r="R30" s="1502" t="str">
        <f t="shared" si="1"/>
        <v>Select Investment Type (Click here)</v>
      </c>
    </row>
    <row r="31" spans="1:18" ht="14.85" customHeight="1" x14ac:dyDescent="0.2">
      <c r="A31" s="187" t="str">
        <f t="shared" si="0"/>
        <v>01</v>
      </c>
      <c r="C31" s="2927" t="s">
        <v>2441</v>
      </c>
      <c r="D31" s="2927"/>
      <c r="E31" s="2927"/>
      <c r="F31" s="2927"/>
      <c r="G31" s="2927"/>
      <c r="H31" s="2927"/>
      <c r="I31" s="2927"/>
      <c r="J31" s="191"/>
      <c r="K31" s="2927" t="s">
        <v>2442</v>
      </c>
      <c r="L31" s="2927"/>
      <c r="M31" s="2927"/>
      <c r="N31" s="191"/>
      <c r="O31" s="348"/>
      <c r="P31" s="191"/>
      <c r="R31" s="1502" t="str">
        <f t="shared" si="1"/>
        <v>Select Investment Type (Click here)</v>
      </c>
    </row>
    <row r="32" spans="1:18" ht="14.85" customHeight="1" x14ac:dyDescent="0.2">
      <c r="A32" s="187" t="str">
        <f t="shared" si="0"/>
        <v>01</v>
      </c>
      <c r="C32" s="2927" t="s">
        <v>2441</v>
      </c>
      <c r="D32" s="2927"/>
      <c r="E32" s="2927"/>
      <c r="F32" s="2927"/>
      <c r="G32" s="2927"/>
      <c r="H32" s="2927"/>
      <c r="I32" s="2927"/>
      <c r="J32" s="191"/>
      <c r="K32" s="2927" t="s">
        <v>2442</v>
      </c>
      <c r="L32" s="2927"/>
      <c r="M32" s="2927"/>
      <c r="N32" s="191"/>
      <c r="O32" s="348"/>
      <c r="P32" s="191"/>
      <c r="R32" s="1502" t="str">
        <f t="shared" si="1"/>
        <v>Select Investment Type (Click here)</v>
      </c>
    </row>
    <row r="33" spans="1:18" ht="14.85" customHeight="1" x14ac:dyDescent="0.2">
      <c r="A33" s="187" t="str">
        <f t="shared" si="0"/>
        <v>01</v>
      </c>
      <c r="C33" s="2927" t="s">
        <v>2441</v>
      </c>
      <c r="D33" s="2927"/>
      <c r="E33" s="2927"/>
      <c r="F33" s="2927"/>
      <c r="G33" s="2927"/>
      <c r="H33" s="2927"/>
      <c r="I33" s="2927"/>
      <c r="J33" s="191"/>
      <c r="K33" s="2927" t="s">
        <v>2442</v>
      </c>
      <c r="L33" s="2927"/>
      <c r="M33" s="2927"/>
      <c r="N33" s="191"/>
      <c r="O33" s="348"/>
      <c r="P33" s="191"/>
      <c r="R33" s="1502" t="str">
        <f t="shared" si="1"/>
        <v>Select Investment Type (Click here)</v>
      </c>
    </row>
    <row r="34" spans="1:18" ht="14.85" customHeight="1" x14ac:dyDescent="0.2">
      <c r="A34" s="187" t="str">
        <f t="shared" si="0"/>
        <v>01</v>
      </c>
      <c r="C34" s="2927" t="s">
        <v>2441</v>
      </c>
      <c r="D34" s="2927"/>
      <c r="E34" s="2927"/>
      <c r="F34" s="2927"/>
      <c r="G34" s="2927"/>
      <c r="H34" s="2927"/>
      <c r="I34" s="2927"/>
      <c r="J34" s="191"/>
      <c r="K34" s="2927" t="s">
        <v>2442</v>
      </c>
      <c r="L34" s="2927"/>
      <c r="M34" s="2927"/>
      <c r="N34" s="191"/>
      <c r="O34" s="348"/>
      <c r="P34" s="191"/>
      <c r="R34" s="1502" t="str">
        <f t="shared" si="1"/>
        <v>Select Investment Type (Click here)</v>
      </c>
    </row>
    <row r="35" spans="1:18" ht="14.85" customHeight="1" x14ac:dyDescent="0.2">
      <c r="A35" s="187" t="str">
        <f t="shared" si="0"/>
        <v>01</v>
      </c>
      <c r="C35" s="2927" t="s">
        <v>2441</v>
      </c>
      <c r="D35" s="2927"/>
      <c r="E35" s="2927"/>
      <c r="F35" s="2927"/>
      <c r="G35" s="2927"/>
      <c r="H35" s="2927"/>
      <c r="I35" s="2927"/>
      <c r="J35" s="191"/>
      <c r="K35" s="2927" t="s">
        <v>2442</v>
      </c>
      <c r="L35" s="2927"/>
      <c r="M35" s="2927"/>
      <c r="N35" s="191"/>
      <c r="O35" s="348"/>
      <c r="P35" s="191"/>
      <c r="R35" s="1502" t="str">
        <f t="shared" si="1"/>
        <v>Select Investment Type (Click here)</v>
      </c>
    </row>
    <row r="36" spans="1:18" ht="14.85" customHeight="1" x14ac:dyDescent="0.2">
      <c r="A36" s="187" t="str">
        <f t="shared" si="0"/>
        <v>01</v>
      </c>
      <c r="C36" s="2927" t="s">
        <v>2441</v>
      </c>
      <c r="D36" s="2927"/>
      <c r="E36" s="2927"/>
      <c r="F36" s="2927"/>
      <c r="G36" s="2927"/>
      <c r="H36" s="2927"/>
      <c r="I36" s="2927"/>
      <c r="J36" s="191"/>
      <c r="K36" s="2927" t="s">
        <v>2442</v>
      </c>
      <c r="L36" s="2927"/>
      <c r="M36" s="2927"/>
      <c r="N36" s="191"/>
      <c r="O36" s="348"/>
      <c r="P36" s="191"/>
      <c r="R36" s="1502" t="str">
        <f t="shared" si="1"/>
        <v>Select Investment Type (Click here)</v>
      </c>
    </row>
    <row r="37" spans="1:18" ht="14.85" customHeight="1" x14ac:dyDescent="0.2">
      <c r="A37" s="187" t="str">
        <f t="shared" si="0"/>
        <v>01</v>
      </c>
      <c r="B37" s="187">
        <v>340</v>
      </c>
      <c r="C37" s="2927" t="s">
        <v>2441</v>
      </c>
      <c r="D37" s="2927"/>
      <c r="E37" s="2927"/>
      <c r="F37" s="2927"/>
      <c r="G37" s="2927"/>
      <c r="H37" s="2927"/>
      <c r="I37" s="2927"/>
      <c r="J37" s="191"/>
      <c r="K37" s="2927" t="s">
        <v>2442</v>
      </c>
      <c r="L37" s="2927"/>
      <c r="M37" s="2927"/>
      <c r="N37" s="191"/>
      <c r="O37" s="348"/>
      <c r="P37" s="191"/>
      <c r="R37" s="1502" t="str">
        <f t="shared" si="1"/>
        <v>Select Investment Type (Click here)</v>
      </c>
    </row>
    <row r="38" spans="1:18" ht="14.85" customHeight="1" x14ac:dyDescent="0.2">
      <c r="A38" s="187" t="str">
        <f t="shared" si="0"/>
        <v>01</v>
      </c>
      <c r="B38" s="187">
        <v>360</v>
      </c>
      <c r="C38" s="2927" t="s">
        <v>2441</v>
      </c>
      <c r="D38" s="2927"/>
      <c r="E38" s="2927"/>
      <c r="F38" s="2927"/>
      <c r="G38" s="2927"/>
      <c r="H38" s="2927"/>
      <c r="I38" s="2927"/>
      <c r="J38" s="191"/>
      <c r="K38" s="2927" t="s">
        <v>2442</v>
      </c>
      <c r="L38" s="2927"/>
      <c r="M38" s="2927"/>
      <c r="N38" s="191"/>
      <c r="O38" s="348">
        <v>0</v>
      </c>
      <c r="P38" s="191"/>
      <c r="R38" s="1502" t="str">
        <f t="shared" si="1"/>
        <v>Select Investment Type (Click here)</v>
      </c>
    </row>
    <row r="39" spans="1:18" ht="14.85" customHeight="1" x14ac:dyDescent="0.2">
      <c r="A39" s="187" t="str">
        <f t="shared" si="0"/>
        <v>01</v>
      </c>
      <c r="C39" s="2927" t="s">
        <v>2441</v>
      </c>
      <c r="D39" s="2927"/>
      <c r="E39" s="2927"/>
      <c r="F39" s="2927"/>
      <c r="G39" s="2927"/>
      <c r="H39" s="2927"/>
      <c r="I39" s="2927"/>
      <c r="J39" s="191"/>
      <c r="K39" s="2927" t="s">
        <v>2442</v>
      </c>
      <c r="L39" s="2927"/>
      <c r="M39" s="2927"/>
      <c r="N39" s="191"/>
      <c r="O39" s="348"/>
      <c r="P39" s="191"/>
      <c r="R39" s="1502" t="str">
        <f t="shared" si="1"/>
        <v>Select Investment Type (Click here)</v>
      </c>
    </row>
    <row r="40" spans="1:18" ht="14.85" customHeight="1" x14ac:dyDescent="0.2">
      <c r="A40" s="187" t="str">
        <f t="shared" si="0"/>
        <v>01</v>
      </c>
      <c r="B40" s="187">
        <v>380</v>
      </c>
      <c r="C40" s="2927" t="s">
        <v>2441</v>
      </c>
      <c r="D40" s="2927"/>
      <c r="E40" s="2927"/>
      <c r="F40" s="2927"/>
      <c r="G40" s="2927"/>
      <c r="H40" s="2927"/>
      <c r="I40" s="2927"/>
      <c r="J40" s="191"/>
      <c r="K40" s="2927" t="s">
        <v>2442</v>
      </c>
      <c r="L40" s="2927"/>
      <c r="M40" s="2927"/>
      <c r="N40" s="191"/>
      <c r="O40" s="348"/>
      <c r="P40" s="191"/>
      <c r="R40" s="1502" t="str">
        <f t="shared" ref="R40:R42" si="2">IF(C40="Other hedge funds","Hedge funds",IF(C40="","",C40))</f>
        <v>Select Investment Type (Click here)</v>
      </c>
    </row>
    <row r="41" spans="1:18" ht="14.85" customHeight="1" x14ac:dyDescent="0.2">
      <c r="A41" s="187" t="str">
        <f t="shared" si="0"/>
        <v>01</v>
      </c>
      <c r="B41" s="187">
        <v>380</v>
      </c>
      <c r="C41" s="2927" t="s">
        <v>2441</v>
      </c>
      <c r="D41" s="2927"/>
      <c r="E41" s="2927"/>
      <c r="F41" s="2927"/>
      <c r="G41" s="2927"/>
      <c r="H41" s="2927"/>
      <c r="I41" s="2927"/>
      <c r="J41" s="191"/>
      <c r="K41" s="2927" t="s">
        <v>2442</v>
      </c>
      <c r="L41" s="2927"/>
      <c r="M41" s="2927"/>
      <c r="N41" s="191"/>
      <c r="O41" s="348"/>
      <c r="P41" s="191"/>
      <c r="R41" s="1502" t="str">
        <f t="shared" si="2"/>
        <v>Select Investment Type (Click here)</v>
      </c>
    </row>
    <row r="42" spans="1:18" ht="14.85" customHeight="1" x14ac:dyDescent="0.2">
      <c r="A42" s="187" t="str">
        <f t="shared" si="0"/>
        <v>01</v>
      </c>
      <c r="B42" s="187">
        <v>380</v>
      </c>
      <c r="C42" s="2927" t="s">
        <v>2441</v>
      </c>
      <c r="D42" s="2927"/>
      <c r="E42" s="2927"/>
      <c r="F42" s="2927"/>
      <c r="G42" s="2927"/>
      <c r="H42" s="2927"/>
      <c r="I42" s="2927"/>
      <c r="J42" s="191"/>
      <c r="K42" s="2927" t="s">
        <v>2442</v>
      </c>
      <c r="L42" s="2927"/>
      <c r="M42" s="2927"/>
      <c r="N42" s="191"/>
      <c r="O42" s="348"/>
      <c r="P42" s="191"/>
      <c r="R42" s="1502" t="str">
        <f t="shared" si="2"/>
        <v>Select Investment Type (Click here)</v>
      </c>
    </row>
    <row r="43" spans="1:18" ht="14.85" customHeight="1" x14ac:dyDescent="0.2">
      <c r="A43" s="187" t="str">
        <f t="shared" si="0"/>
        <v>01</v>
      </c>
      <c r="B43" s="187">
        <v>380</v>
      </c>
      <c r="C43" s="2927" t="s">
        <v>2441</v>
      </c>
      <c r="D43" s="2927"/>
      <c r="E43" s="2927"/>
      <c r="F43" s="2927"/>
      <c r="G43" s="2927"/>
      <c r="H43" s="2927"/>
      <c r="I43" s="2927"/>
      <c r="J43" s="191"/>
      <c r="K43" s="2927" t="s">
        <v>2442</v>
      </c>
      <c r="L43" s="2927"/>
      <c r="M43" s="2927"/>
      <c r="N43" s="191"/>
      <c r="O43" s="348"/>
      <c r="P43" s="191"/>
      <c r="R43" s="1502" t="str">
        <f t="shared" si="1"/>
        <v>Select Investment Type (Click here)</v>
      </c>
    </row>
    <row r="44" spans="1:18" ht="18.75" customHeight="1" thickBot="1" x14ac:dyDescent="0.25">
      <c r="A44" s="187" t="str">
        <f t="shared" si="0"/>
        <v>01</v>
      </c>
      <c r="B44" s="187">
        <v>400</v>
      </c>
      <c r="C44" s="193"/>
      <c r="D44" s="191"/>
      <c r="E44" s="191"/>
      <c r="F44" s="191"/>
      <c r="G44" s="191"/>
      <c r="H44" s="191"/>
      <c r="I44" s="191"/>
      <c r="J44" s="191"/>
      <c r="K44" s="191"/>
      <c r="L44" s="191"/>
      <c r="M44" s="2358" t="s">
        <v>955</v>
      </c>
      <c r="N44" s="191"/>
      <c r="O44" s="185">
        <f>SUM(O16:O43)</f>
        <v>0</v>
      </c>
      <c r="P44" s="191"/>
    </row>
    <row r="45" spans="1:18" ht="8.1" customHeight="1" thickTop="1" x14ac:dyDescent="0.2">
      <c r="A45" s="187" t="str">
        <f t="shared" si="0"/>
        <v>01</v>
      </c>
      <c r="C45" s="193"/>
      <c r="D45" s="191"/>
      <c r="E45" s="191"/>
      <c r="F45" s="191"/>
      <c r="G45" s="191"/>
      <c r="H45" s="191"/>
      <c r="I45" s="191"/>
      <c r="J45" s="191"/>
      <c r="K45" s="191"/>
      <c r="L45" s="191"/>
      <c r="M45" s="191"/>
      <c r="N45" s="191"/>
      <c r="O45" s="191"/>
      <c r="P45" s="191"/>
    </row>
    <row r="46" spans="1:18" ht="12.75" x14ac:dyDescent="0.2">
      <c r="A46" s="187" t="str">
        <f t="shared" ref="A46:A73" si="3">AgyIdx</f>
        <v>01</v>
      </c>
      <c r="C46" s="879" t="s">
        <v>2443</v>
      </c>
      <c r="D46" s="191"/>
      <c r="E46" s="191"/>
      <c r="F46" s="191"/>
      <c r="G46" s="191"/>
      <c r="H46" s="191"/>
      <c r="I46" s="191"/>
      <c r="J46" s="191"/>
      <c r="K46" s="191"/>
      <c r="L46" s="191"/>
      <c r="M46" s="191"/>
      <c r="N46" s="191"/>
      <c r="O46" s="191"/>
      <c r="P46" s="191"/>
    </row>
    <row r="47" spans="1:18" x14ac:dyDescent="0.2">
      <c r="A47" s="187" t="str">
        <f t="shared" si="3"/>
        <v>01</v>
      </c>
      <c r="C47" s="350" t="s">
        <v>2444</v>
      </c>
      <c r="D47" s="191"/>
      <c r="E47" s="191"/>
      <c r="F47" s="191"/>
      <c r="G47" s="191"/>
      <c r="H47" s="191"/>
      <c r="I47" s="191"/>
      <c r="J47" s="191"/>
      <c r="K47" s="191"/>
      <c r="L47" s="191"/>
      <c r="M47" s="191"/>
      <c r="N47" s="191"/>
      <c r="O47" s="191"/>
      <c r="P47" s="191"/>
    </row>
    <row r="48" spans="1:18" x14ac:dyDescent="0.2">
      <c r="A48" s="187" t="str">
        <f t="shared" si="3"/>
        <v>01</v>
      </c>
      <c r="C48" s="187" t="s">
        <v>2445</v>
      </c>
      <c r="D48" s="191"/>
      <c r="E48" s="191"/>
      <c r="F48" s="191"/>
      <c r="G48" s="191"/>
      <c r="H48" s="191"/>
      <c r="I48" s="191"/>
      <c r="J48" s="191"/>
      <c r="K48" s="191"/>
      <c r="L48" s="191"/>
      <c r="M48" s="191"/>
      <c r="N48" s="191"/>
      <c r="O48" s="191"/>
      <c r="P48" s="191"/>
    </row>
    <row r="49" spans="1:16" x14ac:dyDescent="0.2">
      <c r="A49" s="187" t="str">
        <f t="shared" si="3"/>
        <v>01</v>
      </c>
      <c r="C49" s="201"/>
      <c r="D49" s="191"/>
      <c r="E49" s="191"/>
      <c r="F49" s="191"/>
      <c r="G49" s="191"/>
      <c r="H49" s="191"/>
      <c r="I49" s="191"/>
      <c r="J49" s="191"/>
      <c r="K49" s="191"/>
      <c r="L49" s="191"/>
      <c r="M49" s="191"/>
      <c r="N49" s="191"/>
      <c r="O49" s="191"/>
      <c r="P49" s="191"/>
    </row>
    <row r="50" spans="1:16" x14ac:dyDescent="0.2">
      <c r="A50" s="187" t="str">
        <f t="shared" si="3"/>
        <v>01</v>
      </c>
      <c r="C50" s="350" t="s">
        <v>2446</v>
      </c>
      <c r="D50" s="191"/>
      <c r="E50" s="191"/>
      <c r="F50" s="191"/>
      <c r="G50" s="191"/>
      <c r="H50" s="191"/>
      <c r="I50" s="191"/>
      <c r="J50" s="191"/>
      <c r="K50" s="191"/>
      <c r="L50" s="191"/>
      <c r="M50" s="191"/>
      <c r="N50" s="191"/>
      <c r="O50" s="191"/>
      <c r="P50" s="191"/>
    </row>
    <row r="51" spans="1:16" x14ac:dyDescent="0.2">
      <c r="A51" s="187" t="str">
        <f t="shared" si="3"/>
        <v>01</v>
      </c>
      <c r="C51" s="201"/>
      <c r="D51" s="187" t="s">
        <v>2447</v>
      </c>
      <c r="E51" s="191"/>
      <c r="F51" s="191"/>
      <c r="G51" s="191"/>
      <c r="H51" s="191"/>
      <c r="I51" s="191"/>
      <c r="J51" s="191"/>
      <c r="K51" s="191"/>
      <c r="L51" s="191"/>
      <c r="M51" s="191"/>
      <c r="N51" s="191"/>
      <c r="O51" s="191"/>
      <c r="P51" s="191"/>
    </row>
    <row r="52" spans="1:16" x14ac:dyDescent="0.2">
      <c r="C52" s="201"/>
      <c r="E52" s="191"/>
      <c r="F52" s="191"/>
      <c r="G52" s="191"/>
      <c r="H52" s="191"/>
      <c r="I52" s="191"/>
      <c r="J52" s="191"/>
      <c r="K52" s="191"/>
      <c r="L52" s="191"/>
      <c r="M52" s="191"/>
      <c r="N52" s="191"/>
      <c r="O52" s="191"/>
      <c r="P52" s="191"/>
    </row>
    <row r="53" spans="1:16" ht="12.75" x14ac:dyDescent="0.2">
      <c r="A53" s="187" t="str">
        <f t="shared" si="3"/>
        <v>01</v>
      </c>
      <c r="F53" s="205" t="s">
        <v>2448</v>
      </c>
      <c r="G53" s="897"/>
      <c r="J53" s="205"/>
      <c r="K53" s="898"/>
      <c r="L53" s="191"/>
      <c r="M53" s="2270" t="str">
        <f>IF(O44&gt;0,IF(ISBLANK(G53),"Response Required"," ")," ")</f>
        <v xml:space="preserve"> </v>
      </c>
      <c r="N53" s="191"/>
      <c r="O53" s="2209"/>
      <c r="P53"/>
    </row>
    <row r="54" spans="1:16" ht="12.75" x14ac:dyDescent="0.2">
      <c r="F54" s="899" t="s">
        <v>2449</v>
      </c>
      <c r="J54" s="205"/>
      <c r="K54" s="898"/>
      <c r="L54" s="191"/>
      <c r="M54" s="2270"/>
      <c r="N54" s="191"/>
      <c r="O54" s="2209"/>
      <c r="P54"/>
    </row>
    <row r="55" spans="1:16" ht="11.1" customHeight="1" x14ac:dyDescent="0.2">
      <c r="A55" s="187" t="str">
        <f t="shared" si="3"/>
        <v>01</v>
      </c>
      <c r="C55" s="193"/>
      <c r="D55" s="191"/>
      <c r="E55" s="191"/>
      <c r="F55" s="191"/>
      <c r="G55" s="191"/>
      <c r="H55" s="191"/>
      <c r="I55" s="191"/>
      <c r="J55" s="191"/>
      <c r="K55" s="191"/>
      <c r="L55" s="191"/>
      <c r="M55" s="191"/>
      <c r="N55" s="191"/>
      <c r="O55" s="191"/>
      <c r="P55" s="191"/>
    </row>
    <row r="56" spans="1:16" ht="12" customHeight="1" x14ac:dyDescent="0.2">
      <c r="A56" s="187" t="str">
        <f t="shared" si="3"/>
        <v>01</v>
      </c>
      <c r="C56" s="349" t="s">
        <v>2450</v>
      </c>
      <c r="D56" s="191"/>
      <c r="E56" s="191"/>
      <c r="F56" s="191"/>
      <c r="G56" s="191"/>
      <c r="H56" s="191"/>
      <c r="I56" s="191"/>
      <c r="J56" s="191"/>
      <c r="K56" s="191"/>
      <c r="L56" s="191"/>
      <c r="M56" s="191"/>
      <c r="N56" s="191"/>
      <c r="O56" s="191"/>
      <c r="P56" s="191"/>
    </row>
    <row r="57" spans="1:16" ht="12.75" customHeight="1" x14ac:dyDescent="0.2">
      <c r="A57" s="187" t="str">
        <f t="shared" si="3"/>
        <v>01</v>
      </c>
      <c r="C57" s="193"/>
      <c r="D57" s="191"/>
      <c r="E57" s="191"/>
      <c r="F57" s="191"/>
      <c r="G57" s="191"/>
      <c r="H57" s="191"/>
      <c r="I57" s="191"/>
      <c r="J57" s="191"/>
      <c r="K57" s="191"/>
      <c r="L57" s="191"/>
      <c r="M57" s="191"/>
      <c r="N57" s="191"/>
      <c r="O57" s="191"/>
      <c r="P57" s="191"/>
    </row>
    <row r="58" spans="1:16" ht="12.75" customHeight="1" x14ac:dyDescent="0.2">
      <c r="A58" s="187" t="str">
        <f t="shared" si="3"/>
        <v>01</v>
      </c>
      <c r="C58" s="349"/>
      <c r="F58" s="205" t="s">
        <v>2451</v>
      </c>
      <c r="G58" s="897"/>
      <c r="J58" s="205" t="s">
        <v>2452</v>
      </c>
      <c r="K58" s="2344"/>
      <c r="M58" s="2270" t="str">
        <f>IF(O44&gt;0,IF(ISBLANK(G58),IF(ISBLANK(K58),"Response Required"," ")," ")," ")</f>
        <v xml:space="preserve"> </v>
      </c>
      <c r="N58" s="191"/>
      <c r="O58" s="2209"/>
      <c r="P58" s="191"/>
    </row>
    <row r="59" spans="1:16" ht="10.35" customHeight="1" x14ac:dyDescent="0.2">
      <c r="A59" s="187" t="str">
        <f t="shared" si="3"/>
        <v>01</v>
      </c>
      <c r="C59" s="191"/>
      <c r="D59" s="191"/>
      <c r="E59" s="191"/>
      <c r="F59" s="191"/>
      <c r="G59" s="191"/>
      <c r="H59" s="191"/>
      <c r="I59" s="191"/>
    </row>
    <row r="60" spans="1:16" x14ac:dyDescent="0.2">
      <c r="A60" s="187" t="str">
        <f t="shared" si="3"/>
        <v>01</v>
      </c>
      <c r="D60" s="191"/>
      <c r="E60" s="191"/>
      <c r="F60" s="191"/>
      <c r="G60" s="191"/>
      <c r="H60" s="191"/>
      <c r="I60" s="191"/>
    </row>
    <row r="61" spans="1:16" x14ac:dyDescent="0.2">
      <c r="A61" s="187" t="str">
        <f t="shared" si="3"/>
        <v>01</v>
      </c>
    </row>
    <row r="62" spans="1:16" x14ac:dyDescent="0.2">
      <c r="A62" s="187" t="str">
        <f t="shared" si="3"/>
        <v>01</v>
      </c>
    </row>
    <row r="63" spans="1:16" x14ac:dyDescent="0.2">
      <c r="A63" s="187" t="str">
        <f t="shared" si="3"/>
        <v>01</v>
      </c>
    </row>
    <row r="64" spans="1:16" x14ac:dyDescent="0.2">
      <c r="A64" s="187" t="str">
        <f t="shared" si="3"/>
        <v>01</v>
      </c>
    </row>
    <row r="65" spans="1:1" x14ac:dyDescent="0.2">
      <c r="A65" s="187" t="str">
        <f t="shared" si="3"/>
        <v>01</v>
      </c>
    </row>
    <row r="66" spans="1:1" x14ac:dyDescent="0.2">
      <c r="A66" s="187" t="str">
        <f t="shared" si="3"/>
        <v>01</v>
      </c>
    </row>
    <row r="67" spans="1:1" x14ac:dyDescent="0.2">
      <c r="A67" s="187" t="str">
        <f t="shared" si="3"/>
        <v>01</v>
      </c>
    </row>
    <row r="68" spans="1:1" x14ac:dyDescent="0.2">
      <c r="A68" s="187" t="str">
        <f t="shared" si="3"/>
        <v>01</v>
      </c>
    </row>
    <row r="69" spans="1:1" x14ac:dyDescent="0.2">
      <c r="A69" s="187" t="str">
        <f t="shared" si="3"/>
        <v>01</v>
      </c>
    </row>
    <row r="70" spans="1:1" x14ac:dyDescent="0.2">
      <c r="A70" s="187" t="str">
        <f t="shared" si="3"/>
        <v>01</v>
      </c>
    </row>
    <row r="71" spans="1:1" x14ac:dyDescent="0.2">
      <c r="A71" s="187" t="str">
        <f t="shared" si="3"/>
        <v>01</v>
      </c>
    </row>
    <row r="72" spans="1:1" x14ac:dyDescent="0.2">
      <c r="A72" s="187" t="str">
        <f t="shared" si="3"/>
        <v>01</v>
      </c>
    </row>
    <row r="73" spans="1:1" x14ac:dyDescent="0.2">
      <c r="A73" s="187" t="str">
        <f t="shared" si="3"/>
        <v>01</v>
      </c>
    </row>
  </sheetData>
  <sheetProtection algorithmName="SHA-512" hashValue="f5VGcMkwi1/Gy3/6EbHJDrE4/hFElDjIbhwOwIiQDEJB0yoq9fSbW70taWJ2nBSRiWUGKb0y1XgQI1we5cysOA==" saltValue="2QpmLHyB1Sg6VoQMtB+0ZQ==" spinCount="100000" sheet="1" objects="1" scenarios="1" autoFilter="0"/>
  <customSheetViews>
    <customSheetView guid="{9FCFC836-1CA5-48BF-958D-24D2EA94B219}" showGridLines="0" fitToPage="1" hiddenColumns="1" topLeftCell="C1">
      <selection activeCell="C1" sqref="C1:O1"/>
      <pageMargins left="0" right="0" top="0" bottom="0" header="0" footer="0"/>
      <pageSetup orientation="landscape" r:id="rId1"/>
      <headerFooter alignWithMargins="0">
        <oddFooter>&amp;R&amp;A</oddFooter>
      </headerFooter>
    </customSheetView>
    <customSheetView guid="{BEA4BE86-04D1-4C96-9358-7A260B9D2B2D}" showGridLines="0" fitToPage="1" showRuler="0">
      <selection activeCell="D8" sqref="D8:E8"/>
      <pageMargins left="0" right="0" top="0" bottom="0" header="0" footer="0"/>
      <pageSetup orientation="landscape" r:id="rId2"/>
      <headerFooter alignWithMargins="0">
        <oddFooter>&amp;R&amp;A</oddFooter>
      </headerFooter>
    </customSheetView>
    <customSheetView guid="{1250FD07-FF56-4A9D-AF9E-C27124A7EBE9}" showGridLines="0" fitToPage="1" showRuler="0">
      <selection activeCell="D8" sqref="D8:E8"/>
      <pageMargins left="0" right="0" top="0" bottom="0" header="0" footer="0"/>
      <pageSetup orientation="landscape" r:id="rId3"/>
      <headerFooter alignWithMargins="0">
        <oddFooter>&amp;R&amp;A</oddFooter>
      </headerFooter>
    </customSheetView>
    <customSheetView guid="{B08879A4-635B-4C39-9937-AC7883D562FC}" showGridLines="0" fitToPage="1" hiddenColumns="1" topLeftCell="C1">
      <selection activeCell="C1" sqref="C1:O1"/>
      <pageMargins left="0" right="0" top="0" bottom="0" header="0" footer="0"/>
      <pageSetup orientation="landscape" r:id="rId4"/>
      <headerFooter alignWithMargins="0">
        <oddFooter>&amp;R&amp;A</oddFooter>
      </headerFooter>
    </customSheetView>
  </customSheetViews>
  <mergeCells count="70">
    <mergeCell ref="C12:O13"/>
    <mergeCell ref="C26:I26"/>
    <mergeCell ref="K26:M26"/>
    <mergeCell ref="C24:I24"/>
    <mergeCell ref="K24:M24"/>
    <mergeCell ref="C25:I25"/>
    <mergeCell ref="K25:M25"/>
    <mergeCell ref="K18:M18"/>
    <mergeCell ref="K20:M20"/>
    <mergeCell ref="C21:I21"/>
    <mergeCell ref="K21:M21"/>
    <mergeCell ref="C20:I20"/>
    <mergeCell ref="C18:I18"/>
    <mergeCell ref="C15:I15"/>
    <mergeCell ref="K17:M17"/>
    <mergeCell ref="C16:I16"/>
    <mergeCell ref="C43:I43"/>
    <mergeCell ref="K43:M43"/>
    <mergeCell ref="C38:I38"/>
    <mergeCell ref="K38:M38"/>
    <mergeCell ref="C27:I27"/>
    <mergeCell ref="K27:M27"/>
    <mergeCell ref="C37:I37"/>
    <mergeCell ref="K37:M37"/>
    <mergeCell ref="C28:I28"/>
    <mergeCell ref="K28:M28"/>
    <mergeCell ref="C29:I29"/>
    <mergeCell ref="C30:I30"/>
    <mergeCell ref="C31:I31"/>
    <mergeCell ref="C32:I32"/>
    <mergeCell ref="C33:I33"/>
    <mergeCell ref="C34:I34"/>
    <mergeCell ref="K16:M16"/>
    <mergeCell ref="K14:M14"/>
    <mergeCell ref="K15:M15"/>
    <mergeCell ref="C17:I17"/>
    <mergeCell ref="C23:I23"/>
    <mergeCell ref="K23:M23"/>
    <mergeCell ref="C19:I19"/>
    <mergeCell ref="K19:M19"/>
    <mergeCell ref="C22:I22"/>
    <mergeCell ref="K22:M22"/>
    <mergeCell ref="C4:O4"/>
    <mergeCell ref="F8:G8"/>
    <mergeCell ref="P1:P3"/>
    <mergeCell ref="K6:O6"/>
    <mergeCell ref="K7:O7"/>
    <mergeCell ref="K8:O8"/>
    <mergeCell ref="C1:O1"/>
    <mergeCell ref="C2:O2"/>
    <mergeCell ref="F6:G6"/>
    <mergeCell ref="C3:O3"/>
    <mergeCell ref="C35:I35"/>
    <mergeCell ref="C36:I36"/>
    <mergeCell ref="C39:I39"/>
    <mergeCell ref="K29:M29"/>
    <mergeCell ref="K30:M30"/>
    <mergeCell ref="K31:M31"/>
    <mergeCell ref="K32:M32"/>
    <mergeCell ref="K33:M33"/>
    <mergeCell ref="K34:M34"/>
    <mergeCell ref="K35:M35"/>
    <mergeCell ref="K36:M36"/>
    <mergeCell ref="K39:M39"/>
    <mergeCell ref="C40:I40"/>
    <mergeCell ref="K40:M40"/>
    <mergeCell ref="C41:I41"/>
    <mergeCell ref="K41:M41"/>
    <mergeCell ref="C42:I42"/>
    <mergeCell ref="K42:M42"/>
  </mergeCells>
  <phoneticPr fontId="16" type="noConversion"/>
  <conditionalFormatting sqref="M53:M54">
    <cfRule type="containsText" dxfId="30" priority="6" stopIfTrue="1" operator="containsText" text="Response Required">
      <formula>NOT(ISERROR(SEARCH("Response Required",M53)))</formula>
    </cfRule>
  </conditionalFormatting>
  <conditionalFormatting sqref="M58">
    <cfRule type="containsText" dxfId="29" priority="1" stopIfTrue="1" operator="containsText" text="Response Required">
      <formula>NOT(ISERROR(SEARCH("Response Required",M58)))</formula>
    </cfRule>
  </conditionalFormatting>
  <conditionalFormatting sqref="O58">
    <cfRule type="containsText" dxfId="28" priority="9" stopIfTrue="1" operator="containsText" text="Answer Missing">
      <formula>NOT(ISERROR(SEARCH("Answer Missing",O58)))</formula>
    </cfRule>
  </conditionalFormatting>
  <conditionalFormatting sqref="O53:P54">
    <cfRule type="containsText" dxfId="27" priority="10" stopIfTrue="1" operator="containsText" text="Answer Missing">
      <formula>NOT(ISERROR(SEARCH("Answer Missing",O53)))</formula>
    </cfRule>
  </conditionalFormatting>
  <conditionalFormatting sqref="P1:P3">
    <cfRule type="cellIs" dxfId="26" priority="11" stopIfTrue="1" operator="equal">
      <formula>"na"</formula>
    </cfRule>
  </conditionalFormatting>
  <hyperlinks>
    <hyperlink ref="C1:O1" location="Index!A1" display="Index!A1" xr:uid="{00000000-0004-0000-4400-000000000000}"/>
  </hyperlinks>
  <pageMargins left="0.6" right="0.6" top="0.5" bottom="0.5" header="0.3" footer="0.3"/>
  <pageSetup scale="79" fitToHeight="0"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CBB1CA4E-87A4-4F62-BF5D-DD5EEDB36E7F}">
          <x14:formula1>
            <xm:f>Notes!$AJ$3:$AJ$11</xm:f>
          </x14:formula1>
          <xm:sqref>C17:I43</xm:sqref>
        </x14:dataValidation>
        <x14:dataValidation type="list" allowBlank="1" showInputMessage="1" showErrorMessage="1" xr:uid="{D3F1AAB8-6930-4B45-BEA6-62F6664DF95B}">
          <x14:formula1>
            <xm:f>Notes!$AN$3:$AN$32</xm:f>
          </x14:formula1>
          <xm:sqref>K17:M43</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S55"/>
  <sheetViews>
    <sheetView showGridLines="0" topLeftCell="C1" zoomScaleNormal="100" workbookViewId="0">
      <selection activeCell="B125" sqref="B125:E125"/>
    </sheetView>
  </sheetViews>
  <sheetFormatPr defaultColWidth="9.42578125" defaultRowHeight="12" x14ac:dyDescent="0.2"/>
  <cols>
    <col min="1" max="2" width="0" style="187" hidden="1" customWidth="1"/>
    <col min="3" max="4" width="2" style="187" customWidth="1"/>
    <col min="5" max="5" width="4.42578125" style="187" customWidth="1"/>
    <col min="6" max="6" width="8.42578125" style="187" customWidth="1"/>
    <col min="7" max="7" width="14.5703125" style="187" customWidth="1"/>
    <col min="8" max="8" width="8.5703125" style="187" customWidth="1"/>
    <col min="9" max="9" width="2.42578125" style="187" customWidth="1"/>
    <col min="10" max="10" width="15.5703125" style="187" customWidth="1"/>
    <col min="11" max="11" width="2.42578125" style="187" customWidth="1"/>
    <col min="12" max="12" width="14.5703125" style="187" customWidth="1"/>
    <col min="13" max="13" width="2.42578125" style="187" customWidth="1"/>
    <col min="14" max="14" width="15.5703125" style="187" customWidth="1"/>
    <col min="15" max="15" width="1.42578125" style="187" customWidth="1"/>
    <col min="16" max="16" width="18.5703125" style="187" customWidth="1"/>
    <col min="17" max="17" width="1.42578125" style="187" customWidth="1"/>
    <col min="18" max="18" width="9.42578125" style="187" customWidth="1"/>
    <col min="19" max="19" width="4.5703125" style="187" customWidth="1"/>
    <col min="20" max="16384" width="9.42578125" style="187"/>
  </cols>
  <sheetData>
    <row r="1" spans="1:19" ht="15.75" x14ac:dyDescent="0.25">
      <c r="A1" s="187" t="str">
        <f t="shared" ref="A1:A31" si="0">AgyIdx</f>
        <v>01</v>
      </c>
      <c r="C1" s="2455" t="str">
        <f>+Index!$A$1</f>
        <v xml:space="preserve">                                                               Office of the State Controller                                                                </v>
      </c>
      <c r="D1" s="2455"/>
      <c r="E1" s="2455"/>
      <c r="F1" s="2455"/>
      <c r="G1" s="2455"/>
      <c r="H1" s="2455"/>
      <c r="I1" s="2455"/>
      <c r="J1" s="2455"/>
      <c r="K1" s="2455"/>
      <c r="L1" s="2455"/>
      <c r="M1" s="2455"/>
      <c r="N1" s="2455"/>
      <c r="O1" s="2455"/>
      <c r="P1" s="2455"/>
      <c r="Q1" s="2455"/>
      <c r="R1" s="2455"/>
      <c r="S1" s="2520" t="str">
        <f>IF(Index!$B$98="na","NA","")</f>
        <v/>
      </c>
    </row>
    <row r="2" spans="1:19" ht="15.75" x14ac:dyDescent="0.25">
      <c r="A2" s="187" t="str">
        <f t="shared" si="0"/>
        <v>01</v>
      </c>
      <c r="C2" s="2439" t="str">
        <f>+Index!$A$2</f>
        <v>2023 ACFR Worksheets</v>
      </c>
      <c r="D2" s="2439"/>
      <c r="E2" s="2439"/>
      <c r="F2" s="2439"/>
      <c r="G2" s="2439"/>
      <c r="H2" s="2439"/>
      <c r="I2" s="2439"/>
      <c r="J2" s="2439"/>
      <c r="K2" s="2439"/>
      <c r="L2" s="2439"/>
      <c r="M2" s="2439"/>
      <c r="N2" s="2439"/>
      <c r="O2" s="2439"/>
      <c r="P2" s="2439"/>
      <c r="Q2" s="2439"/>
      <c r="R2" s="2439"/>
      <c r="S2" s="2520"/>
    </row>
    <row r="3" spans="1:19" ht="15.75" x14ac:dyDescent="0.25">
      <c r="A3" s="187" t="str">
        <f t="shared" si="0"/>
        <v>01</v>
      </c>
      <c r="C3" s="2439" t="s">
        <v>2194</v>
      </c>
      <c r="D3" s="2439"/>
      <c r="E3" s="2439"/>
      <c r="F3" s="2439"/>
      <c r="G3" s="2439"/>
      <c r="H3" s="2439"/>
      <c r="I3" s="2439"/>
      <c r="J3" s="2439"/>
      <c r="K3" s="2439"/>
      <c r="L3" s="2439"/>
      <c r="M3" s="2439"/>
      <c r="N3" s="2439"/>
      <c r="O3" s="2439"/>
      <c r="P3" s="2439"/>
      <c r="Q3" s="2439"/>
      <c r="R3" s="2439"/>
      <c r="S3" s="2520"/>
    </row>
    <row r="4" spans="1:19" ht="15.75" x14ac:dyDescent="0.25">
      <c r="A4" s="187" t="str">
        <f t="shared" si="0"/>
        <v>01</v>
      </c>
      <c r="C4" s="2439" t="s">
        <v>2453</v>
      </c>
      <c r="D4" s="2439"/>
      <c r="E4" s="2439"/>
      <c r="F4" s="2439"/>
      <c r="G4" s="2439"/>
      <c r="H4" s="2439"/>
      <c r="I4" s="2439"/>
      <c r="J4" s="2439"/>
      <c r="K4" s="2439"/>
      <c r="L4" s="2439"/>
      <c r="M4" s="2439"/>
      <c r="N4" s="2439"/>
      <c r="O4" s="2439"/>
      <c r="P4" s="2439"/>
      <c r="Q4" s="2439"/>
      <c r="R4" s="2439"/>
      <c r="S4" s="2208"/>
    </row>
    <row r="5" spans="1:19" ht="15" customHeight="1" x14ac:dyDescent="0.2">
      <c r="A5" s="187" t="str">
        <f t="shared" si="0"/>
        <v>01</v>
      </c>
    </row>
    <row r="6" spans="1:19" ht="15" customHeight="1" x14ac:dyDescent="0.2">
      <c r="A6" s="187" t="str">
        <f t="shared" si="0"/>
        <v>01</v>
      </c>
      <c r="C6" s="159" t="s">
        <v>317</v>
      </c>
      <c r="G6" s="2603" t="str">
        <f>+Index!$E$10</f>
        <v>01</v>
      </c>
      <c r="H6" s="2603"/>
      <c r="L6" s="5" t="s">
        <v>318</v>
      </c>
      <c r="N6" s="2911" t="str">
        <f>+Index!$E$11</f>
        <v>North Carolina General Assembly</v>
      </c>
      <c r="O6" s="2911"/>
      <c r="P6" s="2911"/>
      <c r="Q6" s="2911"/>
      <c r="R6" s="2911"/>
    </row>
    <row r="7" spans="1:19" ht="15" customHeight="1" x14ac:dyDescent="0.2">
      <c r="A7" s="187" t="str">
        <f t="shared" si="0"/>
        <v>01</v>
      </c>
      <c r="L7" s="5" t="s">
        <v>319</v>
      </c>
      <c r="N7" s="2871" t="str">
        <f>CONCATENATE(Index!$E$12," ",Index!$E$14)</f>
        <v xml:space="preserve"> </v>
      </c>
      <c r="O7" s="2871"/>
      <c r="P7" s="2871"/>
      <c r="Q7" s="2871"/>
      <c r="R7" s="2871"/>
    </row>
    <row r="8" spans="1:19" ht="15" customHeight="1" x14ac:dyDescent="0.2">
      <c r="A8" s="187" t="str">
        <f t="shared" si="0"/>
        <v>01</v>
      </c>
      <c r="C8" s="4" t="s">
        <v>568</v>
      </c>
      <c r="D8" s="4"/>
      <c r="E8" s="159"/>
      <c r="G8" s="2603" t="s">
        <v>754</v>
      </c>
      <c r="H8" s="2603"/>
      <c r="L8" s="5" t="s">
        <v>71</v>
      </c>
      <c r="N8" s="2871">
        <f>+Index!$E$13</f>
        <v>0</v>
      </c>
      <c r="O8" s="2871"/>
      <c r="P8" s="2871"/>
      <c r="Q8" s="2871"/>
      <c r="R8" s="2871"/>
    </row>
    <row r="9" spans="1:19" ht="15" customHeight="1" thickBot="1" x14ac:dyDescent="0.25">
      <c r="A9" s="187" t="str">
        <f t="shared" si="0"/>
        <v>01</v>
      </c>
      <c r="C9" s="188"/>
      <c r="D9" s="188"/>
      <c r="E9" s="188"/>
      <c r="F9" s="188"/>
      <c r="G9" s="189"/>
      <c r="H9" s="189"/>
      <c r="I9" s="189"/>
      <c r="J9" s="189"/>
      <c r="K9" s="189"/>
      <c r="L9" s="190"/>
      <c r="M9" s="189"/>
      <c r="N9" s="189"/>
      <c r="O9" s="189"/>
      <c r="P9" s="189"/>
      <c r="Q9" s="189"/>
      <c r="R9" s="189"/>
    </row>
    <row r="10" spans="1:19" ht="12" customHeight="1" x14ac:dyDescent="0.2">
      <c r="A10" s="187" t="str">
        <f t="shared" si="0"/>
        <v>01</v>
      </c>
    </row>
    <row r="11" spans="1:19" ht="14.1" customHeight="1" x14ac:dyDescent="0.2">
      <c r="A11" s="187" t="str">
        <f t="shared" si="0"/>
        <v>01</v>
      </c>
      <c r="C11" s="2924" t="s">
        <v>2454</v>
      </c>
      <c r="D11" s="2924"/>
      <c r="E11" s="2924"/>
      <c r="F11" s="2924"/>
      <c r="G11" s="2924"/>
      <c r="H11" s="2924"/>
      <c r="I11" s="2924"/>
      <c r="J11" s="2924"/>
      <c r="K11" s="2924"/>
      <c r="L11" s="2924"/>
      <c r="M11" s="2924"/>
      <c r="N11" s="2924"/>
      <c r="O11" s="2924"/>
      <c r="P11" s="2924"/>
      <c r="Q11" s="2924"/>
      <c r="R11" s="2924"/>
    </row>
    <row r="12" spans="1:19" ht="14.1" customHeight="1" x14ac:dyDescent="0.2">
      <c r="A12" s="187" t="str">
        <f t="shared" si="0"/>
        <v>01</v>
      </c>
      <c r="C12" s="2924"/>
      <c r="D12" s="2924"/>
      <c r="E12" s="2924"/>
      <c r="F12" s="2924"/>
      <c r="G12" s="2924"/>
      <c r="H12" s="2924"/>
      <c r="I12" s="2924"/>
      <c r="J12" s="2924"/>
      <c r="K12" s="2924"/>
      <c r="L12" s="2924"/>
      <c r="M12" s="2924"/>
      <c r="N12" s="2924"/>
      <c r="O12" s="2924"/>
      <c r="P12" s="2924"/>
      <c r="Q12" s="2924"/>
      <c r="R12" s="2924"/>
    </row>
    <row r="13" spans="1:19" ht="11.1" customHeight="1" x14ac:dyDescent="0.2">
      <c r="A13" s="187" t="str">
        <f t="shared" si="0"/>
        <v>01</v>
      </c>
      <c r="E13" s="191"/>
      <c r="F13" s="191"/>
      <c r="G13" s="191"/>
      <c r="H13" s="191"/>
      <c r="I13" s="191"/>
      <c r="J13" s="192"/>
      <c r="K13" s="192"/>
      <c r="L13" s="192"/>
      <c r="M13" s="192"/>
      <c r="N13" s="192"/>
      <c r="O13" s="192"/>
      <c r="P13" s="192"/>
      <c r="Q13" s="192"/>
      <c r="R13" s="192"/>
      <c r="S13" s="191"/>
    </row>
    <row r="14" spans="1:19" ht="14.25" customHeight="1" x14ac:dyDescent="0.2">
      <c r="A14" s="187" t="str">
        <f t="shared" si="0"/>
        <v>01</v>
      </c>
      <c r="C14" s="349" t="s">
        <v>2455</v>
      </c>
      <c r="D14" s="349"/>
      <c r="E14" s="206"/>
      <c r="F14" s="206"/>
      <c r="G14" s="206"/>
      <c r="H14" s="206"/>
      <c r="J14" s="206"/>
      <c r="K14" s="206"/>
      <c r="L14" s="206"/>
      <c r="M14" s="206"/>
      <c r="N14" s="206"/>
      <c r="O14" s="206"/>
      <c r="P14" s="206"/>
      <c r="Q14" s="206"/>
      <c r="R14" s="206"/>
      <c r="S14" s="191"/>
    </row>
    <row r="15" spans="1:19" ht="11.1" customHeight="1" x14ac:dyDescent="0.2">
      <c r="A15" s="187" t="str">
        <f t="shared" si="0"/>
        <v>01</v>
      </c>
      <c r="C15" s="349"/>
      <c r="D15" s="349"/>
      <c r="E15" s="206"/>
      <c r="F15" s="206"/>
      <c r="G15" s="206"/>
      <c r="H15" s="206"/>
      <c r="J15" s="206"/>
      <c r="K15" s="206"/>
      <c r="L15" s="206"/>
      <c r="M15" s="206"/>
      <c r="N15" s="206"/>
      <c r="O15" s="206"/>
      <c r="P15" s="206"/>
      <c r="Q15" s="206"/>
      <c r="R15" s="206"/>
      <c r="S15" s="191"/>
    </row>
    <row r="16" spans="1:19" ht="12" customHeight="1" x14ac:dyDescent="0.2">
      <c r="A16" s="187" t="str">
        <f t="shared" si="0"/>
        <v>01</v>
      </c>
      <c r="C16" s="349"/>
      <c r="D16" s="349"/>
      <c r="E16" s="206"/>
      <c r="F16" s="206"/>
      <c r="G16" s="206"/>
      <c r="H16" s="206"/>
      <c r="J16" s="2917" t="s">
        <v>2456</v>
      </c>
      <c r="K16" s="2917"/>
      <c r="L16" s="2917"/>
      <c r="M16" s="2917"/>
      <c r="N16" s="2917"/>
      <c r="O16" s="206"/>
      <c r="P16" s="206"/>
      <c r="Q16" s="206"/>
      <c r="R16" s="206"/>
      <c r="S16" s="191"/>
    </row>
    <row r="17" spans="1:19" customFormat="1" ht="15" customHeight="1" x14ac:dyDescent="0.2">
      <c r="A17" s="187" t="str">
        <f t="shared" si="0"/>
        <v>01</v>
      </c>
      <c r="F17" s="2917" t="s">
        <v>2457</v>
      </c>
      <c r="G17" s="2917"/>
      <c r="H17" s="2917"/>
      <c r="J17" s="2356" t="s">
        <v>339</v>
      </c>
      <c r="K17" s="166"/>
      <c r="L17" s="2356" t="s">
        <v>2458</v>
      </c>
      <c r="M17" s="166"/>
      <c r="N17" s="2356" t="s">
        <v>2459</v>
      </c>
      <c r="O17" s="166"/>
      <c r="P17" s="166"/>
      <c r="Q17" s="166"/>
      <c r="R17" s="187"/>
    </row>
    <row r="18" spans="1:19" ht="16.350000000000001" customHeight="1" x14ac:dyDescent="0.2">
      <c r="A18" s="187" t="str">
        <f t="shared" si="0"/>
        <v>01</v>
      </c>
      <c r="B18" s="187">
        <v>100</v>
      </c>
      <c r="F18" s="187" t="s">
        <v>2460</v>
      </c>
      <c r="H18" s="205"/>
      <c r="J18" s="347"/>
      <c r="L18" s="347"/>
      <c r="N18" s="347"/>
      <c r="P18" s="205"/>
      <c r="S18" s="191"/>
    </row>
    <row r="19" spans="1:19" ht="12" customHeight="1" x14ac:dyDescent="0.2">
      <c r="A19" s="187" t="str">
        <f t="shared" si="0"/>
        <v>01</v>
      </c>
      <c r="B19" s="187">
        <v>120</v>
      </c>
      <c r="F19" s="349" t="s">
        <v>2461</v>
      </c>
      <c r="H19" s="205"/>
      <c r="J19" s="347"/>
      <c r="L19" s="347"/>
      <c r="N19" s="352"/>
      <c r="P19" s="205"/>
      <c r="S19" s="191"/>
    </row>
    <row r="20" spans="1:19" ht="12" customHeight="1" x14ac:dyDescent="0.2">
      <c r="A20" s="187" t="str">
        <f t="shared" si="0"/>
        <v>01</v>
      </c>
      <c r="B20" s="187">
        <v>140</v>
      </c>
      <c r="F20" s="349" t="s">
        <v>2462</v>
      </c>
      <c r="H20" s="205"/>
      <c r="J20" s="347"/>
      <c r="L20" s="347"/>
      <c r="N20" s="352"/>
      <c r="P20" s="205"/>
      <c r="S20" s="191"/>
    </row>
    <row r="21" spans="1:19" ht="12" customHeight="1" x14ac:dyDescent="0.2">
      <c r="A21" s="187" t="str">
        <f t="shared" si="0"/>
        <v>01</v>
      </c>
      <c r="B21" s="187">
        <v>160</v>
      </c>
      <c r="F21" s="349" t="s">
        <v>2463</v>
      </c>
      <c r="H21" s="205"/>
      <c r="J21" s="347"/>
      <c r="L21" s="347"/>
      <c r="N21" s="352"/>
      <c r="P21" s="205"/>
      <c r="S21" s="191"/>
    </row>
    <row r="22" spans="1:19" ht="12" customHeight="1" x14ac:dyDescent="0.2">
      <c r="A22" s="187" t="str">
        <f t="shared" si="0"/>
        <v>01</v>
      </c>
      <c r="B22" s="187">
        <v>180</v>
      </c>
      <c r="F22" s="349" t="s">
        <v>2464</v>
      </c>
      <c r="H22" s="205"/>
      <c r="J22" s="347"/>
      <c r="L22" s="347"/>
      <c r="N22" s="352"/>
      <c r="P22" s="205"/>
      <c r="S22" s="191"/>
    </row>
    <row r="23" spans="1:19" ht="12" customHeight="1" x14ac:dyDescent="0.2">
      <c r="A23" s="187" t="str">
        <f t="shared" si="0"/>
        <v>01</v>
      </c>
      <c r="B23" s="187">
        <v>200</v>
      </c>
      <c r="F23" s="349" t="s">
        <v>2465</v>
      </c>
      <c r="H23" s="205"/>
      <c r="J23" s="347"/>
      <c r="L23" s="347"/>
      <c r="N23" s="352"/>
      <c r="P23" s="205"/>
      <c r="S23" s="191"/>
    </row>
    <row r="24" spans="1:19" ht="11.1" customHeight="1" x14ac:dyDescent="0.2">
      <c r="A24" s="187" t="str">
        <f t="shared" si="0"/>
        <v>01</v>
      </c>
      <c r="C24" s="206"/>
      <c r="D24" s="206"/>
      <c r="E24" s="349"/>
      <c r="F24" s="206"/>
      <c r="G24" s="206"/>
      <c r="H24" s="206"/>
      <c r="J24" s="206"/>
      <c r="K24" s="206"/>
      <c r="L24" s="206"/>
      <c r="S24" s="191"/>
    </row>
    <row r="25" spans="1:19" ht="15" customHeight="1" x14ac:dyDescent="0.2">
      <c r="A25" s="187" t="str">
        <f t="shared" si="0"/>
        <v>01</v>
      </c>
      <c r="C25" s="349" t="s">
        <v>2466</v>
      </c>
      <c r="D25" s="349"/>
      <c r="E25" s="349"/>
      <c r="F25" s="206"/>
      <c r="G25" s="206"/>
      <c r="H25" s="206"/>
      <c r="J25" s="206"/>
      <c r="K25" s="206"/>
      <c r="L25" s="206"/>
      <c r="S25" s="191"/>
    </row>
    <row r="26" spans="1:19" ht="10.35" customHeight="1" x14ac:dyDescent="0.2">
      <c r="A26" s="187" t="str">
        <f t="shared" si="0"/>
        <v>01</v>
      </c>
      <c r="C26" s="349"/>
      <c r="D26" s="349"/>
      <c r="E26" s="349"/>
      <c r="F26" s="206"/>
      <c r="G26" s="206"/>
      <c r="H26" s="206"/>
      <c r="J26" s="206"/>
      <c r="K26" s="206"/>
      <c r="L26" s="206"/>
      <c r="S26" s="191"/>
    </row>
    <row r="27" spans="1:19" ht="10.35" customHeight="1" x14ac:dyDescent="0.2">
      <c r="A27" s="187" t="str">
        <f t="shared" si="0"/>
        <v>01</v>
      </c>
      <c r="C27" s="159"/>
      <c r="D27" s="349"/>
      <c r="F27" s="206"/>
      <c r="G27" s="206"/>
      <c r="H27" s="206"/>
      <c r="J27" s="206"/>
      <c r="K27" s="206"/>
      <c r="L27" s="206"/>
      <c r="S27" s="191"/>
    </row>
    <row r="28" spans="1:19" ht="10.35" customHeight="1" x14ac:dyDescent="0.2">
      <c r="A28" s="187" t="str">
        <f t="shared" si="0"/>
        <v>01</v>
      </c>
      <c r="C28" s="159"/>
      <c r="D28" s="349"/>
      <c r="F28" s="206"/>
      <c r="G28" s="206"/>
      <c r="H28" s="206"/>
      <c r="J28" s="206"/>
      <c r="K28" s="206"/>
      <c r="L28" s="206"/>
      <c r="S28" s="191"/>
    </row>
    <row r="29" spans="1:19" ht="11.1" customHeight="1" x14ac:dyDescent="0.2">
      <c r="A29" s="187" t="str">
        <f t="shared" si="0"/>
        <v>01</v>
      </c>
      <c r="C29" s="350" t="s">
        <v>708</v>
      </c>
      <c r="D29" s="351" t="s">
        <v>542</v>
      </c>
      <c r="E29" s="349" t="s">
        <v>2467</v>
      </c>
      <c r="F29" s="206"/>
      <c r="G29" s="206"/>
      <c r="H29" s="206"/>
      <c r="J29" s="206"/>
      <c r="K29" s="206"/>
      <c r="L29" s="206"/>
      <c r="S29" s="191"/>
    </row>
    <row r="30" spans="1:19" ht="11.1" customHeight="1" x14ac:dyDescent="0.2">
      <c r="A30" s="187" t="str">
        <f t="shared" si="0"/>
        <v>01</v>
      </c>
      <c r="C30" s="350"/>
      <c r="D30" s="351"/>
      <c r="E30" s="349" t="s">
        <v>2468</v>
      </c>
      <c r="F30" s="206"/>
      <c r="G30" s="206"/>
      <c r="H30" s="206"/>
      <c r="J30" s="206"/>
      <c r="K30" s="206"/>
      <c r="L30" s="206"/>
      <c r="S30" s="191"/>
    </row>
    <row r="31" spans="1:19" ht="11.1" customHeight="1" x14ac:dyDescent="0.2">
      <c r="A31" s="187" t="str">
        <f t="shared" si="0"/>
        <v>01</v>
      </c>
      <c r="C31" s="350"/>
      <c r="D31" s="351"/>
      <c r="E31" s="349" t="s">
        <v>2469</v>
      </c>
      <c r="F31" s="206"/>
      <c r="G31" s="206"/>
      <c r="H31" s="206"/>
      <c r="J31" s="206"/>
      <c r="K31" s="206"/>
      <c r="L31" s="206"/>
      <c r="S31" s="191"/>
    </row>
    <row r="32" spans="1:19" ht="4.3499999999999996" customHeight="1" x14ac:dyDescent="0.2">
      <c r="A32" s="187" t="str">
        <f t="shared" ref="A32:A55" si="1">AgyIdx</f>
        <v>01</v>
      </c>
      <c r="C32" s="350"/>
      <c r="D32" s="351"/>
      <c r="F32" s="206"/>
      <c r="G32" s="206"/>
      <c r="H32" s="206"/>
      <c r="J32" s="206"/>
      <c r="K32" s="206"/>
      <c r="L32" s="206"/>
      <c r="S32" s="191"/>
    </row>
    <row r="33" spans="1:19" ht="10.5" customHeight="1" x14ac:dyDescent="0.2">
      <c r="A33" s="187" t="str">
        <f t="shared" si="1"/>
        <v>01</v>
      </c>
      <c r="C33" s="350"/>
      <c r="D33" s="351" t="s">
        <v>545</v>
      </c>
      <c r="E33" s="187" t="s">
        <v>2470</v>
      </c>
      <c r="F33" s="206"/>
      <c r="G33" s="206"/>
      <c r="H33" s="206"/>
      <c r="J33" s="206"/>
      <c r="K33" s="206"/>
      <c r="L33" s="206"/>
      <c r="S33" s="191"/>
    </row>
    <row r="34" spans="1:19" ht="10.5" customHeight="1" x14ac:dyDescent="0.2">
      <c r="A34" s="187" t="str">
        <f t="shared" si="1"/>
        <v>01</v>
      </c>
      <c r="C34" s="350"/>
      <c r="D34" s="351"/>
      <c r="E34" s="187" t="s">
        <v>2471</v>
      </c>
      <c r="F34" s="206"/>
      <c r="G34" s="206"/>
      <c r="H34" s="206"/>
      <c r="J34" s="206"/>
      <c r="K34" s="206"/>
      <c r="L34" s="206"/>
      <c r="S34" s="191"/>
    </row>
    <row r="35" spans="1:19" ht="4.3499999999999996" customHeight="1" x14ac:dyDescent="0.2">
      <c r="A35" s="187" t="str">
        <f t="shared" si="1"/>
        <v>01</v>
      </c>
      <c r="C35" s="350"/>
      <c r="D35" s="351"/>
      <c r="F35" s="206"/>
      <c r="G35" s="206"/>
      <c r="H35" s="206"/>
      <c r="J35" s="206"/>
      <c r="K35" s="206"/>
      <c r="L35" s="206"/>
      <c r="S35" s="191"/>
    </row>
    <row r="36" spans="1:19" ht="11.1" customHeight="1" x14ac:dyDescent="0.2">
      <c r="A36" s="187" t="str">
        <f t="shared" si="1"/>
        <v>01</v>
      </c>
      <c r="C36" s="350"/>
      <c r="D36" s="351" t="s">
        <v>548</v>
      </c>
      <c r="E36" s="187" t="s">
        <v>2472</v>
      </c>
      <c r="F36" s="206"/>
      <c r="G36" s="206"/>
      <c r="H36" s="206"/>
      <c r="J36" s="206"/>
      <c r="K36" s="206"/>
      <c r="L36" s="206"/>
      <c r="S36" s="191"/>
    </row>
    <row r="37" spans="1:19" ht="11.1" customHeight="1" x14ac:dyDescent="0.2">
      <c r="A37" s="187" t="str">
        <f t="shared" si="1"/>
        <v>01</v>
      </c>
      <c r="C37" s="350"/>
      <c r="D37" s="351"/>
      <c r="E37" s="187" t="s">
        <v>2473</v>
      </c>
      <c r="F37" s="206"/>
      <c r="G37" s="206"/>
      <c r="H37" s="206"/>
      <c r="J37" s="206"/>
      <c r="K37" s="206"/>
      <c r="L37" s="206"/>
      <c r="S37" s="191"/>
    </row>
    <row r="38" spans="1:19" ht="11.1" customHeight="1" x14ac:dyDescent="0.2">
      <c r="A38" s="187" t="str">
        <f t="shared" si="1"/>
        <v>01</v>
      </c>
      <c r="C38" s="349"/>
      <c r="E38" s="187" t="s">
        <v>2474</v>
      </c>
      <c r="F38" s="206"/>
      <c r="G38" s="206"/>
      <c r="H38" s="206"/>
      <c r="J38" s="206"/>
      <c r="K38" s="206"/>
      <c r="L38" s="206"/>
      <c r="S38" s="191"/>
    </row>
    <row r="39" spans="1:19" ht="6" customHeight="1" x14ac:dyDescent="0.2">
      <c r="A39" s="187" t="str">
        <f t="shared" si="1"/>
        <v>01</v>
      </c>
      <c r="C39" s="349"/>
      <c r="E39" s="349"/>
      <c r="F39" s="206"/>
      <c r="G39" s="206"/>
      <c r="H39" s="206"/>
      <c r="J39" s="206"/>
      <c r="K39" s="206"/>
      <c r="L39" s="206"/>
      <c r="S39" s="191"/>
    </row>
    <row r="40" spans="1:19" ht="11.1" customHeight="1" x14ac:dyDescent="0.2">
      <c r="A40" s="187" t="str">
        <f t="shared" si="1"/>
        <v>01</v>
      </c>
      <c r="C40" s="350" t="s">
        <v>710</v>
      </c>
      <c r="D40" s="351"/>
      <c r="E40" s="349" t="s">
        <v>2475</v>
      </c>
      <c r="F40" s="206"/>
      <c r="G40" s="206"/>
      <c r="H40" s="206"/>
      <c r="J40" s="206"/>
      <c r="K40" s="206"/>
      <c r="L40" s="206"/>
      <c r="S40" s="191"/>
    </row>
    <row r="41" spans="1:19" ht="6" customHeight="1" x14ac:dyDescent="0.2">
      <c r="A41" s="187" t="str">
        <f t="shared" si="1"/>
        <v>01</v>
      </c>
      <c r="C41" s="350"/>
      <c r="D41" s="351"/>
      <c r="E41" s="349"/>
      <c r="F41" s="206"/>
      <c r="G41" s="206"/>
      <c r="H41" s="206"/>
      <c r="J41" s="206"/>
      <c r="K41" s="206"/>
      <c r="L41" s="206"/>
      <c r="S41" s="191"/>
    </row>
    <row r="42" spans="1:19" ht="11.1" customHeight="1" x14ac:dyDescent="0.2">
      <c r="A42" s="187" t="str">
        <f t="shared" si="1"/>
        <v>01</v>
      </c>
      <c r="C42" s="350" t="s">
        <v>714</v>
      </c>
      <c r="D42" s="351"/>
      <c r="E42" s="349" t="s">
        <v>2476</v>
      </c>
      <c r="F42" s="206"/>
      <c r="G42" s="206"/>
      <c r="H42" s="206"/>
      <c r="J42" s="206"/>
      <c r="K42" s="206"/>
      <c r="L42" s="206"/>
      <c r="S42" s="191"/>
    </row>
    <row r="43" spans="1:19" ht="6" customHeight="1" x14ac:dyDescent="0.2">
      <c r="A43" s="187" t="str">
        <f t="shared" si="1"/>
        <v>01</v>
      </c>
      <c r="C43" s="206"/>
      <c r="D43" s="206"/>
      <c r="E43" s="349"/>
      <c r="F43" s="206"/>
      <c r="G43" s="206"/>
      <c r="H43" s="206"/>
      <c r="J43" s="206"/>
      <c r="K43" s="206"/>
      <c r="L43" s="206"/>
      <c r="S43" s="191"/>
    </row>
    <row r="44" spans="1:19" ht="11.1" customHeight="1" x14ac:dyDescent="0.2">
      <c r="A44" s="187" t="str">
        <f t="shared" si="1"/>
        <v>01</v>
      </c>
      <c r="C44" s="350" t="s">
        <v>717</v>
      </c>
      <c r="D44" s="206"/>
      <c r="E44" s="349" t="s">
        <v>2477</v>
      </c>
      <c r="F44" s="206"/>
      <c r="G44" s="206"/>
      <c r="H44" s="206"/>
      <c r="J44" s="206"/>
      <c r="K44" s="206"/>
      <c r="L44" s="206"/>
      <c r="S44" s="191"/>
    </row>
    <row r="45" spans="1:19" ht="11.1" customHeight="1" x14ac:dyDescent="0.2">
      <c r="A45" s="187" t="str">
        <f t="shared" si="1"/>
        <v>01</v>
      </c>
      <c r="C45" s="206"/>
      <c r="D45" s="206"/>
      <c r="E45" s="349" t="s">
        <v>2478</v>
      </c>
      <c r="F45" s="206"/>
      <c r="G45" s="206"/>
      <c r="H45" s="206"/>
      <c r="J45" s="206"/>
      <c r="K45" s="206"/>
      <c r="L45" s="206"/>
      <c r="S45" s="191"/>
    </row>
    <row r="46" spans="1:19" ht="11.1" customHeight="1" x14ac:dyDescent="0.2">
      <c r="A46" s="187" t="str">
        <f t="shared" si="1"/>
        <v>01</v>
      </c>
      <c r="C46" s="206"/>
      <c r="D46" s="206"/>
      <c r="E46" s="349" t="s">
        <v>2479</v>
      </c>
      <c r="F46" s="206"/>
      <c r="G46" s="206"/>
      <c r="H46" s="206"/>
      <c r="J46" s="206"/>
      <c r="K46" s="206"/>
      <c r="L46" s="206"/>
      <c r="S46" s="191"/>
    </row>
    <row r="47" spans="1:19" ht="12" customHeight="1" x14ac:dyDescent="0.2">
      <c r="A47" s="187" t="str">
        <f t="shared" si="1"/>
        <v>01</v>
      </c>
      <c r="C47" s="206"/>
      <c r="D47" s="206"/>
      <c r="E47" s="206"/>
      <c r="F47" s="206"/>
      <c r="G47" s="206"/>
      <c r="H47" s="206"/>
      <c r="J47" s="206"/>
      <c r="K47" s="206"/>
      <c r="L47" s="206"/>
      <c r="S47" s="191"/>
    </row>
    <row r="48" spans="1:19" ht="12" customHeight="1" x14ac:dyDescent="0.2">
      <c r="A48" s="187" t="str">
        <f t="shared" si="1"/>
        <v>01</v>
      </c>
      <c r="C48" s="206"/>
      <c r="D48" s="206"/>
      <c r="E48" s="206"/>
      <c r="F48" s="206"/>
      <c r="G48" s="206"/>
      <c r="H48" s="206"/>
      <c r="J48" s="206"/>
      <c r="K48" s="206"/>
      <c r="L48" s="206"/>
      <c r="S48" s="191"/>
    </row>
    <row r="49" spans="1:19" ht="12" customHeight="1" x14ac:dyDescent="0.2">
      <c r="A49" s="187" t="str">
        <f t="shared" si="1"/>
        <v>01</v>
      </c>
      <c r="C49" s="206"/>
      <c r="D49" s="206"/>
      <c r="E49" s="206"/>
      <c r="F49" s="206"/>
      <c r="G49" s="206"/>
      <c r="H49" s="206"/>
      <c r="J49" s="206"/>
      <c r="K49" s="206"/>
      <c r="L49" s="206"/>
      <c r="S49" s="191"/>
    </row>
    <row r="50" spans="1:19" ht="12" customHeight="1" x14ac:dyDescent="0.2">
      <c r="A50" s="187" t="str">
        <f t="shared" si="1"/>
        <v>01</v>
      </c>
      <c r="C50" s="206"/>
      <c r="D50" s="206"/>
      <c r="E50" s="206"/>
      <c r="F50" s="206"/>
      <c r="G50" s="206"/>
      <c r="H50" s="206"/>
      <c r="J50" s="206"/>
      <c r="K50" s="206"/>
      <c r="L50" s="206"/>
      <c r="S50" s="191"/>
    </row>
    <row r="51" spans="1:19" ht="12" customHeight="1" x14ac:dyDescent="0.2">
      <c r="A51" s="187" t="str">
        <f t="shared" si="1"/>
        <v>01</v>
      </c>
      <c r="C51" s="206"/>
      <c r="D51" s="206"/>
      <c r="E51" s="206"/>
      <c r="F51" s="206"/>
      <c r="G51" s="206"/>
      <c r="H51" s="206"/>
      <c r="J51" s="206"/>
      <c r="K51" s="206"/>
      <c r="L51" s="206"/>
      <c r="S51" s="191"/>
    </row>
    <row r="52" spans="1:19" ht="10.35" customHeight="1" x14ac:dyDescent="0.2">
      <c r="A52" s="187" t="str">
        <f t="shared" si="1"/>
        <v>01</v>
      </c>
    </row>
    <row r="53" spans="1:19" ht="12" customHeight="1" x14ac:dyDescent="0.2">
      <c r="A53" s="187" t="str">
        <f t="shared" si="1"/>
        <v>01</v>
      </c>
      <c r="C53" s="1968"/>
      <c r="D53" s="1968"/>
    </row>
    <row r="54" spans="1:19" x14ac:dyDescent="0.2">
      <c r="A54" s="187" t="str">
        <f t="shared" si="1"/>
        <v>01</v>
      </c>
    </row>
    <row r="55" spans="1:19" x14ac:dyDescent="0.2">
      <c r="A55" s="187" t="str">
        <f t="shared" si="1"/>
        <v>01</v>
      </c>
    </row>
  </sheetData>
  <sheetProtection algorithmName="SHA-512" hashValue="qlQIo+l2jGoPRUPeVQH1UVVO35fycvI5WZVC9/qVnXll2/c855BTPzBBlJDMEe1GsqO1kjl+4kCyDYTUQv/q2A==" saltValue="dB5hLfYGkVhhULS5O3qxwA==" spinCount="100000" sheet="1" objects="1" scenarios="1" autoFilter="0"/>
  <customSheetViews>
    <customSheetView guid="{9FCFC836-1CA5-48BF-958D-24D2EA94B219}" showGridLines="0" fitToPage="1" hiddenColumns="1" topLeftCell="C1">
      <selection activeCell="F37" sqref="F37"/>
      <pageMargins left="0" right="0" top="0" bottom="0" header="0" footer="0"/>
      <pageSetup orientation="landscape" r:id="rId1"/>
      <headerFooter alignWithMargins="0">
        <oddFooter>&amp;R&amp;A</oddFooter>
      </headerFooter>
    </customSheetView>
    <customSheetView guid="{BEA4BE86-04D1-4C96-9358-7A260B9D2B2D}" showGridLines="0" fitToPage="1" showRuler="0">
      <selection activeCell="E8" sqref="E8:F8"/>
      <pageMargins left="0" right="0" top="0" bottom="0" header="0" footer="0"/>
      <pageSetup orientation="landscape" r:id="rId2"/>
      <headerFooter alignWithMargins="0">
        <oddFooter>&amp;R&amp;A</oddFooter>
      </headerFooter>
    </customSheetView>
    <customSheetView guid="{1250FD07-FF56-4A9D-AF9E-C27124A7EBE9}" showGridLines="0" fitToPage="1" showRuler="0">
      <selection activeCell="E8" sqref="E8:F8"/>
      <pageMargins left="0" right="0" top="0" bottom="0" header="0" footer="0"/>
      <pageSetup orientation="landscape" r:id="rId3"/>
      <headerFooter alignWithMargins="0">
        <oddFooter>&amp;R&amp;A</oddFooter>
      </headerFooter>
    </customSheetView>
    <customSheetView guid="{B08879A4-635B-4C39-9937-AC7883D562FC}" showGridLines="0" fitToPage="1" hiddenColumns="1" topLeftCell="C1">
      <selection activeCell="F37" sqref="F37"/>
      <pageMargins left="0" right="0" top="0" bottom="0" header="0" footer="0"/>
      <pageSetup orientation="landscape" r:id="rId4"/>
      <headerFooter alignWithMargins="0">
        <oddFooter>&amp;R&amp;A</oddFooter>
      </headerFooter>
    </customSheetView>
  </customSheetViews>
  <mergeCells count="13">
    <mergeCell ref="F17:H17"/>
    <mergeCell ref="J16:N16"/>
    <mergeCell ref="C4:R4"/>
    <mergeCell ref="G8:H8"/>
    <mergeCell ref="S1:S3"/>
    <mergeCell ref="C11:R12"/>
    <mergeCell ref="N6:R6"/>
    <mergeCell ref="N7:R7"/>
    <mergeCell ref="N8:R8"/>
    <mergeCell ref="C1:R1"/>
    <mergeCell ref="G6:H6"/>
    <mergeCell ref="C2:R2"/>
    <mergeCell ref="C3:R3"/>
  </mergeCells>
  <phoneticPr fontId="16" type="noConversion"/>
  <conditionalFormatting sqref="S1:S3">
    <cfRule type="cellIs" dxfId="25" priority="1" stopIfTrue="1" operator="equal">
      <formula>"na"</formula>
    </cfRule>
  </conditionalFormatting>
  <hyperlinks>
    <hyperlink ref="C1:R1" location="Index!A1" display="Index!A1" xr:uid="{00000000-0004-0000-4500-000000000000}"/>
  </hyperlinks>
  <pageMargins left="0.6" right="0.6" top="0.5" bottom="0.5" header="0.3" footer="0.3"/>
  <pageSetup scale="85" orientation="landscape" r:id="rId5"/>
  <ignoredErrors>
    <ignoredError sqref="C29 C40 C42 C44" numberStoredAsText="1"/>
  </ignoredError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49"/>
  <dimension ref="A1:AK113"/>
  <sheetViews>
    <sheetView showGridLines="0" topLeftCell="B1" zoomScaleNormal="100" zoomScaleSheetLayoutView="100" workbookViewId="0">
      <selection activeCell="B125" sqref="B125:E125"/>
    </sheetView>
  </sheetViews>
  <sheetFormatPr defaultColWidth="9.42578125" defaultRowHeight="12.75" x14ac:dyDescent="0.2"/>
  <cols>
    <col min="1" max="1" width="9.42578125" style="4" hidden="1" customWidth="1"/>
    <col min="2" max="2" width="6.5703125" style="4" customWidth="1"/>
    <col min="3" max="3" width="1.5703125" style="4" customWidth="1"/>
    <col min="4" max="4" width="10.140625" style="4" customWidth="1"/>
    <col min="5" max="5" width="12.28515625" style="4" customWidth="1"/>
    <col min="6" max="6" width="1.5703125" style="4" customWidth="1"/>
    <col min="7" max="7" width="8.140625" style="4" customWidth="1"/>
    <col min="8" max="8" width="0.5703125" style="4" customWidth="1"/>
    <col min="9" max="9" width="5.5703125" style="4" hidden="1" customWidth="1"/>
    <col min="10" max="10" width="2" style="4" customWidth="1"/>
    <col min="11" max="11" width="13.5703125" style="4" customWidth="1"/>
    <col min="12" max="12" width="2.5703125" style="4" customWidth="1"/>
    <col min="13" max="13" width="13.5703125" style="4" customWidth="1"/>
    <col min="14" max="14" width="1.42578125" style="4" customWidth="1"/>
    <col min="15" max="15" width="13.5703125" style="4" customWidth="1"/>
    <col min="16" max="16" width="1.42578125" style="4" customWidth="1"/>
    <col min="17" max="17" width="13.5703125" style="4" customWidth="1"/>
    <col min="18" max="18" width="0.5703125" style="4" customWidth="1"/>
    <col min="19" max="19" width="12.5703125" style="4" customWidth="1"/>
    <col min="20" max="20" width="0.5703125" style="4" customWidth="1"/>
    <col min="21" max="21" width="19" style="4" customWidth="1"/>
    <col min="22" max="22" width="0.5703125" style="4" customWidth="1"/>
    <col min="23" max="23" width="2.5703125" style="4" customWidth="1"/>
    <col min="24" max="24" width="7" style="4" hidden="1" customWidth="1"/>
    <col min="25" max="25" width="16.42578125" style="4" customWidth="1"/>
    <col min="26" max="27" width="2.42578125" style="4" customWidth="1"/>
    <col min="28" max="28" width="39.42578125" style="4" customWidth="1"/>
    <col min="29" max="31" width="39" style="4" customWidth="1"/>
    <col min="32" max="36" width="9.42578125" style="4" customWidth="1"/>
    <col min="37" max="37" width="9.42578125" style="1504"/>
    <col min="38" max="16384" width="9.42578125" style="4"/>
  </cols>
  <sheetData>
    <row r="1" spans="1:37" ht="25.15" customHeight="1" x14ac:dyDescent="0.25">
      <c r="A1" s="4" t="str">
        <f t="shared" ref="A1:A73" si="0">AgyIdx</f>
        <v>01</v>
      </c>
      <c r="B1" s="2455" t="str">
        <f>+Index!$A$1</f>
        <v xml:space="preserve">                                                               Office of the State Controller                                                                </v>
      </c>
      <c r="C1" s="2455"/>
      <c r="D1" s="2455"/>
      <c r="E1" s="2455"/>
      <c r="F1" s="2455"/>
      <c r="G1" s="2455"/>
      <c r="H1" s="2455"/>
      <c r="I1" s="2455"/>
      <c r="J1" s="2455"/>
      <c r="K1" s="2455"/>
      <c r="L1" s="2455"/>
      <c r="M1" s="2455"/>
      <c r="N1" s="2455"/>
      <c r="O1" s="2455"/>
      <c r="P1" s="2455"/>
      <c r="Q1" s="2455"/>
      <c r="R1" s="2455"/>
      <c r="S1" s="2455"/>
      <c r="T1" s="2455"/>
      <c r="U1" s="2241" t="str">
        <f>IF(Index!$B$100="na","NA","")</f>
        <v/>
      </c>
      <c r="V1" s="434"/>
      <c r="W1" s="434"/>
      <c r="Y1" s="2520"/>
    </row>
    <row r="2" spans="1:37" ht="15" customHeight="1" x14ac:dyDescent="0.25">
      <c r="A2" s="4" t="str">
        <f t="shared" si="0"/>
        <v>01</v>
      </c>
      <c r="B2" s="2901" t="str">
        <f>+Index!$A$2</f>
        <v>2023 ACFR Worksheets</v>
      </c>
      <c r="C2" s="2901"/>
      <c r="D2" s="2901"/>
      <c r="E2" s="2901"/>
      <c r="F2" s="2901"/>
      <c r="G2" s="2901"/>
      <c r="H2" s="2901"/>
      <c r="I2" s="2901"/>
      <c r="J2" s="2901"/>
      <c r="K2" s="2901"/>
      <c r="L2" s="2901"/>
      <c r="M2" s="2901"/>
      <c r="N2" s="2901"/>
      <c r="O2" s="2901"/>
      <c r="P2" s="2901"/>
      <c r="Q2" s="2901"/>
      <c r="R2" s="2901"/>
      <c r="S2" s="2901"/>
      <c r="T2" s="2901"/>
      <c r="U2" s="2241"/>
      <c r="V2" s="434"/>
      <c r="W2" s="434"/>
      <c r="Y2" s="2520"/>
    </row>
    <row r="3" spans="1:37" ht="15" customHeight="1" x14ac:dyDescent="0.25">
      <c r="A3" s="4" t="str">
        <f t="shared" si="0"/>
        <v>01</v>
      </c>
      <c r="B3" s="2901" t="s">
        <v>2480</v>
      </c>
      <c r="C3" s="2901"/>
      <c r="D3" s="2901"/>
      <c r="E3" s="2901"/>
      <c r="F3" s="2901"/>
      <c r="G3" s="2901"/>
      <c r="H3" s="2901"/>
      <c r="I3" s="2901"/>
      <c r="J3" s="2901"/>
      <c r="K3" s="2901"/>
      <c r="L3" s="2901"/>
      <c r="M3" s="2901"/>
      <c r="N3" s="2901"/>
      <c r="O3" s="2901"/>
      <c r="P3" s="2901"/>
      <c r="Q3" s="2901"/>
      <c r="R3" s="2901"/>
      <c r="S3" s="2901"/>
      <c r="T3" s="2901"/>
      <c r="U3" s="2241"/>
      <c r="V3" s="434"/>
      <c r="W3" s="434"/>
      <c r="Y3" s="2520"/>
    </row>
    <row r="4" spans="1:37" ht="15" customHeight="1" x14ac:dyDescent="0.25">
      <c r="A4" s="4" t="str">
        <f t="shared" si="0"/>
        <v>01</v>
      </c>
      <c r="B4" s="2901" t="s">
        <v>2481</v>
      </c>
      <c r="C4" s="2901"/>
      <c r="D4" s="2901"/>
      <c r="E4" s="2901"/>
      <c r="F4" s="2901"/>
      <c r="G4" s="2901"/>
      <c r="H4" s="2901"/>
      <c r="I4" s="2901"/>
      <c r="J4" s="2901"/>
      <c r="K4" s="2901"/>
      <c r="L4" s="2901"/>
      <c r="M4" s="2901"/>
      <c r="N4" s="2901"/>
      <c r="O4" s="2901"/>
      <c r="P4" s="2901"/>
      <c r="Q4" s="2901"/>
      <c r="R4" s="2901"/>
      <c r="S4" s="2901"/>
      <c r="T4" s="2901"/>
      <c r="U4" s="1200"/>
      <c r="V4" s="1200"/>
      <c r="W4" s="434"/>
    </row>
    <row r="5" spans="1:37" ht="6" customHeight="1" x14ac:dyDescent="0.2">
      <c r="A5" s="4" t="str">
        <f t="shared" si="0"/>
        <v>01</v>
      </c>
      <c r="B5" s="434"/>
      <c r="C5" s="434"/>
      <c r="D5" s="434"/>
      <c r="E5" s="434"/>
      <c r="F5" s="434"/>
      <c r="G5" s="434"/>
      <c r="H5" s="434"/>
      <c r="I5" s="434"/>
      <c r="J5" s="434"/>
      <c r="K5" s="434"/>
      <c r="L5" s="434"/>
      <c r="M5" s="434"/>
      <c r="N5" s="434"/>
      <c r="O5" s="434"/>
      <c r="P5" s="434"/>
      <c r="Q5" s="434"/>
      <c r="R5" s="434"/>
      <c r="S5" s="434"/>
      <c r="T5" s="434"/>
      <c r="U5" s="434"/>
      <c r="V5" s="434"/>
      <c r="W5" s="434"/>
    </row>
    <row r="6" spans="1:37" ht="15" customHeight="1" x14ac:dyDescent="0.2">
      <c r="A6" s="4" t="str">
        <f t="shared" si="0"/>
        <v>01</v>
      </c>
      <c r="B6" s="434"/>
      <c r="C6" s="434"/>
      <c r="D6" s="434"/>
      <c r="E6" s="434"/>
      <c r="F6" s="434"/>
      <c r="G6" s="434"/>
      <c r="H6" s="434"/>
      <c r="I6" s="434"/>
      <c r="J6" s="434"/>
      <c r="K6" s="434"/>
      <c r="L6" s="5" t="s">
        <v>317</v>
      </c>
      <c r="M6" s="2902" t="str">
        <f>+Index!$E$10</f>
        <v>01</v>
      </c>
      <c r="N6" s="2902"/>
      <c r="O6" s="2902"/>
      <c r="P6" s="2902"/>
      <c r="Q6" s="2902"/>
      <c r="R6" s="434"/>
      <c r="S6" s="434"/>
      <c r="T6" s="434"/>
      <c r="U6" s="434"/>
      <c r="V6" s="434"/>
      <c r="W6" s="434"/>
    </row>
    <row r="7" spans="1:37" ht="15" customHeight="1" x14ac:dyDescent="0.2">
      <c r="A7" s="4" t="str">
        <f t="shared" si="0"/>
        <v>01</v>
      </c>
      <c r="B7" s="434"/>
      <c r="C7" s="434"/>
      <c r="D7" s="434"/>
      <c r="E7" s="434"/>
      <c r="F7" s="434"/>
      <c r="G7" s="434"/>
      <c r="H7" s="434"/>
      <c r="I7" s="434"/>
      <c r="J7" s="434"/>
      <c r="K7" s="434"/>
      <c r="L7" s="5" t="s">
        <v>318</v>
      </c>
      <c r="M7" s="2902" t="str">
        <f>+Index!$E$11</f>
        <v>North Carolina General Assembly</v>
      </c>
      <c r="N7" s="2902"/>
      <c r="O7" s="2902"/>
      <c r="P7" s="2902"/>
      <c r="Q7" s="2902"/>
      <c r="R7" s="434"/>
      <c r="S7" s="434"/>
      <c r="T7" s="434"/>
      <c r="U7" s="434"/>
      <c r="V7" s="434"/>
      <c r="W7" s="434"/>
    </row>
    <row r="8" spans="1:37" ht="15" customHeight="1" x14ac:dyDescent="0.2">
      <c r="A8" s="4" t="str">
        <f t="shared" si="0"/>
        <v>01</v>
      </c>
      <c r="B8" s="443" t="s">
        <v>568</v>
      </c>
      <c r="C8" s="434"/>
      <c r="D8" s="434"/>
      <c r="E8" s="2903" t="s">
        <v>754</v>
      </c>
      <c r="F8" s="2903"/>
      <c r="G8" s="2903"/>
      <c r="H8" s="1031"/>
      <c r="I8" s="1031"/>
      <c r="J8" s="434"/>
      <c r="K8" s="434"/>
      <c r="L8" s="5" t="s">
        <v>319</v>
      </c>
      <c r="M8" s="2906" t="str">
        <f>CONCATENATE(Index!$E$12," ",Index!$E$14)</f>
        <v xml:space="preserve"> </v>
      </c>
      <c r="N8" s="2906"/>
      <c r="O8" s="2906"/>
      <c r="P8" s="2906"/>
      <c r="Q8" s="2906"/>
      <c r="R8" s="434"/>
      <c r="S8" s="434"/>
      <c r="T8" s="434"/>
      <c r="U8" s="434"/>
      <c r="V8" s="434"/>
      <c r="W8" s="434"/>
    </row>
    <row r="9" spans="1:37" ht="15" customHeight="1" x14ac:dyDescent="0.2">
      <c r="A9" s="4" t="str">
        <f t="shared" si="0"/>
        <v>01</v>
      </c>
      <c r="B9" s="434"/>
      <c r="C9" s="434"/>
      <c r="D9" s="434"/>
      <c r="E9" s="434"/>
      <c r="F9" s="434"/>
      <c r="G9" s="434"/>
      <c r="H9" s="1031"/>
      <c r="I9" s="1031"/>
      <c r="J9" s="434"/>
      <c r="K9" s="434"/>
      <c r="L9" s="5" t="s">
        <v>71</v>
      </c>
      <c r="M9" s="2907">
        <f>+Index!$E$13</f>
        <v>0</v>
      </c>
      <c r="N9" s="2907"/>
      <c r="O9" s="2907"/>
      <c r="P9" s="2907"/>
      <c r="Q9" s="2907"/>
      <c r="R9" s="434"/>
      <c r="S9" s="434"/>
      <c r="T9" s="434"/>
      <c r="U9" s="434"/>
      <c r="V9" s="434"/>
      <c r="W9" s="434"/>
    </row>
    <row r="10" spans="1:37" ht="5.25" customHeight="1" thickBot="1" x14ac:dyDescent="0.25">
      <c r="A10" s="4" t="str">
        <f t="shared" si="0"/>
        <v>01</v>
      </c>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434"/>
    </row>
    <row r="11" spans="1:37" ht="3" customHeight="1" x14ac:dyDescent="0.2">
      <c r="A11" s="4" t="str">
        <f t="shared" si="0"/>
        <v>01</v>
      </c>
    </row>
    <row r="12" spans="1:37" ht="13.35" customHeight="1" thickBot="1" x14ac:dyDescent="0.3">
      <c r="A12" s="4" t="str">
        <f t="shared" si="0"/>
        <v>01</v>
      </c>
      <c r="B12" s="1033"/>
      <c r="C12" s="1033"/>
      <c r="D12" s="1033"/>
      <c r="E12" s="1033"/>
      <c r="F12" s="1033"/>
      <c r="G12" s="1033"/>
      <c r="H12" s="1033"/>
      <c r="I12" s="1033"/>
      <c r="J12" s="1033"/>
      <c r="K12" s="174"/>
      <c r="L12" s="1034"/>
      <c r="M12" s="2905" t="s">
        <v>2482</v>
      </c>
      <c r="N12" s="2905"/>
      <c r="O12" s="2905"/>
      <c r="P12" s="2905"/>
      <c r="Q12" s="2905"/>
      <c r="R12" s="97"/>
      <c r="S12" s="97"/>
      <c r="T12" s="97"/>
      <c r="U12" s="97"/>
    </row>
    <row r="13" spans="1:37" ht="13.35" customHeight="1" x14ac:dyDescent="0.25">
      <c r="B13" s="1033"/>
      <c r="C13" s="1033"/>
      <c r="D13" s="1033"/>
      <c r="E13" s="1033"/>
      <c r="F13" s="1033"/>
      <c r="G13" s="1033"/>
      <c r="H13" s="1033"/>
      <c r="I13" s="1033"/>
      <c r="J13" s="1033"/>
      <c r="K13" s="174"/>
      <c r="L13" s="1034"/>
      <c r="M13" s="1463" t="s">
        <v>2483</v>
      </c>
      <c r="N13" s="1463"/>
      <c r="O13" s="1463" t="s">
        <v>2484</v>
      </c>
      <c r="P13" s="1463"/>
      <c r="Q13" s="1463" t="s">
        <v>2485</v>
      </c>
      <c r="R13" s="1463"/>
      <c r="S13" s="1463" t="s">
        <v>2486</v>
      </c>
      <c r="T13" s="97"/>
      <c r="U13" s="97"/>
    </row>
    <row r="14" spans="1:37" ht="12" customHeight="1" x14ac:dyDescent="0.25">
      <c r="A14" s="4" t="str">
        <f t="shared" si="0"/>
        <v>01</v>
      </c>
      <c r="B14" s="1033"/>
      <c r="C14" s="1033"/>
      <c r="D14" s="1033"/>
      <c r="E14" s="1033"/>
      <c r="F14" s="1033"/>
      <c r="G14" s="1033"/>
      <c r="H14" s="1033"/>
      <c r="I14" s="1033"/>
      <c r="J14" s="1033"/>
      <c r="K14" s="174"/>
      <c r="L14" s="1034"/>
      <c r="M14" s="1035" t="s">
        <v>2487</v>
      </c>
      <c r="N14" s="1035"/>
      <c r="O14" s="1035" t="s">
        <v>2488</v>
      </c>
      <c r="P14" s="1036"/>
      <c r="Q14" s="1035" t="s">
        <v>2489</v>
      </c>
      <c r="R14" s="97"/>
      <c r="S14" s="97"/>
      <c r="T14" s="97"/>
      <c r="U14" s="1035" t="s">
        <v>2490</v>
      </c>
      <c r="AK14"/>
    </row>
    <row r="15" spans="1:37" ht="12" customHeight="1" x14ac:dyDescent="0.25">
      <c r="A15" s="4" t="str">
        <f t="shared" si="0"/>
        <v>01</v>
      </c>
      <c r="B15" s="1033"/>
      <c r="C15" s="1033"/>
      <c r="D15" s="1033"/>
      <c r="E15" s="1033"/>
      <c r="F15" s="1033"/>
      <c r="G15" s="1033"/>
      <c r="H15" s="1033"/>
      <c r="I15" s="1033"/>
      <c r="J15" s="1033"/>
      <c r="K15" s="1035"/>
      <c r="L15" s="1034"/>
      <c r="M15" s="1035" t="s">
        <v>2491</v>
      </c>
      <c r="N15" s="1036"/>
      <c r="O15" s="1035" t="s">
        <v>2492</v>
      </c>
      <c r="P15" s="1036"/>
      <c r="Q15" s="1035" t="s">
        <v>2493</v>
      </c>
      <c r="R15" s="97"/>
      <c r="S15" s="1035" t="s">
        <v>1347</v>
      </c>
      <c r="T15" s="97"/>
      <c r="U15" s="1035" t="s">
        <v>2494</v>
      </c>
    </row>
    <row r="16" spans="1:37" ht="12" customHeight="1" x14ac:dyDescent="0.25">
      <c r="A16" s="4" t="str">
        <f t="shared" si="0"/>
        <v>01</v>
      </c>
      <c r="B16" s="1033"/>
      <c r="C16" s="1035"/>
      <c r="D16" s="1033"/>
      <c r="E16" s="173" t="s">
        <v>50</v>
      </c>
      <c r="F16" s="173"/>
      <c r="G16" s="1033"/>
      <c r="H16" s="1033"/>
      <c r="I16" s="1033"/>
      <c r="J16" s="1033"/>
      <c r="K16" s="1035"/>
      <c r="L16" s="1033"/>
      <c r="M16" s="1035" t="s">
        <v>2495</v>
      </c>
      <c r="N16" s="1036"/>
      <c r="O16" s="1035" t="s">
        <v>2496</v>
      </c>
      <c r="P16" s="1036"/>
      <c r="Q16" s="1035" t="s">
        <v>2496</v>
      </c>
      <c r="R16" s="97"/>
      <c r="S16" s="1035" t="s">
        <v>2497</v>
      </c>
      <c r="T16" s="1037"/>
      <c r="U16" s="1035" t="s">
        <v>2498</v>
      </c>
      <c r="AB16" s="1035" t="s">
        <v>2499</v>
      </c>
      <c r="AC16" s="1035" t="s">
        <v>2499</v>
      </c>
      <c r="AD16" s="1035" t="s">
        <v>2499</v>
      </c>
      <c r="AE16" s="1035" t="s">
        <v>2499</v>
      </c>
    </row>
    <row r="17" spans="1:37" ht="12" customHeight="1" x14ac:dyDescent="0.25">
      <c r="A17" s="4" t="str">
        <f t="shared" si="0"/>
        <v>01</v>
      </c>
      <c r="B17" s="175" t="s">
        <v>2205</v>
      </c>
      <c r="C17" s="1038"/>
      <c r="D17" s="1038"/>
      <c r="E17" s="1038"/>
      <c r="F17" s="175"/>
      <c r="G17" s="1038"/>
      <c r="H17" s="1033"/>
      <c r="I17" s="1033"/>
      <c r="J17" s="1033"/>
      <c r="K17" s="1039">
        <v>45107</v>
      </c>
      <c r="L17" s="1033"/>
      <c r="M17" s="1040" t="s">
        <v>2500</v>
      </c>
      <c r="N17" s="176"/>
      <c r="O17" s="1040" t="s">
        <v>2501</v>
      </c>
      <c r="P17" s="176"/>
      <c r="Q17" s="1040" t="s">
        <v>2502</v>
      </c>
      <c r="R17" s="97"/>
      <c r="S17" s="1040" t="s">
        <v>2503</v>
      </c>
      <c r="T17" s="1037"/>
      <c r="U17" s="1040" t="s">
        <v>2504</v>
      </c>
      <c r="Y17" s="673" t="s">
        <v>2204</v>
      </c>
      <c r="AB17" s="1040" t="s">
        <v>2505</v>
      </c>
      <c r="AC17" s="1040" t="s">
        <v>2505</v>
      </c>
      <c r="AD17" s="1040" t="s">
        <v>2505</v>
      </c>
      <c r="AE17" s="1040" t="s">
        <v>2505</v>
      </c>
    </row>
    <row r="18" spans="1:37" ht="12" customHeight="1" x14ac:dyDescent="0.2">
      <c r="A18" s="4" t="str">
        <f t="shared" si="0"/>
        <v>01</v>
      </c>
      <c r="B18" s="97"/>
      <c r="C18" s="97"/>
      <c r="D18" s="97"/>
      <c r="E18" s="97"/>
      <c r="F18" s="97"/>
      <c r="G18" s="97"/>
      <c r="H18" s="97"/>
      <c r="I18" s="1041"/>
      <c r="J18" s="1041"/>
      <c r="K18" s="1042" t="s">
        <v>592</v>
      </c>
      <c r="L18" s="1042"/>
      <c r="M18" s="1042" t="s">
        <v>593</v>
      </c>
      <c r="N18" s="1042"/>
      <c r="O18" s="1042" t="s">
        <v>594</v>
      </c>
      <c r="P18" s="97"/>
      <c r="Q18" s="1042" t="s">
        <v>595</v>
      </c>
      <c r="R18" s="1042"/>
      <c r="S18" s="1042" t="s">
        <v>596</v>
      </c>
      <c r="T18" s="1042"/>
      <c r="U18" s="1042" t="s">
        <v>597</v>
      </c>
      <c r="Y18" s="2364" t="s">
        <v>508</v>
      </c>
      <c r="AB18" s="1042" t="s">
        <v>598</v>
      </c>
      <c r="AC18" s="1042" t="s">
        <v>599</v>
      </c>
      <c r="AD18" s="1042" t="s">
        <v>600</v>
      </c>
      <c r="AE18" s="1042" t="s">
        <v>682</v>
      </c>
    </row>
    <row r="19" spans="1:37" ht="12" customHeight="1" x14ac:dyDescent="0.2">
      <c r="A19" s="4" t="str">
        <f t="shared" si="0"/>
        <v>01</v>
      </c>
      <c r="B19" s="177" t="s">
        <v>2506</v>
      </c>
      <c r="C19" s="891"/>
      <c r="D19" s="97"/>
      <c r="E19" s="97"/>
      <c r="F19" s="97"/>
      <c r="G19" s="97"/>
      <c r="H19" s="97"/>
      <c r="I19" s="1041"/>
      <c r="J19" s="1041"/>
      <c r="K19" s="1043"/>
      <c r="L19" s="1043"/>
      <c r="M19" s="1043"/>
      <c r="N19" s="1043"/>
      <c r="O19" s="1043"/>
      <c r="P19" s="1043"/>
      <c r="Q19" s="1043"/>
      <c r="R19" s="1043"/>
      <c r="S19" s="97"/>
      <c r="T19" s="97"/>
      <c r="U19" s="97"/>
    </row>
    <row r="20" spans="1:37" ht="12" customHeight="1" x14ac:dyDescent="0.25">
      <c r="A20" s="4" t="str">
        <f t="shared" si="0"/>
        <v>01</v>
      </c>
      <c r="B20" s="2370" t="s">
        <v>2209</v>
      </c>
      <c r="C20" s="777"/>
      <c r="D20" s="97"/>
      <c r="E20" s="97"/>
      <c r="F20" s="97"/>
      <c r="G20" s="97"/>
      <c r="H20" s="97"/>
      <c r="I20" s="776" t="s">
        <v>2507</v>
      </c>
      <c r="J20" s="778"/>
      <c r="K20" s="678">
        <f>SUMIF('710'!$B$21:$B$61,B20,'710'!$K$21:$K$61)</f>
        <v>0</v>
      </c>
      <c r="L20" s="1045"/>
      <c r="M20" s="870"/>
      <c r="N20" s="1045"/>
      <c r="O20" s="870"/>
      <c r="P20" s="1045"/>
      <c r="Q20" s="870"/>
      <c r="R20" s="1043"/>
      <c r="S20" s="1046"/>
      <c r="T20" s="1047"/>
      <c r="U20" s="2252" t="str">
        <f>CONCATENATE(AF20,AG20,AH20,AI20)</f>
        <v/>
      </c>
      <c r="W20" s="339" t="str">
        <f>IF(X20=FALSE,"*","")</f>
        <v/>
      </c>
      <c r="X20" s="340" t="b">
        <f>+K20=SUM(M20,O20,Q20,S20)</f>
        <v>1</v>
      </c>
      <c r="Y20" s="672">
        <f>K20-SUM(M20,O20,Q20, S20)</f>
        <v>0</v>
      </c>
      <c r="AB20" s="1071" t="s">
        <v>2508</v>
      </c>
      <c r="AC20" s="1071" t="s">
        <v>2508</v>
      </c>
      <c r="AD20" s="1071" t="s">
        <v>2508</v>
      </c>
      <c r="AE20" s="1071" t="s">
        <v>2508</v>
      </c>
      <c r="AF20" s="1068" t="str">
        <f>IF(AB20="—","",RIGHT(AB20,7))</f>
        <v/>
      </c>
      <c r="AG20" s="1068" t="str">
        <f>IF(AC20="—","",RIGHT(AC20,7))</f>
        <v/>
      </c>
      <c r="AH20" s="1068" t="str">
        <f>IF(AD20="—","",RIGHT(AD20,7))</f>
        <v/>
      </c>
      <c r="AI20" s="1068" t="str">
        <f>IF(AE20="—","",RIGHT(AE20,7))</f>
        <v/>
      </c>
      <c r="AK20" s="1504" t="s">
        <v>2209</v>
      </c>
    </row>
    <row r="21" spans="1:37" ht="12" customHeight="1" x14ac:dyDescent="0.25">
      <c r="A21" s="4" t="str">
        <f t="shared" si="0"/>
        <v>01</v>
      </c>
      <c r="B21" s="2370" t="s">
        <v>2211</v>
      </c>
      <c r="C21" s="777"/>
      <c r="D21" s="97"/>
      <c r="E21" s="97"/>
      <c r="F21" s="97"/>
      <c r="G21" s="97"/>
      <c r="H21" s="97"/>
      <c r="I21" s="776" t="s">
        <v>2509</v>
      </c>
      <c r="J21" s="778"/>
      <c r="K21" s="678">
        <f>SUMIF('710'!$B$21:$B$61,B21,'710'!$K$21:$K$61)</f>
        <v>0</v>
      </c>
      <c r="L21" s="1045"/>
      <c r="M21" s="870"/>
      <c r="N21" s="1045"/>
      <c r="O21" s="870"/>
      <c r="P21" s="1045"/>
      <c r="Q21" s="870"/>
      <c r="R21" s="1043"/>
      <c r="S21" s="1046"/>
      <c r="T21" s="1047"/>
      <c r="U21" s="2252" t="str">
        <f t="shared" ref="U21:U77" si="1">CONCATENATE(AF21,AG21,AH21,AI21)</f>
        <v/>
      </c>
      <c r="W21" s="339" t="str">
        <f>IF(X21=FALSE,"*","")</f>
        <v/>
      </c>
      <c r="X21" s="340" t="b">
        <f>+K21=SUM(M21,O21,Q21,S21)</f>
        <v>1</v>
      </c>
      <c r="Y21" s="672">
        <f t="shared" ref="Y21:Y47" si="2">K21-SUM(M21,O21,Q21, S21)</f>
        <v>0</v>
      </c>
      <c r="AB21" s="1071" t="s">
        <v>2508</v>
      </c>
      <c r="AC21" s="1071" t="s">
        <v>2508</v>
      </c>
      <c r="AD21" s="1071" t="s">
        <v>2508</v>
      </c>
      <c r="AE21" s="1071" t="s">
        <v>2508</v>
      </c>
      <c r="AF21" s="1068" t="str">
        <f t="shared" ref="AF21:AF77" si="3">IF(AB21="—","",RIGHT(AB21,7))</f>
        <v/>
      </c>
      <c r="AG21" s="1068" t="str">
        <f t="shared" ref="AG21:AG77" si="4">IF(AC21="—","",RIGHT(AC21,7))</f>
        <v/>
      </c>
      <c r="AH21" s="1068" t="str">
        <f t="shared" ref="AH21:AH77" si="5">IF(AD21="—","",RIGHT(AD21,7))</f>
        <v/>
      </c>
      <c r="AI21" s="1068" t="str">
        <f t="shared" ref="AI21:AI77" si="6">IF(AE21="—","",RIGHT(AE21,7))</f>
        <v/>
      </c>
      <c r="AK21" s="1504" t="s">
        <v>2211</v>
      </c>
    </row>
    <row r="22" spans="1:37" ht="12" customHeight="1" x14ac:dyDescent="0.25">
      <c r="A22" s="4" t="str">
        <f t="shared" si="0"/>
        <v>01</v>
      </c>
      <c r="B22" s="2370" t="s">
        <v>2213</v>
      </c>
      <c r="C22" s="777"/>
      <c r="D22" s="97"/>
      <c r="E22" s="97"/>
      <c r="F22" s="97"/>
      <c r="G22" s="97"/>
      <c r="H22" s="97"/>
      <c r="I22" s="776" t="s">
        <v>2510</v>
      </c>
      <c r="J22" s="778"/>
      <c r="K22" s="678">
        <f>SUMIF('710'!$B$21:$B$61,B22,'710'!$K$21:$K$61)</f>
        <v>0</v>
      </c>
      <c r="L22" s="1045"/>
      <c r="M22" s="870"/>
      <c r="N22" s="1045"/>
      <c r="O22" s="870"/>
      <c r="P22" s="1045"/>
      <c r="Q22" s="870"/>
      <c r="R22" s="1043"/>
      <c r="S22" s="1046"/>
      <c r="T22" s="1047"/>
      <c r="U22" s="2252" t="str">
        <f t="shared" si="1"/>
        <v/>
      </c>
      <c r="W22" s="339" t="str">
        <f t="shared" ref="W22:W47" si="7">IF(X22=FALSE,"*","")</f>
        <v/>
      </c>
      <c r="X22" s="340" t="b">
        <f t="shared" ref="X22:X47" si="8">+K22=SUM(M22,O22,Q22,S22)</f>
        <v>1</v>
      </c>
      <c r="Y22" s="672">
        <f t="shared" si="2"/>
        <v>0</v>
      </c>
      <c r="AB22" s="1071" t="s">
        <v>2508</v>
      </c>
      <c r="AC22" s="1071" t="s">
        <v>2508</v>
      </c>
      <c r="AD22" s="1071" t="s">
        <v>2508</v>
      </c>
      <c r="AE22" s="1071" t="s">
        <v>2508</v>
      </c>
      <c r="AF22" s="1068" t="str">
        <f t="shared" si="3"/>
        <v/>
      </c>
      <c r="AG22" s="1068" t="str">
        <f t="shared" si="4"/>
        <v/>
      </c>
      <c r="AH22" s="1068" t="str">
        <f t="shared" si="5"/>
        <v/>
      </c>
      <c r="AI22" s="1068" t="str">
        <f t="shared" si="6"/>
        <v/>
      </c>
      <c r="AK22" s="1504" t="s">
        <v>2213</v>
      </c>
    </row>
    <row r="23" spans="1:37" ht="12" customHeight="1" x14ac:dyDescent="0.25">
      <c r="A23" s="4" t="str">
        <f t="shared" si="0"/>
        <v>01</v>
      </c>
      <c r="B23" s="2370" t="s">
        <v>2215</v>
      </c>
      <c r="C23" s="777"/>
      <c r="D23" s="97"/>
      <c r="E23" s="97"/>
      <c r="F23" s="97"/>
      <c r="G23" s="97"/>
      <c r="H23" s="97"/>
      <c r="I23" s="776" t="s">
        <v>2511</v>
      </c>
      <c r="J23" s="778"/>
      <c r="K23" s="678">
        <f>SUMIF('710'!$B$21:$B$61,B23,'710'!$K$21:$K$61)</f>
        <v>0</v>
      </c>
      <c r="L23" s="1045"/>
      <c r="M23" s="870"/>
      <c r="N23" s="1045"/>
      <c r="O23" s="870"/>
      <c r="P23" s="1045"/>
      <c r="Q23" s="870"/>
      <c r="R23" s="1043"/>
      <c r="S23" s="1046"/>
      <c r="T23" s="1047"/>
      <c r="U23" s="2252" t="str">
        <f t="shared" si="1"/>
        <v/>
      </c>
      <c r="W23" s="339" t="str">
        <f t="shared" si="7"/>
        <v/>
      </c>
      <c r="X23" s="340" t="b">
        <f t="shared" si="8"/>
        <v>1</v>
      </c>
      <c r="Y23" s="672">
        <f t="shared" si="2"/>
        <v>0</v>
      </c>
      <c r="AB23" s="1071" t="s">
        <v>2508</v>
      </c>
      <c r="AC23" s="1071" t="s">
        <v>2508</v>
      </c>
      <c r="AD23" s="1071" t="s">
        <v>2508</v>
      </c>
      <c r="AE23" s="1071" t="s">
        <v>2508</v>
      </c>
      <c r="AF23" s="1068" t="str">
        <f t="shared" si="3"/>
        <v/>
      </c>
      <c r="AG23" s="1068" t="str">
        <f t="shared" si="4"/>
        <v/>
      </c>
      <c r="AH23" s="1068" t="str">
        <f t="shared" si="5"/>
        <v/>
      </c>
      <c r="AI23" s="1068" t="str">
        <f t="shared" si="6"/>
        <v/>
      </c>
      <c r="AK23" s="1504" t="s">
        <v>2215</v>
      </c>
    </row>
    <row r="24" spans="1:37" ht="12" customHeight="1" x14ac:dyDescent="0.25">
      <c r="A24" s="4" t="str">
        <f t="shared" si="0"/>
        <v>01</v>
      </c>
      <c r="B24" s="2370" t="s">
        <v>2217</v>
      </c>
      <c r="C24" s="777"/>
      <c r="D24" s="97"/>
      <c r="E24" s="97"/>
      <c r="F24" s="97"/>
      <c r="G24" s="97"/>
      <c r="H24" s="97"/>
      <c r="I24" s="776" t="s">
        <v>2512</v>
      </c>
      <c r="J24" s="778"/>
      <c r="K24" s="678">
        <f>SUMIF('710'!$B$21:$B$61,B24,'710'!$K$21:$K$61)</f>
        <v>0</v>
      </c>
      <c r="L24" s="1045"/>
      <c r="M24" s="870"/>
      <c r="N24" s="1045"/>
      <c r="O24" s="870"/>
      <c r="P24" s="1045"/>
      <c r="Q24" s="870"/>
      <c r="R24" s="1043"/>
      <c r="S24" s="1046"/>
      <c r="T24" s="1047"/>
      <c r="U24" s="2252" t="str">
        <f t="shared" si="1"/>
        <v/>
      </c>
      <c r="W24" s="339" t="str">
        <f t="shared" si="7"/>
        <v/>
      </c>
      <c r="X24" s="340" t="b">
        <f t="shared" si="8"/>
        <v>1</v>
      </c>
      <c r="Y24" s="672">
        <f t="shared" si="2"/>
        <v>0</v>
      </c>
      <c r="AB24" s="1071" t="s">
        <v>2508</v>
      </c>
      <c r="AC24" s="1071" t="s">
        <v>2508</v>
      </c>
      <c r="AD24" s="1071" t="s">
        <v>2508</v>
      </c>
      <c r="AE24" s="1071" t="s">
        <v>2508</v>
      </c>
      <c r="AF24" s="1068" t="str">
        <f t="shared" si="3"/>
        <v/>
      </c>
      <c r="AG24" s="1068" t="str">
        <f t="shared" si="4"/>
        <v/>
      </c>
      <c r="AH24" s="1068" t="str">
        <f t="shared" si="5"/>
        <v/>
      </c>
      <c r="AI24" s="1068" t="str">
        <f t="shared" si="6"/>
        <v/>
      </c>
      <c r="AK24" s="1504" t="s">
        <v>2217</v>
      </c>
    </row>
    <row r="25" spans="1:37" ht="12" customHeight="1" x14ac:dyDescent="0.25">
      <c r="A25" s="4" t="str">
        <f t="shared" si="0"/>
        <v>01</v>
      </c>
      <c r="B25" s="2370" t="s">
        <v>2219</v>
      </c>
      <c r="C25" s="777"/>
      <c r="D25" s="97"/>
      <c r="E25" s="97"/>
      <c r="F25" s="97"/>
      <c r="G25" s="97"/>
      <c r="H25" s="97"/>
      <c r="I25" s="776" t="s">
        <v>2513</v>
      </c>
      <c r="J25" s="778"/>
      <c r="K25" s="678">
        <f>SUMIF('710'!$B$21:$B$61,B25,'710'!$K$21:$K$61)</f>
        <v>0</v>
      </c>
      <c r="L25" s="1045"/>
      <c r="M25" s="870"/>
      <c r="N25" s="1045"/>
      <c r="O25" s="870"/>
      <c r="P25" s="1045"/>
      <c r="Q25" s="870"/>
      <c r="R25" s="1043"/>
      <c r="S25" s="1046"/>
      <c r="T25" s="1047"/>
      <c r="U25" s="2252" t="str">
        <f t="shared" si="1"/>
        <v/>
      </c>
      <c r="W25" s="339" t="str">
        <f t="shared" si="7"/>
        <v/>
      </c>
      <c r="X25" s="340" t="b">
        <f t="shared" si="8"/>
        <v>1</v>
      </c>
      <c r="Y25" s="672">
        <f t="shared" si="2"/>
        <v>0</v>
      </c>
      <c r="AB25" s="1071" t="s">
        <v>2508</v>
      </c>
      <c r="AC25" s="1071" t="s">
        <v>2508</v>
      </c>
      <c r="AD25" s="1071" t="s">
        <v>2508</v>
      </c>
      <c r="AE25" s="1071" t="s">
        <v>2508</v>
      </c>
      <c r="AF25" s="1068" t="str">
        <f t="shared" si="3"/>
        <v/>
      </c>
      <c r="AG25" s="1068" t="str">
        <f t="shared" si="4"/>
        <v/>
      </c>
      <c r="AH25" s="1068" t="str">
        <f t="shared" si="5"/>
        <v/>
      </c>
      <c r="AI25" s="1068" t="str">
        <f t="shared" si="6"/>
        <v/>
      </c>
      <c r="AK25" s="1504" t="s">
        <v>2219</v>
      </c>
    </row>
    <row r="26" spans="1:37" ht="12" customHeight="1" x14ac:dyDescent="0.25">
      <c r="A26" s="4" t="str">
        <f t="shared" si="0"/>
        <v>01</v>
      </c>
      <c r="B26" s="2370" t="s">
        <v>2221</v>
      </c>
      <c r="C26" s="777"/>
      <c r="D26" s="97"/>
      <c r="E26" s="97"/>
      <c r="F26" s="97"/>
      <c r="G26" s="97"/>
      <c r="H26" s="97"/>
      <c r="I26" s="776" t="s">
        <v>2514</v>
      </c>
      <c r="J26" s="778"/>
      <c r="K26" s="678">
        <f>SUMIF('710'!$B$21:$B$61,B26,'710'!$K$21:$K$61)</f>
        <v>0</v>
      </c>
      <c r="L26" s="1045"/>
      <c r="M26" s="870"/>
      <c r="N26" s="1045"/>
      <c r="O26" s="870"/>
      <c r="P26" s="1045"/>
      <c r="Q26" s="870"/>
      <c r="R26" s="1043"/>
      <c r="S26" s="1046"/>
      <c r="T26" s="1047"/>
      <c r="U26" s="2252" t="str">
        <f t="shared" si="1"/>
        <v/>
      </c>
      <c r="W26" s="339" t="str">
        <f t="shared" si="7"/>
        <v/>
      </c>
      <c r="X26" s="340" t="b">
        <f t="shared" si="8"/>
        <v>1</v>
      </c>
      <c r="Y26" s="672">
        <f t="shared" si="2"/>
        <v>0</v>
      </c>
      <c r="AB26" s="1071" t="s">
        <v>2508</v>
      </c>
      <c r="AC26" s="1071" t="s">
        <v>2508</v>
      </c>
      <c r="AD26" s="1071" t="s">
        <v>2508</v>
      </c>
      <c r="AE26" s="1071" t="s">
        <v>2508</v>
      </c>
      <c r="AF26" s="1068" t="str">
        <f t="shared" si="3"/>
        <v/>
      </c>
      <c r="AG26" s="1068" t="str">
        <f t="shared" si="4"/>
        <v/>
      </c>
      <c r="AH26" s="1068" t="str">
        <f t="shared" si="5"/>
        <v/>
      </c>
      <c r="AI26" s="1068" t="str">
        <f t="shared" si="6"/>
        <v/>
      </c>
      <c r="AK26" s="1504" t="s">
        <v>2221</v>
      </c>
    </row>
    <row r="27" spans="1:37" ht="12" customHeight="1" x14ac:dyDescent="0.25">
      <c r="A27" s="4" t="str">
        <f t="shared" si="0"/>
        <v>01</v>
      </c>
      <c r="B27" s="2370" t="s">
        <v>2223</v>
      </c>
      <c r="C27" s="777"/>
      <c r="D27" s="97"/>
      <c r="E27" s="97"/>
      <c r="F27" s="97"/>
      <c r="G27" s="97"/>
      <c r="H27" s="97"/>
      <c r="I27" s="776" t="s">
        <v>2515</v>
      </c>
      <c r="J27" s="778"/>
      <c r="K27" s="678">
        <f>SUMIF('710'!$B$21:$B$61,B27,'710'!$K$21:$K$61)</f>
        <v>0</v>
      </c>
      <c r="L27" s="1045"/>
      <c r="M27" s="870"/>
      <c r="N27" s="1045"/>
      <c r="O27" s="870"/>
      <c r="P27" s="1045"/>
      <c r="Q27" s="870"/>
      <c r="R27" s="1043"/>
      <c r="S27" s="870"/>
      <c r="T27" s="1047"/>
      <c r="U27" s="2252" t="str">
        <f t="shared" si="1"/>
        <v/>
      </c>
      <c r="W27" s="339" t="str">
        <f t="shared" si="7"/>
        <v/>
      </c>
      <c r="X27" s="340" t="b">
        <f t="shared" si="8"/>
        <v>1</v>
      </c>
      <c r="Y27" s="672">
        <f t="shared" si="2"/>
        <v>0</v>
      </c>
      <c r="AB27" s="1071" t="s">
        <v>2508</v>
      </c>
      <c r="AC27" s="1071" t="s">
        <v>2508</v>
      </c>
      <c r="AD27" s="1071" t="s">
        <v>2508</v>
      </c>
      <c r="AE27" s="1071" t="s">
        <v>2508</v>
      </c>
      <c r="AF27" s="1068" t="str">
        <f t="shared" si="3"/>
        <v/>
      </c>
      <c r="AG27" s="1068" t="str">
        <f t="shared" si="4"/>
        <v/>
      </c>
      <c r="AH27" s="1068" t="str">
        <f t="shared" si="5"/>
        <v/>
      </c>
      <c r="AI27" s="1068" t="str">
        <f t="shared" si="6"/>
        <v/>
      </c>
      <c r="AK27" s="1504" t="s">
        <v>2223</v>
      </c>
    </row>
    <row r="28" spans="1:37" ht="12" customHeight="1" x14ac:dyDescent="0.25">
      <c r="A28" s="4" t="str">
        <f t="shared" si="0"/>
        <v>01</v>
      </c>
      <c r="B28" s="2370" t="s">
        <v>2225</v>
      </c>
      <c r="C28" s="777"/>
      <c r="D28" s="97"/>
      <c r="E28" s="97"/>
      <c r="F28" s="97"/>
      <c r="G28" s="97"/>
      <c r="H28" s="97"/>
      <c r="I28" s="776" t="s">
        <v>2516</v>
      </c>
      <c r="J28" s="778"/>
      <c r="K28" s="678">
        <f>SUMIF('710'!$B$21:$B$61,B28,'710'!$K$21:$K$61)</f>
        <v>0</v>
      </c>
      <c r="L28" s="1045"/>
      <c r="M28" s="870"/>
      <c r="N28" s="1045"/>
      <c r="O28" s="870"/>
      <c r="P28" s="1045"/>
      <c r="Q28" s="870"/>
      <c r="R28" s="1043"/>
      <c r="S28" s="870"/>
      <c r="T28" s="1047"/>
      <c r="U28" s="2252" t="str">
        <f t="shared" si="1"/>
        <v/>
      </c>
      <c r="W28" s="339" t="str">
        <f t="shared" si="7"/>
        <v/>
      </c>
      <c r="X28" s="340" t="b">
        <f t="shared" si="8"/>
        <v>1</v>
      </c>
      <c r="Y28" s="672">
        <f t="shared" si="2"/>
        <v>0</v>
      </c>
      <c r="AB28" s="1071" t="s">
        <v>2508</v>
      </c>
      <c r="AC28" s="1071" t="s">
        <v>2508</v>
      </c>
      <c r="AD28" s="1071" t="s">
        <v>2508</v>
      </c>
      <c r="AE28" s="1071" t="s">
        <v>2508</v>
      </c>
      <c r="AF28" s="1068" t="str">
        <f t="shared" si="3"/>
        <v/>
      </c>
      <c r="AG28" s="1068" t="str">
        <f t="shared" si="4"/>
        <v/>
      </c>
      <c r="AH28" s="1068" t="str">
        <f t="shared" si="5"/>
        <v/>
      </c>
      <c r="AI28" s="1068" t="str">
        <f t="shared" si="6"/>
        <v/>
      </c>
      <c r="AK28" s="1504" t="s">
        <v>2225</v>
      </c>
    </row>
    <row r="29" spans="1:37" ht="12" customHeight="1" x14ac:dyDescent="0.25">
      <c r="A29" s="4" t="str">
        <f t="shared" si="0"/>
        <v>01</v>
      </c>
      <c r="B29" s="2370" t="s">
        <v>1034</v>
      </c>
      <c r="C29" s="777"/>
      <c r="D29" s="97"/>
      <c r="E29" s="97"/>
      <c r="F29" s="97"/>
      <c r="G29" s="97"/>
      <c r="H29" s="97"/>
      <c r="I29" s="776" t="s">
        <v>2517</v>
      </c>
      <c r="J29" s="778"/>
      <c r="K29" s="678">
        <f>SUMIF('710'!$B$21:$B$61,B29,'710'!$K$21:$K$61)</f>
        <v>0</v>
      </c>
      <c r="L29" s="1045"/>
      <c r="M29" s="870"/>
      <c r="N29" s="1045"/>
      <c r="O29" s="870"/>
      <c r="P29" s="1045"/>
      <c r="Q29" s="870"/>
      <c r="R29" s="1043"/>
      <c r="S29" s="1049"/>
      <c r="T29" s="1047"/>
      <c r="U29" s="2252" t="str">
        <f t="shared" si="1"/>
        <v/>
      </c>
      <c r="W29" s="339" t="str">
        <f t="shared" si="7"/>
        <v/>
      </c>
      <c r="X29" s="340" t="b">
        <f t="shared" si="8"/>
        <v>1</v>
      </c>
      <c r="Y29" s="672">
        <f t="shared" si="2"/>
        <v>0</v>
      </c>
      <c r="AB29" s="1071" t="s">
        <v>2508</v>
      </c>
      <c r="AC29" s="1071" t="s">
        <v>2508</v>
      </c>
      <c r="AD29" s="1071" t="s">
        <v>2508</v>
      </c>
      <c r="AE29" s="1071" t="s">
        <v>2508</v>
      </c>
      <c r="AF29" s="1068" t="str">
        <f t="shared" si="3"/>
        <v/>
      </c>
      <c r="AG29" s="1068" t="str">
        <f t="shared" si="4"/>
        <v/>
      </c>
      <c r="AH29" s="1068" t="str">
        <f t="shared" si="5"/>
        <v/>
      </c>
      <c r="AI29" s="1068" t="str">
        <f t="shared" si="6"/>
        <v/>
      </c>
      <c r="AK29" s="1504" t="s">
        <v>1034</v>
      </c>
    </row>
    <row r="30" spans="1:37" ht="12" customHeight="1" x14ac:dyDescent="0.25">
      <c r="A30" s="4" t="str">
        <f t="shared" si="0"/>
        <v>01</v>
      </c>
      <c r="B30" s="97" t="s">
        <v>2262</v>
      </c>
      <c r="C30" s="777"/>
      <c r="D30" s="97"/>
      <c r="E30" s="97"/>
      <c r="F30" s="97"/>
      <c r="G30" s="97"/>
      <c r="H30" s="97"/>
      <c r="I30" s="776" t="s">
        <v>2518</v>
      </c>
      <c r="J30" s="778"/>
      <c r="K30" s="678">
        <f>SUMIF('710'!$B$21:$B$61,B30,'710'!$K$21:$K$61)</f>
        <v>0</v>
      </c>
      <c r="L30" s="1045"/>
      <c r="M30" s="870"/>
      <c r="N30" s="1045"/>
      <c r="O30" s="870"/>
      <c r="P30" s="1045"/>
      <c r="Q30" s="870"/>
      <c r="R30" s="1043"/>
      <c r="S30" s="1046"/>
      <c r="T30" s="1047"/>
      <c r="U30" s="2252" t="str">
        <f t="shared" si="1"/>
        <v/>
      </c>
      <c r="W30" s="339" t="str">
        <f t="shared" si="7"/>
        <v/>
      </c>
      <c r="X30" s="340" t="b">
        <f t="shared" si="8"/>
        <v>1</v>
      </c>
      <c r="Y30" s="672">
        <f t="shared" si="2"/>
        <v>0</v>
      </c>
      <c r="AB30" s="1071" t="s">
        <v>2508</v>
      </c>
      <c r="AC30" s="1071" t="s">
        <v>2508</v>
      </c>
      <c r="AD30" s="1071" t="s">
        <v>2508</v>
      </c>
      <c r="AE30" s="1071" t="s">
        <v>2508</v>
      </c>
      <c r="AF30" s="1068" t="str">
        <f t="shared" si="3"/>
        <v/>
      </c>
      <c r="AG30" s="1068" t="str">
        <f t="shared" si="4"/>
        <v/>
      </c>
      <c r="AH30" s="1068" t="str">
        <f t="shared" si="5"/>
        <v/>
      </c>
      <c r="AI30" s="1068" t="str">
        <f t="shared" si="6"/>
        <v/>
      </c>
      <c r="AK30" s="1504" t="s">
        <v>2262</v>
      </c>
    </row>
    <row r="31" spans="1:37" ht="12" customHeight="1" x14ac:dyDescent="0.25">
      <c r="A31" s="4" t="str">
        <f t="shared" si="0"/>
        <v>01</v>
      </c>
      <c r="B31" s="2370" t="s">
        <v>2252</v>
      </c>
      <c r="C31" s="777"/>
      <c r="D31" s="97"/>
      <c r="E31" s="97"/>
      <c r="F31" s="97"/>
      <c r="G31" s="97"/>
      <c r="H31" s="97"/>
      <c r="I31" s="776" t="s">
        <v>2519</v>
      </c>
      <c r="J31" s="778"/>
      <c r="K31" s="678">
        <f>SUMIF('710'!$B$21:$B$61,B31,'710'!$K$21:$K$61)</f>
        <v>0</v>
      </c>
      <c r="L31" s="1045"/>
      <c r="M31" s="870"/>
      <c r="N31" s="1045"/>
      <c r="O31" s="870"/>
      <c r="P31" s="1045"/>
      <c r="Q31" s="870"/>
      <c r="R31" s="1043"/>
      <c r="S31" s="1046"/>
      <c r="T31" s="1047"/>
      <c r="U31" s="2252" t="str">
        <f t="shared" si="1"/>
        <v/>
      </c>
      <c r="W31" s="339" t="str">
        <f t="shared" si="7"/>
        <v/>
      </c>
      <c r="X31" s="340" t="b">
        <f t="shared" si="8"/>
        <v>1</v>
      </c>
      <c r="Y31" s="672">
        <f t="shared" si="2"/>
        <v>0</v>
      </c>
      <c r="AB31" s="1071" t="s">
        <v>2508</v>
      </c>
      <c r="AC31" s="1071" t="s">
        <v>2508</v>
      </c>
      <c r="AD31" s="1071" t="s">
        <v>2508</v>
      </c>
      <c r="AE31" s="1071" t="s">
        <v>2508</v>
      </c>
      <c r="AF31" s="1068" t="str">
        <f t="shared" si="3"/>
        <v/>
      </c>
      <c r="AG31" s="1068" t="str">
        <f t="shared" si="4"/>
        <v/>
      </c>
      <c r="AH31" s="1068" t="str">
        <f t="shared" si="5"/>
        <v/>
      </c>
      <c r="AI31" s="1068" t="str">
        <f t="shared" si="6"/>
        <v/>
      </c>
      <c r="AK31" s="1504" t="s">
        <v>2252</v>
      </c>
    </row>
    <row r="32" spans="1:37" ht="12" customHeight="1" x14ac:dyDescent="0.25">
      <c r="A32" s="4" t="str">
        <f t="shared" si="0"/>
        <v>01</v>
      </c>
      <c r="B32" s="97" t="s">
        <v>2248</v>
      </c>
      <c r="C32" s="777"/>
      <c r="D32" s="97"/>
      <c r="E32" s="97"/>
      <c r="F32" s="97"/>
      <c r="G32" s="97"/>
      <c r="H32" s="97"/>
      <c r="I32" s="776" t="s">
        <v>2520</v>
      </c>
      <c r="J32" s="778"/>
      <c r="K32" s="678">
        <f>SUMIF('710'!$B$21:$B$61,B32,'710'!$K$21:$K$61)</f>
        <v>0</v>
      </c>
      <c r="L32" s="1045"/>
      <c r="M32" s="870"/>
      <c r="N32" s="1045"/>
      <c r="O32" s="870"/>
      <c r="P32" s="1045"/>
      <c r="Q32" s="870"/>
      <c r="R32" s="1043"/>
      <c r="S32" s="870"/>
      <c r="T32" s="1047"/>
      <c r="U32" s="2252" t="str">
        <f t="shared" si="1"/>
        <v/>
      </c>
      <c r="W32" s="339" t="str">
        <f t="shared" si="7"/>
        <v/>
      </c>
      <c r="X32" s="340" t="b">
        <f t="shared" si="8"/>
        <v>1</v>
      </c>
      <c r="Y32" s="672">
        <f t="shared" si="2"/>
        <v>0</v>
      </c>
      <c r="AB32" s="1071" t="s">
        <v>2508</v>
      </c>
      <c r="AC32" s="1071" t="s">
        <v>2508</v>
      </c>
      <c r="AD32" s="1071" t="s">
        <v>2508</v>
      </c>
      <c r="AE32" s="1071" t="s">
        <v>2508</v>
      </c>
      <c r="AF32" s="1068" t="str">
        <f t="shared" si="3"/>
        <v/>
      </c>
      <c r="AG32" s="1068" t="str">
        <f t="shared" si="4"/>
        <v/>
      </c>
      <c r="AH32" s="1068" t="str">
        <f t="shared" si="5"/>
        <v/>
      </c>
      <c r="AI32" s="1068" t="str">
        <f t="shared" si="6"/>
        <v/>
      </c>
      <c r="AK32" s="1504" t="s">
        <v>2248</v>
      </c>
    </row>
    <row r="33" spans="1:37" ht="12" customHeight="1" x14ac:dyDescent="0.25">
      <c r="A33" s="4" t="str">
        <f t="shared" si="0"/>
        <v>01</v>
      </c>
      <c r="B33" s="97" t="s">
        <v>2260</v>
      </c>
      <c r="C33" s="777"/>
      <c r="D33" s="97"/>
      <c r="E33" s="97"/>
      <c r="F33" s="97"/>
      <c r="G33" s="97"/>
      <c r="H33" s="97"/>
      <c r="I33" s="776" t="s">
        <v>2521</v>
      </c>
      <c r="J33" s="778"/>
      <c r="K33" s="678">
        <f>SUMIF('710'!$B$21:$B$61,B33,'710'!$K$21:$K$61)</f>
        <v>0</v>
      </c>
      <c r="L33" s="1045"/>
      <c r="M33" s="870"/>
      <c r="N33" s="1045"/>
      <c r="O33" s="870"/>
      <c r="P33" s="1045"/>
      <c r="Q33" s="870"/>
      <c r="R33" s="1043"/>
      <c r="S33" s="1046"/>
      <c r="T33" s="1047"/>
      <c r="U33" s="2252" t="str">
        <f t="shared" si="1"/>
        <v/>
      </c>
      <c r="W33" s="339" t="str">
        <f t="shared" si="7"/>
        <v/>
      </c>
      <c r="X33" s="340" t="b">
        <f t="shared" si="8"/>
        <v>1</v>
      </c>
      <c r="Y33" s="672">
        <f t="shared" si="2"/>
        <v>0</v>
      </c>
      <c r="AB33" s="1071" t="s">
        <v>2508</v>
      </c>
      <c r="AC33" s="1071" t="s">
        <v>2508</v>
      </c>
      <c r="AD33" s="1071" t="s">
        <v>2508</v>
      </c>
      <c r="AE33" s="1071" t="s">
        <v>2508</v>
      </c>
      <c r="AF33" s="1068" t="str">
        <f t="shared" si="3"/>
        <v/>
      </c>
      <c r="AG33" s="1068" t="str">
        <f t="shared" si="4"/>
        <v/>
      </c>
      <c r="AH33" s="1068" t="str">
        <f t="shared" si="5"/>
        <v/>
      </c>
      <c r="AI33" s="1068" t="str">
        <f t="shared" si="6"/>
        <v/>
      </c>
      <c r="AK33" s="1504" t="s">
        <v>2260</v>
      </c>
    </row>
    <row r="34" spans="1:37" ht="12" customHeight="1" x14ac:dyDescent="0.25">
      <c r="A34" s="4" t="str">
        <f t="shared" si="0"/>
        <v>01</v>
      </c>
      <c r="B34" s="2370" t="s">
        <v>2254</v>
      </c>
      <c r="C34" s="777"/>
      <c r="D34" s="97"/>
      <c r="E34" s="97"/>
      <c r="F34" s="97"/>
      <c r="G34" s="97"/>
      <c r="H34" s="97"/>
      <c r="I34" s="776" t="s">
        <v>2522</v>
      </c>
      <c r="J34" s="778"/>
      <c r="K34" s="678">
        <f>SUMIF('710'!$B$21:$B$61,B34,'710'!$K$21:$K$61)</f>
        <v>0</v>
      </c>
      <c r="L34" s="1045"/>
      <c r="M34" s="870"/>
      <c r="N34" s="1045"/>
      <c r="O34" s="870"/>
      <c r="P34" s="1045"/>
      <c r="Q34" s="870"/>
      <c r="R34" s="1043"/>
      <c r="S34" s="1046"/>
      <c r="T34" s="1047"/>
      <c r="U34" s="2252" t="str">
        <f t="shared" si="1"/>
        <v/>
      </c>
      <c r="W34" s="339" t="str">
        <f t="shared" si="7"/>
        <v/>
      </c>
      <c r="X34" s="340" t="b">
        <f t="shared" si="8"/>
        <v>1</v>
      </c>
      <c r="Y34" s="672">
        <f t="shared" si="2"/>
        <v>0</v>
      </c>
      <c r="AB34" s="1071" t="s">
        <v>2508</v>
      </c>
      <c r="AC34" s="1071" t="s">
        <v>2508</v>
      </c>
      <c r="AD34" s="1071" t="s">
        <v>2508</v>
      </c>
      <c r="AE34" s="1071" t="s">
        <v>2508</v>
      </c>
      <c r="AF34" s="1068" t="str">
        <f t="shared" si="3"/>
        <v/>
      </c>
      <c r="AG34" s="1068" t="str">
        <f t="shared" si="4"/>
        <v/>
      </c>
      <c r="AH34" s="1068" t="str">
        <f t="shared" si="5"/>
        <v/>
      </c>
      <c r="AI34" s="1068" t="str">
        <f t="shared" si="6"/>
        <v/>
      </c>
      <c r="AK34" s="1504" t="s">
        <v>2254</v>
      </c>
    </row>
    <row r="35" spans="1:37" ht="12" customHeight="1" x14ac:dyDescent="0.25">
      <c r="A35" s="4" t="str">
        <f t="shared" si="0"/>
        <v>01</v>
      </c>
      <c r="B35" s="97" t="s">
        <v>2256</v>
      </c>
      <c r="C35" s="777"/>
      <c r="D35" s="97"/>
      <c r="E35" s="97"/>
      <c r="F35" s="97"/>
      <c r="G35" s="97"/>
      <c r="H35" s="97"/>
      <c r="I35" s="776" t="s">
        <v>2523</v>
      </c>
      <c r="J35" s="778"/>
      <c r="K35" s="678">
        <f>SUMIF('710'!$B$21:$B$61,B35,'710'!$K$21:$K$61)</f>
        <v>0</v>
      </c>
      <c r="L35" s="1045"/>
      <c r="M35" s="870"/>
      <c r="N35" s="1045"/>
      <c r="O35" s="870"/>
      <c r="P35" s="1045"/>
      <c r="Q35" s="870"/>
      <c r="R35" s="1043"/>
      <c r="S35" s="1046"/>
      <c r="T35" s="1047"/>
      <c r="U35" s="2252" t="str">
        <f t="shared" si="1"/>
        <v/>
      </c>
      <c r="W35" s="339" t="str">
        <f t="shared" si="7"/>
        <v/>
      </c>
      <c r="X35" s="340" t="b">
        <f t="shared" si="8"/>
        <v>1</v>
      </c>
      <c r="Y35" s="672">
        <f t="shared" si="2"/>
        <v>0</v>
      </c>
      <c r="AB35" s="1071" t="s">
        <v>2508</v>
      </c>
      <c r="AC35" s="1071" t="s">
        <v>2508</v>
      </c>
      <c r="AD35" s="1071" t="s">
        <v>2508</v>
      </c>
      <c r="AE35" s="1071" t="s">
        <v>2508</v>
      </c>
      <c r="AF35" s="1068" t="str">
        <f t="shared" si="3"/>
        <v/>
      </c>
      <c r="AG35" s="1068" t="str">
        <f t="shared" si="4"/>
        <v/>
      </c>
      <c r="AH35" s="1068" t="str">
        <f t="shared" si="5"/>
        <v/>
      </c>
      <c r="AI35" s="1068" t="str">
        <f t="shared" si="6"/>
        <v/>
      </c>
      <c r="AK35" s="1504" t="s">
        <v>2256</v>
      </c>
    </row>
    <row r="36" spans="1:37" ht="12" customHeight="1" x14ac:dyDescent="0.25">
      <c r="A36" s="4" t="str">
        <f t="shared" si="0"/>
        <v>01</v>
      </c>
      <c r="B36" s="97" t="s">
        <v>2258</v>
      </c>
      <c r="C36" s="777"/>
      <c r="D36" s="97"/>
      <c r="E36" s="97"/>
      <c r="F36" s="97"/>
      <c r="G36" s="97"/>
      <c r="H36" s="97"/>
      <c r="I36" s="776" t="s">
        <v>2524</v>
      </c>
      <c r="J36" s="778"/>
      <c r="K36" s="678">
        <f>SUMIF('710'!$B$21:$B$61,B36,'710'!$K$21:$K$61)</f>
        <v>0</v>
      </c>
      <c r="L36" s="1045"/>
      <c r="M36" s="870"/>
      <c r="N36" s="1045"/>
      <c r="O36" s="870"/>
      <c r="P36" s="1045"/>
      <c r="Q36" s="870"/>
      <c r="R36" s="1043"/>
      <c r="S36" s="1046"/>
      <c r="T36" s="1047"/>
      <c r="U36" s="2252" t="str">
        <f t="shared" si="1"/>
        <v/>
      </c>
      <c r="W36" s="339" t="str">
        <f t="shared" si="7"/>
        <v/>
      </c>
      <c r="X36" s="340" t="b">
        <f t="shared" si="8"/>
        <v>1</v>
      </c>
      <c r="Y36" s="672">
        <f t="shared" si="2"/>
        <v>0</v>
      </c>
      <c r="AB36" s="1071" t="s">
        <v>2508</v>
      </c>
      <c r="AC36" s="1071" t="s">
        <v>2508</v>
      </c>
      <c r="AD36" s="1071" t="s">
        <v>2508</v>
      </c>
      <c r="AE36" s="1071" t="s">
        <v>2508</v>
      </c>
      <c r="AF36" s="1068" t="str">
        <f t="shared" si="3"/>
        <v/>
      </c>
      <c r="AG36" s="1068" t="str">
        <f t="shared" si="4"/>
        <v/>
      </c>
      <c r="AH36" s="1068" t="str">
        <f t="shared" si="5"/>
        <v/>
      </c>
      <c r="AI36" s="1068" t="str">
        <f t="shared" si="6"/>
        <v/>
      </c>
      <c r="AK36" s="1504" t="s">
        <v>2258</v>
      </c>
    </row>
    <row r="37" spans="1:37" ht="12" customHeight="1" x14ac:dyDescent="0.25">
      <c r="A37" s="4" t="str">
        <f t="shared" si="0"/>
        <v>01</v>
      </c>
      <c r="B37" s="97" t="s">
        <v>2276</v>
      </c>
      <c r="C37" s="777"/>
      <c r="D37" s="97"/>
      <c r="E37" s="97"/>
      <c r="F37" s="97"/>
      <c r="G37" s="97"/>
      <c r="H37" s="97"/>
      <c r="I37" s="776" t="s">
        <v>2525</v>
      </c>
      <c r="J37" s="778"/>
      <c r="K37" s="678">
        <f>SUMIF('710'!$B$21:$B$61,B37,'710'!$K$21:$K$61)</f>
        <v>0</v>
      </c>
      <c r="L37" s="1045"/>
      <c r="M37" s="870"/>
      <c r="N37" s="1045"/>
      <c r="O37" s="870"/>
      <c r="P37" s="1045"/>
      <c r="Q37" s="870"/>
      <c r="R37" s="1043"/>
      <c r="S37" s="1046"/>
      <c r="T37" s="1047"/>
      <c r="U37" s="2252" t="str">
        <f t="shared" si="1"/>
        <v/>
      </c>
      <c r="W37" s="339" t="str">
        <f t="shared" si="7"/>
        <v/>
      </c>
      <c r="X37" s="340" t="b">
        <f t="shared" si="8"/>
        <v>1</v>
      </c>
      <c r="Y37" s="672">
        <f t="shared" si="2"/>
        <v>0</v>
      </c>
      <c r="AB37" s="1071" t="s">
        <v>2508</v>
      </c>
      <c r="AC37" s="1071" t="s">
        <v>2508</v>
      </c>
      <c r="AD37" s="1071" t="s">
        <v>2508</v>
      </c>
      <c r="AE37" s="1071" t="s">
        <v>2508</v>
      </c>
      <c r="AF37" s="1068" t="str">
        <f t="shared" si="3"/>
        <v/>
      </c>
      <c r="AG37" s="1068" t="str">
        <f t="shared" si="4"/>
        <v/>
      </c>
      <c r="AH37" s="1068" t="str">
        <f t="shared" si="5"/>
        <v/>
      </c>
      <c r="AI37" s="1068" t="str">
        <f t="shared" si="6"/>
        <v/>
      </c>
      <c r="AK37" s="1504" t="s">
        <v>2276</v>
      </c>
    </row>
    <row r="38" spans="1:37" ht="12" customHeight="1" x14ac:dyDescent="0.25">
      <c r="A38" s="4" t="str">
        <f t="shared" si="0"/>
        <v>01</v>
      </c>
      <c r="B38" s="2370" t="s">
        <v>2228</v>
      </c>
      <c r="C38" s="777"/>
      <c r="D38" s="97"/>
      <c r="E38" s="97"/>
      <c r="F38" s="97"/>
      <c r="G38" s="97"/>
      <c r="H38" s="97"/>
      <c r="I38" s="776" t="s">
        <v>2526</v>
      </c>
      <c r="J38" s="778"/>
      <c r="K38" s="678">
        <f>SUMIF('710'!$B$21:$B$61,B38,'710'!$K$21:$K$61)</f>
        <v>0</v>
      </c>
      <c r="L38" s="1045"/>
      <c r="M38" s="870"/>
      <c r="N38" s="1045"/>
      <c r="O38" s="870"/>
      <c r="P38" s="1045"/>
      <c r="Q38" s="870"/>
      <c r="R38" s="1043"/>
      <c r="S38" s="1046"/>
      <c r="T38" s="1047"/>
      <c r="U38" s="2252" t="str">
        <f t="shared" si="1"/>
        <v/>
      </c>
      <c r="W38" s="339" t="str">
        <f t="shared" si="7"/>
        <v/>
      </c>
      <c r="X38" s="340" t="b">
        <f t="shared" si="8"/>
        <v>1</v>
      </c>
      <c r="Y38" s="672">
        <f t="shared" si="2"/>
        <v>0</v>
      </c>
      <c r="AB38" s="1071" t="s">
        <v>2508</v>
      </c>
      <c r="AC38" s="1071" t="s">
        <v>2508</v>
      </c>
      <c r="AD38" s="1071" t="s">
        <v>2508</v>
      </c>
      <c r="AE38" s="1071" t="s">
        <v>2508</v>
      </c>
      <c r="AF38" s="1068" t="str">
        <f t="shared" si="3"/>
        <v/>
      </c>
      <c r="AG38" s="1068" t="str">
        <f t="shared" si="4"/>
        <v/>
      </c>
      <c r="AH38" s="1068" t="str">
        <f t="shared" si="5"/>
        <v/>
      </c>
      <c r="AI38" s="1068" t="str">
        <f t="shared" si="6"/>
        <v/>
      </c>
      <c r="AK38" s="1504" t="s">
        <v>2228</v>
      </c>
    </row>
    <row r="39" spans="1:37" ht="12" customHeight="1" x14ac:dyDescent="0.25">
      <c r="A39" s="4" t="str">
        <f t="shared" si="0"/>
        <v>01</v>
      </c>
      <c r="B39" s="2370" t="s">
        <v>2230</v>
      </c>
      <c r="C39" s="777"/>
      <c r="D39" s="97"/>
      <c r="E39" s="97"/>
      <c r="F39" s="97"/>
      <c r="G39" s="97"/>
      <c r="H39" s="97"/>
      <c r="I39" s="776" t="s">
        <v>2527</v>
      </c>
      <c r="J39" s="778"/>
      <c r="K39" s="678">
        <f>SUMIF('710'!$B$21:$B$61,B39,'710'!$K$21:$K$61)</f>
        <v>0</v>
      </c>
      <c r="L39" s="1045"/>
      <c r="M39" s="870"/>
      <c r="N39" s="1045"/>
      <c r="O39" s="870"/>
      <c r="P39" s="1045"/>
      <c r="Q39" s="870"/>
      <c r="R39" s="1043"/>
      <c r="S39" s="1046"/>
      <c r="T39" s="1047"/>
      <c r="U39" s="2252" t="str">
        <f t="shared" si="1"/>
        <v/>
      </c>
      <c r="W39" s="339" t="str">
        <f t="shared" si="7"/>
        <v/>
      </c>
      <c r="X39" s="340" t="b">
        <f t="shared" si="8"/>
        <v>1</v>
      </c>
      <c r="Y39" s="672">
        <f t="shared" si="2"/>
        <v>0</v>
      </c>
      <c r="AB39" s="1071" t="s">
        <v>2508</v>
      </c>
      <c r="AC39" s="1071" t="s">
        <v>2508</v>
      </c>
      <c r="AD39" s="1071" t="s">
        <v>2508</v>
      </c>
      <c r="AE39" s="1071" t="s">
        <v>2508</v>
      </c>
      <c r="AF39" s="1068" t="str">
        <f t="shared" si="3"/>
        <v/>
      </c>
      <c r="AG39" s="1068" t="str">
        <f t="shared" si="4"/>
        <v/>
      </c>
      <c r="AH39" s="1068" t="str">
        <f t="shared" si="5"/>
        <v/>
      </c>
      <c r="AI39" s="1068" t="str">
        <f t="shared" si="6"/>
        <v/>
      </c>
      <c r="AK39" s="1504" t="s">
        <v>2230</v>
      </c>
    </row>
    <row r="40" spans="1:37" ht="12" customHeight="1" x14ac:dyDescent="0.25">
      <c r="A40" s="4" t="str">
        <f t="shared" si="0"/>
        <v>01</v>
      </c>
      <c r="B40" s="2370" t="s">
        <v>2232</v>
      </c>
      <c r="C40" s="777"/>
      <c r="D40" s="97"/>
      <c r="E40" s="97"/>
      <c r="F40" s="97"/>
      <c r="G40" s="97"/>
      <c r="H40" s="97"/>
      <c r="I40" s="776" t="s">
        <v>2528</v>
      </c>
      <c r="J40" s="778"/>
      <c r="K40" s="678">
        <f>SUMIF('710'!$B$21:$B$61,B40,'710'!$K$21:$K$61)</f>
        <v>0</v>
      </c>
      <c r="L40" s="1045"/>
      <c r="M40" s="870"/>
      <c r="N40" s="1045"/>
      <c r="O40" s="870"/>
      <c r="P40" s="1045"/>
      <c r="Q40" s="870"/>
      <c r="R40" s="1043"/>
      <c r="S40" s="1046"/>
      <c r="T40" s="1047"/>
      <c r="U40" s="2252" t="str">
        <f t="shared" si="1"/>
        <v/>
      </c>
      <c r="W40" s="339" t="str">
        <f t="shared" si="7"/>
        <v/>
      </c>
      <c r="X40" s="340" t="b">
        <f t="shared" si="8"/>
        <v>1</v>
      </c>
      <c r="Y40" s="672">
        <f t="shared" si="2"/>
        <v>0</v>
      </c>
      <c r="AB40" s="1071" t="s">
        <v>2508</v>
      </c>
      <c r="AC40" s="1071" t="s">
        <v>2508</v>
      </c>
      <c r="AD40" s="1071" t="s">
        <v>2508</v>
      </c>
      <c r="AE40" s="1071" t="s">
        <v>2508</v>
      </c>
      <c r="AF40" s="1068" t="str">
        <f t="shared" si="3"/>
        <v/>
      </c>
      <c r="AG40" s="1068" t="str">
        <f t="shared" si="4"/>
        <v/>
      </c>
      <c r="AH40" s="1068" t="str">
        <f t="shared" si="5"/>
        <v/>
      </c>
      <c r="AI40" s="1068" t="str">
        <f t="shared" si="6"/>
        <v/>
      </c>
      <c r="AK40" s="1504" t="s">
        <v>2232</v>
      </c>
    </row>
    <row r="41" spans="1:37" ht="12" customHeight="1" x14ac:dyDescent="0.25">
      <c r="A41" s="4" t="str">
        <f t="shared" si="0"/>
        <v>01</v>
      </c>
      <c r="B41" s="97" t="s">
        <v>2234</v>
      </c>
      <c r="C41" s="777"/>
      <c r="D41" s="97"/>
      <c r="E41" s="97"/>
      <c r="F41" s="97"/>
      <c r="G41" s="97"/>
      <c r="H41" s="97"/>
      <c r="I41" s="776" t="s">
        <v>2529</v>
      </c>
      <c r="J41" s="778"/>
      <c r="K41" s="678">
        <f>SUMIF('710'!$B$21:$B$61,B41,'710'!$K$21:$K$61)</f>
        <v>0</v>
      </c>
      <c r="L41" s="1045"/>
      <c r="M41" s="1049"/>
      <c r="N41" s="1045"/>
      <c r="O41" s="1049"/>
      <c r="P41" s="1045"/>
      <c r="Q41" s="870"/>
      <c r="R41" s="1043"/>
      <c r="S41" s="1046"/>
      <c r="T41" s="1047"/>
      <c r="U41" s="2252" t="str">
        <f t="shared" si="1"/>
        <v/>
      </c>
      <c r="W41" s="339" t="str">
        <f t="shared" si="7"/>
        <v/>
      </c>
      <c r="X41" s="340" t="b">
        <f t="shared" si="8"/>
        <v>1</v>
      </c>
      <c r="Y41" s="672">
        <f t="shared" si="2"/>
        <v>0</v>
      </c>
      <c r="AB41" s="1071" t="s">
        <v>2508</v>
      </c>
      <c r="AC41" s="1071" t="s">
        <v>2508</v>
      </c>
      <c r="AD41" s="1071" t="s">
        <v>2508</v>
      </c>
      <c r="AE41" s="1071" t="s">
        <v>2508</v>
      </c>
      <c r="AF41" s="1068" t="str">
        <f t="shared" si="3"/>
        <v/>
      </c>
      <c r="AG41" s="1068" t="str">
        <f t="shared" si="4"/>
        <v/>
      </c>
      <c r="AH41" s="1068" t="str">
        <f t="shared" si="5"/>
        <v/>
      </c>
      <c r="AI41" s="1068" t="str">
        <f t="shared" si="6"/>
        <v/>
      </c>
      <c r="AK41" s="1504" t="s">
        <v>2234</v>
      </c>
    </row>
    <row r="42" spans="1:37" ht="12" customHeight="1" x14ac:dyDescent="0.25">
      <c r="A42" s="4" t="str">
        <f t="shared" si="0"/>
        <v>01</v>
      </c>
      <c r="B42" s="97" t="s">
        <v>2236</v>
      </c>
      <c r="C42" s="777"/>
      <c r="D42" s="97"/>
      <c r="E42" s="97"/>
      <c r="F42" s="97"/>
      <c r="G42" s="97"/>
      <c r="H42" s="97"/>
      <c r="I42" s="776" t="s">
        <v>2530</v>
      </c>
      <c r="J42" s="778"/>
      <c r="K42" s="678">
        <f>SUMIF('710'!$B$21:$B$61,B42,'710'!$K$21:$K$61)</f>
        <v>0</v>
      </c>
      <c r="L42" s="1045"/>
      <c r="M42" s="1049"/>
      <c r="N42" s="1045"/>
      <c r="O42" s="1049"/>
      <c r="P42" s="1045"/>
      <c r="Q42" s="870"/>
      <c r="R42" s="1043"/>
      <c r="S42" s="1046"/>
      <c r="T42" s="1047"/>
      <c r="U42" s="2252" t="str">
        <f t="shared" si="1"/>
        <v/>
      </c>
      <c r="W42" s="339" t="str">
        <f t="shared" si="7"/>
        <v/>
      </c>
      <c r="X42" s="340" t="b">
        <f t="shared" si="8"/>
        <v>1</v>
      </c>
      <c r="Y42" s="672">
        <f t="shared" si="2"/>
        <v>0</v>
      </c>
      <c r="AB42" s="1071" t="s">
        <v>2508</v>
      </c>
      <c r="AC42" s="1071" t="s">
        <v>2508</v>
      </c>
      <c r="AD42" s="1071" t="s">
        <v>2508</v>
      </c>
      <c r="AE42" s="1071" t="s">
        <v>2508</v>
      </c>
      <c r="AF42" s="1068" t="str">
        <f t="shared" si="3"/>
        <v/>
      </c>
      <c r="AG42" s="1068" t="str">
        <f t="shared" si="4"/>
        <v/>
      </c>
      <c r="AH42" s="1068" t="str">
        <f t="shared" si="5"/>
        <v/>
      </c>
      <c r="AI42" s="1068" t="str">
        <f t="shared" si="6"/>
        <v/>
      </c>
      <c r="AK42" s="1504" t="s">
        <v>2236</v>
      </c>
    </row>
    <row r="43" spans="1:37" ht="12" customHeight="1" x14ac:dyDescent="0.25">
      <c r="A43" s="4" t="str">
        <f t="shared" si="0"/>
        <v>01</v>
      </c>
      <c r="B43" s="97" t="s">
        <v>2264</v>
      </c>
      <c r="C43" s="777"/>
      <c r="D43" s="97"/>
      <c r="E43" s="97"/>
      <c r="F43" s="97"/>
      <c r="G43" s="97"/>
      <c r="H43" s="97"/>
      <c r="I43" s="776" t="s">
        <v>2531</v>
      </c>
      <c r="J43" s="778"/>
      <c r="K43" s="678">
        <f>SUMIF('710'!$B$21:$B$61,B43,'710'!$K$21:$K$61)</f>
        <v>0</v>
      </c>
      <c r="L43" s="1045"/>
      <c r="M43" s="1049"/>
      <c r="N43" s="1045"/>
      <c r="O43" s="1049"/>
      <c r="P43" s="1045"/>
      <c r="Q43" s="870"/>
      <c r="R43" s="1043"/>
      <c r="S43" s="1046"/>
      <c r="T43" s="1047"/>
      <c r="U43" s="2252" t="str">
        <f t="shared" si="1"/>
        <v/>
      </c>
      <c r="W43" s="339" t="str">
        <f t="shared" si="7"/>
        <v/>
      </c>
      <c r="X43" s="340" t="b">
        <f t="shared" si="8"/>
        <v>1</v>
      </c>
      <c r="Y43" s="672">
        <f t="shared" si="2"/>
        <v>0</v>
      </c>
      <c r="AB43" s="1071" t="s">
        <v>2508</v>
      </c>
      <c r="AC43" s="1071" t="s">
        <v>2508</v>
      </c>
      <c r="AD43" s="1071" t="s">
        <v>2508</v>
      </c>
      <c r="AE43" s="1071" t="s">
        <v>2508</v>
      </c>
      <c r="AF43" s="1068" t="str">
        <f t="shared" si="3"/>
        <v/>
      </c>
      <c r="AG43" s="1068" t="str">
        <f t="shared" si="4"/>
        <v/>
      </c>
      <c r="AH43" s="1068" t="str">
        <f t="shared" si="5"/>
        <v/>
      </c>
      <c r="AI43" s="1068" t="str">
        <f t="shared" si="6"/>
        <v/>
      </c>
      <c r="AK43" s="1504" t="s">
        <v>2264</v>
      </c>
    </row>
    <row r="44" spans="1:37" ht="12" customHeight="1" x14ac:dyDescent="0.25">
      <c r="B44" s="97" t="s">
        <v>2278</v>
      </c>
      <c r="C44" s="777"/>
      <c r="D44" s="97"/>
      <c r="E44" s="97"/>
      <c r="F44" s="97"/>
      <c r="G44" s="97"/>
      <c r="H44" s="97"/>
      <c r="I44" s="776" t="s">
        <v>2532</v>
      </c>
      <c r="J44" s="778"/>
      <c r="K44" s="678">
        <f>SUMIF('710'!$B$21:$B$61,B44,'710'!$K$21:$K$61)</f>
        <v>0</v>
      </c>
      <c r="L44" s="1045"/>
      <c r="M44" s="1049"/>
      <c r="N44" s="1045"/>
      <c r="O44" s="1049"/>
      <c r="P44" s="1045"/>
      <c r="Q44" s="870"/>
      <c r="R44" s="1043"/>
      <c r="S44" s="870"/>
      <c r="T44" s="1047"/>
      <c r="U44" s="2252"/>
      <c r="W44" s="339"/>
      <c r="X44" s="340" t="b">
        <f t="shared" si="8"/>
        <v>1</v>
      </c>
      <c r="Y44" s="672">
        <f t="shared" si="2"/>
        <v>0</v>
      </c>
      <c r="AB44" s="1071" t="s">
        <v>2508</v>
      </c>
      <c r="AC44" s="1071" t="s">
        <v>2508</v>
      </c>
      <c r="AD44" s="1071" t="s">
        <v>2508</v>
      </c>
      <c r="AE44" s="1071" t="s">
        <v>2508</v>
      </c>
      <c r="AF44" s="1068"/>
      <c r="AG44" s="1068"/>
      <c r="AH44" s="1068"/>
      <c r="AI44" s="1068"/>
      <c r="AK44" s="1504" t="s">
        <v>2278</v>
      </c>
    </row>
    <row r="45" spans="1:37" ht="12" customHeight="1" x14ac:dyDescent="0.25">
      <c r="A45" s="4" t="str">
        <f t="shared" si="0"/>
        <v>01</v>
      </c>
      <c r="B45" s="97" t="s">
        <v>1361</v>
      </c>
      <c r="C45" s="2900" t="s">
        <v>2239</v>
      </c>
      <c r="D45" s="2900"/>
      <c r="E45" s="2900"/>
      <c r="F45" s="2900"/>
      <c r="G45" s="2900"/>
      <c r="H45" s="97"/>
      <c r="I45" s="776" t="s">
        <v>2533</v>
      </c>
      <c r="J45" s="778"/>
      <c r="K45" s="342"/>
      <c r="L45" s="1045"/>
      <c r="M45" s="1049"/>
      <c r="N45" s="1045"/>
      <c r="O45" s="1049"/>
      <c r="P45" s="1045"/>
      <c r="Q45" s="870"/>
      <c r="R45" s="1043"/>
      <c r="S45" s="870"/>
      <c r="T45" s="1047"/>
      <c r="U45" s="2252" t="str">
        <f t="shared" si="1"/>
        <v/>
      </c>
      <c r="W45" s="339" t="str">
        <f t="shared" si="7"/>
        <v/>
      </c>
      <c r="X45" s="340" t="b">
        <f t="shared" si="8"/>
        <v>1</v>
      </c>
      <c r="Y45" s="672">
        <f t="shared" si="2"/>
        <v>0</v>
      </c>
      <c r="AB45" s="1071" t="s">
        <v>2508</v>
      </c>
      <c r="AC45" s="1071" t="s">
        <v>2508</v>
      </c>
      <c r="AD45" s="1071" t="s">
        <v>2508</v>
      </c>
      <c r="AE45" s="1071" t="s">
        <v>2508</v>
      </c>
      <c r="AF45" s="1068" t="str">
        <f t="shared" si="3"/>
        <v/>
      </c>
      <c r="AG45" s="1068" t="str">
        <f t="shared" si="4"/>
        <v/>
      </c>
      <c r="AH45" s="1068" t="str">
        <f t="shared" si="5"/>
        <v/>
      </c>
      <c r="AI45" s="1068" t="str">
        <f t="shared" si="6"/>
        <v/>
      </c>
      <c r="AK45" s="1504" t="str">
        <f>C45</f>
        <v>Select Other Investment (Click here)</v>
      </c>
    </row>
    <row r="46" spans="1:37" ht="12" customHeight="1" x14ac:dyDescent="0.25">
      <c r="A46" s="4" t="str">
        <f t="shared" si="0"/>
        <v>01</v>
      </c>
      <c r="B46" s="97" t="s">
        <v>1361</v>
      </c>
      <c r="C46" s="2900" t="s">
        <v>2239</v>
      </c>
      <c r="D46" s="2900"/>
      <c r="E46" s="2900"/>
      <c r="F46" s="2900"/>
      <c r="G46" s="2900"/>
      <c r="H46" s="97"/>
      <c r="I46" s="776" t="s">
        <v>2534</v>
      </c>
      <c r="J46" s="778"/>
      <c r="K46" s="342"/>
      <c r="L46" s="1045"/>
      <c r="M46" s="1049"/>
      <c r="N46" s="1045"/>
      <c r="O46" s="1049"/>
      <c r="P46" s="1045"/>
      <c r="Q46" s="870"/>
      <c r="R46" s="1043"/>
      <c r="S46" s="870"/>
      <c r="T46" s="1047"/>
      <c r="U46" s="2252" t="str">
        <f>CONCATENATE(AF46,AG46,AH46,AI46)</f>
        <v/>
      </c>
      <c r="W46" s="339" t="str">
        <f>IF(X46=FALSE,"*","")</f>
        <v/>
      </c>
      <c r="X46" s="340" t="b">
        <f>+K46=SUM(M46,O46,Q46,S46)</f>
        <v>1</v>
      </c>
      <c r="Y46" s="672">
        <f>K46-SUM(M46,O46,Q46, S46)</f>
        <v>0</v>
      </c>
      <c r="AB46" s="1071" t="s">
        <v>2508</v>
      </c>
      <c r="AC46" s="1071" t="s">
        <v>2508</v>
      </c>
      <c r="AD46" s="1071" t="s">
        <v>2508</v>
      </c>
      <c r="AE46" s="1071" t="s">
        <v>2508</v>
      </c>
      <c r="AF46" s="1068" t="str">
        <f>IF(AB46="—","",RIGHT(AB46,7))</f>
        <v/>
      </c>
      <c r="AG46" s="1068" t="str">
        <f>IF(AC46="—","",RIGHT(AC46,7))</f>
        <v/>
      </c>
      <c r="AH46" s="1068" t="str">
        <f>IF(AD46="—","",RIGHT(AD46,7))</f>
        <v/>
      </c>
      <c r="AI46" s="1068" t="str">
        <f>IF(AE46="—","",RIGHT(AE46,7))</f>
        <v/>
      </c>
      <c r="AK46" s="1504" t="str">
        <f>C46</f>
        <v>Select Other Investment (Click here)</v>
      </c>
    </row>
    <row r="47" spans="1:37" ht="12" customHeight="1" x14ac:dyDescent="0.25">
      <c r="A47" s="4" t="str">
        <f t="shared" si="0"/>
        <v>01</v>
      </c>
      <c r="B47" s="97" t="s">
        <v>1361</v>
      </c>
      <c r="C47" s="2900" t="s">
        <v>2239</v>
      </c>
      <c r="D47" s="2900"/>
      <c r="E47" s="2900"/>
      <c r="F47" s="2900"/>
      <c r="G47" s="2900"/>
      <c r="H47" s="97"/>
      <c r="I47" s="776" t="s">
        <v>2535</v>
      </c>
      <c r="J47" s="778"/>
      <c r="K47" s="342"/>
      <c r="L47" s="1045"/>
      <c r="M47" s="1049"/>
      <c r="N47" s="1045"/>
      <c r="O47" s="1049"/>
      <c r="P47" s="1045"/>
      <c r="Q47" s="870"/>
      <c r="R47" s="1043"/>
      <c r="S47" s="870"/>
      <c r="T47" s="1047"/>
      <c r="U47" s="2262" t="str">
        <f t="shared" si="1"/>
        <v/>
      </c>
      <c r="W47" s="339" t="str">
        <f t="shared" si="7"/>
        <v/>
      </c>
      <c r="X47" s="340" t="b">
        <f t="shared" si="8"/>
        <v>1</v>
      </c>
      <c r="Y47" s="672">
        <f t="shared" si="2"/>
        <v>0</v>
      </c>
      <c r="AB47" s="1071" t="s">
        <v>2508</v>
      </c>
      <c r="AC47" s="1071" t="s">
        <v>2508</v>
      </c>
      <c r="AD47" s="1071" t="s">
        <v>2508</v>
      </c>
      <c r="AE47" s="1071" t="s">
        <v>2508</v>
      </c>
      <c r="AF47" s="1068" t="str">
        <f t="shared" si="3"/>
        <v/>
      </c>
      <c r="AG47" s="1068" t="str">
        <f t="shared" si="4"/>
        <v/>
      </c>
      <c r="AH47" s="1068" t="str">
        <f t="shared" si="5"/>
        <v/>
      </c>
      <c r="AI47" s="1068" t="str">
        <f t="shared" si="6"/>
        <v/>
      </c>
      <c r="AK47" s="1504" t="str">
        <f>C47</f>
        <v>Select Other Investment (Click here)</v>
      </c>
    </row>
    <row r="48" spans="1:37" ht="3.75" customHeight="1" x14ac:dyDescent="0.25">
      <c r="A48" s="4" t="str">
        <f t="shared" si="0"/>
        <v>01</v>
      </c>
      <c r="B48" s="97"/>
      <c r="C48" s="97"/>
      <c r="D48" s="97"/>
      <c r="E48" s="97"/>
      <c r="F48" s="97"/>
      <c r="G48" s="97"/>
      <c r="H48" s="97"/>
      <c r="I48" s="776"/>
      <c r="J48" s="778"/>
      <c r="K48" s="1045"/>
      <c r="L48" s="671"/>
      <c r="M48" s="671"/>
      <c r="N48" s="671"/>
      <c r="O48" s="671"/>
      <c r="P48" s="671"/>
      <c r="Q48" s="671"/>
      <c r="R48" s="97"/>
      <c r="S48" s="671"/>
      <c r="T48" s="671"/>
      <c r="U48"/>
      <c r="AB48" s="434"/>
      <c r="AC48" s="434"/>
      <c r="AD48" s="434"/>
      <c r="AE48" s="434"/>
      <c r="AF48" s="1068"/>
      <c r="AG48" s="1068"/>
      <c r="AH48" s="1068"/>
      <c r="AI48" s="1068"/>
    </row>
    <row r="49" spans="1:37" ht="15" customHeight="1" x14ac:dyDescent="0.25">
      <c r="A49" s="4" t="str">
        <f t="shared" si="0"/>
        <v>01</v>
      </c>
      <c r="B49" s="177" t="s">
        <v>2536</v>
      </c>
      <c r="C49" s="891"/>
      <c r="D49" s="97"/>
      <c r="E49" s="97"/>
      <c r="F49" s="97"/>
      <c r="G49" s="97"/>
      <c r="H49" s="97"/>
      <c r="I49" s="776"/>
      <c r="J49" s="778"/>
      <c r="K49" s="1045"/>
      <c r="L49" s="671"/>
      <c r="M49" s="178"/>
      <c r="N49" s="671"/>
      <c r="O49" s="671"/>
      <c r="P49" s="671"/>
      <c r="Q49" s="671"/>
      <c r="R49" s="97"/>
      <c r="S49" s="97"/>
      <c r="T49" s="97"/>
      <c r="U49"/>
      <c r="AB49" s="434"/>
      <c r="AC49" s="434"/>
      <c r="AD49" s="434"/>
      <c r="AE49" s="434"/>
      <c r="AF49" s="1068"/>
      <c r="AG49" s="1068"/>
      <c r="AH49" s="1068"/>
      <c r="AI49" s="1068"/>
    </row>
    <row r="50" spans="1:37" ht="12" customHeight="1" x14ac:dyDescent="0.25">
      <c r="A50" s="4" t="str">
        <f t="shared" si="0"/>
        <v>01</v>
      </c>
      <c r="B50" s="97" t="s">
        <v>2266</v>
      </c>
      <c r="C50" s="777"/>
      <c r="D50" s="97"/>
      <c r="E50" s="97"/>
      <c r="F50" s="97"/>
      <c r="G50" s="97"/>
      <c r="H50" s="97"/>
      <c r="I50" s="776" t="s">
        <v>2537</v>
      </c>
      <c r="J50" s="778"/>
      <c r="K50" s="678">
        <f>SUMIF('710'!$B$21:$B$61,B50,'710'!$K$21:$K$61)</f>
        <v>0</v>
      </c>
      <c r="L50" s="1045"/>
      <c r="M50" s="1046"/>
      <c r="N50" s="1045"/>
      <c r="O50" s="870"/>
      <c r="P50" s="1045"/>
      <c r="Q50" s="870"/>
      <c r="R50" s="97"/>
      <c r="S50" s="1046"/>
      <c r="U50" s="2252" t="str">
        <f t="shared" si="1"/>
        <v/>
      </c>
      <c r="W50" s="339"/>
      <c r="X50" s="340"/>
      <c r="Y50" s="672"/>
      <c r="Z50" s="672"/>
      <c r="AA50" s="672"/>
      <c r="AB50" s="1071" t="s">
        <v>2508</v>
      </c>
      <c r="AC50" s="1071" t="s">
        <v>2508</v>
      </c>
      <c r="AD50" s="1071" t="s">
        <v>2508</v>
      </c>
      <c r="AE50" s="1071" t="s">
        <v>2508</v>
      </c>
      <c r="AF50" s="1068" t="str">
        <f t="shared" si="3"/>
        <v/>
      </c>
      <c r="AG50" s="1068" t="str">
        <f t="shared" si="4"/>
        <v/>
      </c>
      <c r="AH50" s="1068" t="str">
        <f t="shared" si="5"/>
        <v/>
      </c>
      <c r="AI50" s="1068" t="str">
        <f t="shared" si="6"/>
        <v/>
      </c>
      <c r="AK50" s="1504" t="s">
        <v>2266</v>
      </c>
    </row>
    <row r="51" spans="1:37" ht="12" customHeight="1" x14ac:dyDescent="0.25">
      <c r="A51" s="4" t="str">
        <f t="shared" si="0"/>
        <v>01</v>
      </c>
      <c r="B51" s="97" t="s">
        <v>2268</v>
      </c>
      <c r="C51" s="777"/>
      <c r="D51" s="97"/>
      <c r="E51" s="97"/>
      <c r="F51" s="97"/>
      <c r="G51" s="97"/>
      <c r="H51" s="97"/>
      <c r="I51" s="776" t="s">
        <v>2538</v>
      </c>
      <c r="J51" s="778"/>
      <c r="K51" s="678">
        <f>SUMIF('710'!$B$21:$B$61,B51,'710'!$K$21:$K$61)</f>
        <v>0</v>
      </c>
      <c r="L51" s="1045"/>
      <c r="M51" s="1046"/>
      <c r="N51" s="1045"/>
      <c r="O51" s="870"/>
      <c r="P51" s="1045"/>
      <c r="Q51" s="870"/>
      <c r="R51" s="97"/>
      <c r="S51" s="1046"/>
      <c r="U51" s="2252" t="str">
        <f t="shared" si="1"/>
        <v/>
      </c>
      <c r="W51" s="339"/>
      <c r="X51" s="340"/>
      <c r="Y51" s="672"/>
      <c r="Z51" s="672"/>
      <c r="AA51" s="672"/>
      <c r="AB51" s="1071" t="s">
        <v>2508</v>
      </c>
      <c r="AC51" s="1071" t="s">
        <v>2508</v>
      </c>
      <c r="AD51" s="1071" t="s">
        <v>2508</v>
      </c>
      <c r="AE51" s="1071" t="s">
        <v>2508</v>
      </c>
      <c r="AF51" s="1068" t="str">
        <f t="shared" si="3"/>
        <v/>
      </c>
      <c r="AG51" s="1068" t="str">
        <f t="shared" si="4"/>
        <v/>
      </c>
      <c r="AH51" s="1068" t="str">
        <f t="shared" si="5"/>
        <v/>
      </c>
      <c r="AI51" s="1068" t="str">
        <f t="shared" si="6"/>
        <v/>
      </c>
      <c r="AK51" s="1504" t="s">
        <v>2268</v>
      </c>
    </row>
    <row r="52" spans="1:37" ht="12" customHeight="1" x14ac:dyDescent="0.25">
      <c r="A52" s="4" t="str">
        <f t="shared" si="0"/>
        <v>01</v>
      </c>
      <c r="B52" s="97" t="s">
        <v>2270</v>
      </c>
      <c r="C52" s="777"/>
      <c r="D52" s="97"/>
      <c r="E52" s="97"/>
      <c r="F52" s="97"/>
      <c r="G52" s="97"/>
      <c r="H52" s="97"/>
      <c r="I52" s="776" t="s">
        <v>2539</v>
      </c>
      <c r="J52" s="778"/>
      <c r="K52" s="678">
        <f>SUMIF('710'!$B$21:$B$61,B52,'710'!$K$21:$K$61)</f>
        <v>0</v>
      </c>
      <c r="L52" s="1045"/>
      <c r="M52" s="1046"/>
      <c r="N52" s="1045"/>
      <c r="O52" s="870"/>
      <c r="P52" s="1045"/>
      <c r="Q52" s="870"/>
      <c r="R52" s="97"/>
      <c r="S52" s="1046"/>
      <c r="U52" s="2252" t="str">
        <f t="shared" si="1"/>
        <v/>
      </c>
      <c r="W52" s="339"/>
      <c r="X52" s="340"/>
      <c r="Y52" s="672"/>
      <c r="Z52" s="672"/>
      <c r="AA52" s="672"/>
      <c r="AB52" s="1071" t="s">
        <v>2508</v>
      </c>
      <c r="AC52" s="1071" t="s">
        <v>2508</v>
      </c>
      <c r="AD52" s="1071" t="s">
        <v>2508</v>
      </c>
      <c r="AE52" s="1071" t="s">
        <v>2508</v>
      </c>
      <c r="AF52" s="1068" t="str">
        <f t="shared" si="3"/>
        <v/>
      </c>
      <c r="AG52" s="1068" t="str">
        <f t="shared" si="4"/>
        <v/>
      </c>
      <c r="AH52" s="1068" t="str">
        <f t="shared" si="5"/>
        <v/>
      </c>
      <c r="AI52" s="1068" t="str">
        <f t="shared" si="6"/>
        <v/>
      </c>
      <c r="AK52" s="1504" t="s">
        <v>2270</v>
      </c>
    </row>
    <row r="53" spans="1:37" ht="12" customHeight="1" x14ac:dyDescent="0.25">
      <c r="A53" s="4" t="str">
        <f t="shared" si="0"/>
        <v>01</v>
      </c>
      <c r="B53" s="97" t="s">
        <v>2272</v>
      </c>
      <c r="C53" s="777"/>
      <c r="D53" s="97"/>
      <c r="E53" s="97"/>
      <c r="F53" s="97"/>
      <c r="G53" s="97"/>
      <c r="H53" s="97"/>
      <c r="I53" s="776" t="s">
        <v>2540</v>
      </c>
      <c r="J53" s="778"/>
      <c r="K53" s="678">
        <f>SUMIF('710'!$B$21:$B$61,B53,'710'!$K$21:$K$61)</f>
        <v>0</v>
      </c>
      <c r="L53" s="1045"/>
      <c r="M53" s="1046"/>
      <c r="N53" s="1045"/>
      <c r="O53" s="870"/>
      <c r="P53" s="1045"/>
      <c r="Q53" s="870"/>
      <c r="R53" s="97"/>
      <c r="S53" s="1046"/>
      <c r="U53" s="2252" t="str">
        <f t="shared" si="1"/>
        <v/>
      </c>
      <c r="W53" s="339"/>
      <c r="X53" s="340"/>
      <c r="Y53" s="672"/>
      <c r="Z53" s="672"/>
      <c r="AA53" s="672"/>
      <c r="AB53" s="1071" t="s">
        <v>2508</v>
      </c>
      <c r="AC53" s="1071" t="s">
        <v>2508</v>
      </c>
      <c r="AD53" s="1071" t="s">
        <v>2508</v>
      </c>
      <c r="AE53" s="1071" t="s">
        <v>2508</v>
      </c>
      <c r="AF53" s="1068" t="str">
        <f t="shared" si="3"/>
        <v/>
      </c>
      <c r="AG53" s="1068" t="str">
        <f t="shared" si="4"/>
        <v/>
      </c>
      <c r="AH53" s="1068" t="str">
        <f t="shared" si="5"/>
        <v/>
      </c>
      <c r="AI53" s="1068" t="str">
        <f t="shared" si="6"/>
        <v/>
      </c>
      <c r="AK53" s="1504" t="s">
        <v>2272</v>
      </c>
    </row>
    <row r="54" spans="1:37" ht="12" customHeight="1" x14ac:dyDescent="0.25">
      <c r="A54" s="4" t="str">
        <f t="shared" si="0"/>
        <v>01</v>
      </c>
      <c r="B54" s="97" t="s">
        <v>2274</v>
      </c>
      <c r="C54" s="777"/>
      <c r="D54" s="97"/>
      <c r="E54" s="97"/>
      <c r="F54" s="97"/>
      <c r="G54" s="97"/>
      <c r="H54" s="97"/>
      <c r="I54" s="776" t="s">
        <v>2541</v>
      </c>
      <c r="J54" s="778"/>
      <c r="K54" s="678">
        <f>SUMIF('710'!$B$21:$B$61,B54,'710'!$K$21:$K$61)</f>
        <v>0</v>
      </c>
      <c r="L54" s="1045"/>
      <c r="M54" s="1046"/>
      <c r="N54" s="1045"/>
      <c r="O54" s="870"/>
      <c r="P54" s="1045"/>
      <c r="Q54" s="870"/>
      <c r="R54" s="97"/>
      <c r="S54" s="1046"/>
      <c r="U54" s="2252" t="str">
        <f t="shared" si="1"/>
        <v/>
      </c>
      <c r="W54" s="339"/>
      <c r="X54" s="340"/>
      <c r="Y54" s="672"/>
      <c r="Z54" s="672"/>
      <c r="AA54" s="672"/>
      <c r="AB54" s="1071" t="s">
        <v>2508</v>
      </c>
      <c r="AC54" s="1071" t="s">
        <v>2508</v>
      </c>
      <c r="AD54" s="1071" t="s">
        <v>2508</v>
      </c>
      <c r="AE54" s="1071" t="s">
        <v>2508</v>
      </c>
      <c r="AF54" s="1068" t="str">
        <f t="shared" si="3"/>
        <v/>
      </c>
      <c r="AG54" s="1068" t="str">
        <f t="shared" si="4"/>
        <v/>
      </c>
      <c r="AH54" s="1068" t="str">
        <f t="shared" si="5"/>
        <v/>
      </c>
      <c r="AI54" s="1068" t="str">
        <f t="shared" si="6"/>
        <v/>
      </c>
      <c r="AK54" s="1504" t="s">
        <v>2274</v>
      </c>
    </row>
    <row r="55" spans="1:37" ht="12" customHeight="1" x14ac:dyDescent="0.25">
      <c r="A55" s="4" t="str">
        <f t="shared" si="0"/>
        <v>01</v>
      </c>
      <c r="B55" s="97" t="s">
        <v>1361</v>
      </c>
      <c r="C55" s="2900" t="s">
        <v>2239</v>
      </c>
      <c r="D55" s="2900"/>
      <c r="E55" s="2900"/>
      <c r="F55" s="2900"/>
      <c r="G55" s="2900"/>
      <c r="H55" s="97"/>
      <c r="I55" s="776" t="s">
        <v>2542</v>
      </c>
      <c r="J55" s="778"/>
      <c r="K55" s="342"/>
      <c r="L55" s="1045"/>
      <c r="M55" s="1046"/>
      <c r="N55" s="1045"/>
      <c r="O55" s="870"/>
      <c r="P55" s="1045"/>
      <c r="Q55" s="870"/>
      <c r="R55" s="97"/>
      <c r="S55" s="1046"/>
      <c r="U55" s="2252" t="str">
        <f t="shared" si="1"/>
        <v/>
      </c>
      <c r="W55" s="339"/>
      <c r="X55" s="340"/>
      <c r="Y55" s="672"/>
      <c r="Z55" s="672"/>
      <c r="AA55" s="672"/>
      <c r="AB55" s="1071" t="s">
        <v>2508</v>
      </c>
      <c r="AC55" s="1071" t="s">
        <v>2508</v>
      </c>
      <c r="AD55" s="1071" t="s">
        <v>2508</v>
      </c>
      <c r="AE55" s="1071" t="s">
        <v>2508</v>
      </c>
      <c r="AF55" s="1068" t="str">
        <f t="shared" si="3"/>
        <v/>
      </c>
      <c r="AG55" s="1068" t="str">
        <f t="shared" si="4"/>
        <v/>
      </c>
      <c r="AH55" s="1068" t="str">
        <f t="shared" si="5"/>
        <v/>
      </c>
      <c r="AI55" s="1068" t="str">
        <f t="shared" si="6"/>
        <v/>
      </c>
      <c r="AK55" s="1504" t="str">
        <f t="shared" ref="AK55:AK60" si="9">C55</f>
        <v>Select Other Investment (Click here)</v>
      </c>
    </row>
    <row r="56" spans="1:37" ht="12" customHeight="1" x14ac:dyDescent="0.25">
      <c r="A56" s="4" t="str">
        <f t="shared" si="0"/>
        <v>01</v>
      </c>
      <c r="B56" s="97" t="s">
        <v>1361</v>
      </c>
      <c r="C56" s="2900" t="s">
        <v>2239</v>
      </c>
      <c r="D56" s="2900"/>
      <c r="E56" s="2900"/>
      <c r="F56" s="2900"/>
      <c r="G56" s="2900"/>
      <c r="H56" s="97"/>
      <c r="I56" s="776" t="s">
        <v>2543</v>
      </c>
      <c r="J56" s="778"/>
      <c r="K56" s="342"/>
      <c r="L56" s="1045"/>
      <c r="M56" s="1046"/>
      <c r="N56" s="1045"/>
      <c r="O56" s="870"/>
      <c r="P56" s="1045"/>
      <c r="Q56" s="870"/>
      <c r="R56" s="97"/>
      <c r="S56" s="1046"/>
      <c r="U56" s="2252" t="str">
        <f>CONCATENATE(AF56,AG56,AH56,AI56)</f>
        <v/>
      </c>
      <c r="W56" s="339"/>
      <c r="X56" s="340"/>
      <c r="Y56" s="672"/>
      <c r="Z56" s="672"/>
      <c r="AA56" s="672"/>
      <c r="AB56" s="1071" t="s">
        <v>2508</v>
      </c>
      <c r="AC56" s="1071" t="s">
        <v>2508</v>
      </c>
      <c r="AD56" s="1071" t="s">
        <v>2508</v>
      </c>
      <c r="AE56" s="1071" t="s">
        <v>2508</v>
      </c>
      <c r="AF56" s="1068" t="str">
        <f>IF(AB56="—","",RIGHT(AB56,7))</f>
        <v/>
      </c>
      <c r="AG56" s="1068" t="str">
        <f>IF(AC56="—","",RIGHT(AC56,7))</f>
        <v/>
      </c>
      <c r="AH56" s="1068" t="str">
        <f>IF(AD56="—","",RIGHT(AD56,7))</f>
        <v/>
      </c>
      <c r="AI56" s="1068" t="str">
        <f>IF(AE56="—","",RIGHT(AE56,7))</f>
        <v/>
      </c>
      <c r="AK56" s="1504" t="str">
        <f t="shared" si="9"/>
        <v>Select Other Investment (Click here)</v>
      </c>
    </row>
    <row r="57" spans="1:37" ht="12" customHeight="1" x14ac:dyDescent="0.25">
      <c r="B57" s="97" t="s">
        <v>1361</v>
      </c>
      <c r="C57" s="2900" t="s">
        <v>2239</v>
      </c>
      <c r="D57" s="2900"/>
      <c r="E57" s="2900"/>
      <c r="F57" s="2900"/>
      <c r="G57" s="2900"/>
      <c r="H57" s="97"/>
      <c r="I57" s="776" t="s">
        <v>2544</v>
      </c>
      <c r="J57" s="778"/>
      <c r="K57" s="342"/>
      <c r="L57" s="1045"/>
      <c r="M57" s="1046"/>
      <c r="N57" s="1045"/>
      <c r="O57" s="870"/>
      <c r="P57" s="1045"/>
      <c r="Q57" s="870"/>
      <c r="R57" s="97"/>
      <c r="S57" s="1046"/>
      <c r="U57" s="2252"/>
      <c r="W57" s="339"/>
      <c r="X57" s="340"/>
      <c r="Y57" s="672"/>
      <c r="Z57" s="672"/>
      <c r="AA57" s="672"/>
      <c r="AB57" s="1071" t="s">
        <v>2508</v>
      </c>
      <c r="AC57" s="1071" t="s">
        <v>2508</v>
      </c>
      <c r="AD57" s="1071" t="s">
        <v>2508</v>
      </c>
      <c r="AE57" s="1071" t="s">
        <v>2508</v>
      </c>
      <c r="AF57" s="1068"/>
      <c r="AG57" s="1068"/>
      <c r="AH57" s="1068"/>
      <c r="AI57" s="1068"/>
      <c r="AK57" s="1504" t="str">
        <f t="shared" si="9"/>
        <v>Select Other Investment (Click here)</v>
      </c>
    </row>
    <row r="58" spans="1:37" ht="12" customHeight="1" x14ac:dyDescent="0.25">
      <c r="B58" s="97" t="s">
        <v>1361</v>
      </c>
      <c r="C58" s="2900" t="s">
        <v>2239</v>
      </c>
      <c r="D58" s="2900"/>
      <c r="E58" s="2900"/>
      <c r="F58" s="2900"/>
      <c r="G58" s="2900"/>
      <c r="H58" s="97"/>
      <c r="I58" s="776" t="s">
        <v>2545</v>
      </c>
      <c r="J58" s="778"/>
      <c r="K58" s="342"/>
      <c r="L58" s="1045"/>
      <c r="M58" s="1046"/>
      <c r="N58" s="1045"/>
      <c r="O58" s="870"/>
      <c r="P58" s="1045"/>
      <c r="Q58" s="870"/>
      <c r="R58" s="97"/>
      <c r="S58" s="1046"/>
      <c r="U58" s="2252"/>
      <c r="W58" s="339"/>
      <c r="X58" s="340"/>
      <c r="Y58" s="672"/>
      <c r="Z58" s="672"/>
      <c r="AA58" s="672"/>
      <c r="AB58" s="1071" t="s">
        <v>2508</v>
      </c>
      <c r="AC58" s="1071" t="s">
        <v>2508</v>
      </c>
      <c r="AD58" s="1071" t="s">
        <v>2508</v>
      </c>
      <c r="AE58" s="1071" t="s">
        <v>2508</v>
      </c>
      <c r="AF58" s="1068"/>
      <c r="AG58" s="1068"/>
      <c r="AH58" s="1068"/>
      <c r="AI58" s="1068"/>
      <c r="AK58" s="1504" t="str">
        <f t="shared" si="9"/>
        <v>Select Other Investment (Click here)</v>
      </c>
    </row>
    <row r="59" spans="1:37" ht="12" customHeight="1" x14ac:dyDescent="0.25">
      <c r="B59" s="97" t="s">
        <v>1361</v>
      </c>
      <c r="C59" s="2900" t="s">
        <v>2239</v>
      </c>
      <c r="D59" s="2900"/>
      <c r="E59" s="2900"/>
      <c r="F59" s="2900"/>
      <c r="G59" s="2900"/>
      <c r="H59" s="97"/>
      <c r="I59" s="776" t="s">
        <v>2546</v>
      </c>
      <c r="J59" s="778"/>
      <c r="K59" s="342"/>
      <c r="L59" s="1045"/>
      <c r="M59" s="1046"/>
      <c r="N59" s="1045"/>
      <c r="O59" s="870"/>
      <c r="P59" s="1045"/>
      <c r="Q59" s="870"/>
      <c r="R59" s="97"/>
      <c r="S59" s="1046"/>
      <c r="U59" s="2252"/>
      <c r="W59" s="339"/>
      <c r="X59" s="340"/>
      <c r="Y59" s="672"/>
      <c r="Z59" s="672"/>
      <c r="AA59" s="672"/>
      <c r="AB59" s="1071" t="s">
        <v>2508</v>
      </c>
      <c r="AC59" s="1071" t="s">
        <v>2508</v>
      </c>
      <c r="AD59" s="1071" t="s">
        <v>2508</v>
      </c>
      <c r="AE59" s="1071" t="s">
        <v>2508</v>
      </c>
      <c r="AF59" s="1068"/>
      <c r="AG59" s="1068"/>
      <c r="AH59" s="1068"/>
      <c r="AI59" s="1068"/>
      <c r="AK59" s="1504" t="str">
        <f t="shared" si="9"/>
        <v>Select Other Investment (Click here)</v>
      </c>
    </row>
    <row r="60" spans="1:37" ht="12" customHeight="1" x14ac:dyDescent="0.25">
      <c r="A60" s="4" t="str">
        <f t="shared" si="0"/>
        <v>01</v>
      </c>
      <c r="B60" s="97" t="s">
        <v>1361</v>
      </c>
      <c r="C60" s="2900" t="s">
        <v>2239</v>
      </c>
      <c r="D60" s="2900"/>
      <c r="E60" s="2900"/>
      <c r="F60" s="2900"/>
      <c r="G60" s="2900"/>
      <c r="H60" s="97"/>
      <c r="I60" s="776" t="s">
        <v>2547</v>
      </c>
      <c r="J60" s="778"/>
      <c r="K60" s="342"/>
      <c r="L60" s="1045"/>
      <c r="M60" s="1046"/>
      <c r="N60" s="1045"/>
      <c r="O60" s="870"/>
      <c r="P60" s="1045"/>
      <c r="Q60" s="870"/>
      <c r="R60" s="97"/>
      <c r="S60" s="1046"/>
      <c r="U60" s="2262" t="str">
        <f t="shared" si="1"/>
        <v/>
      </c>
      <c r="W60" s="339"/>
      <c r="X60" s="340"/>
      <c r="Y60" s="672"/>
      <c r="Z60" s="672"/>
      <c r="AA60" s="672"/>
      <c r="AB60" s="1071" t="s">
        <v>2508</v>
      </c>
      <c r="AC60" s="1071" t="s">
        <v>2508</v>
      </c>
      <c r="AD60" s="1071" t="s">
        <v>2508</v>
      </c>
      <c r="AE60" s="1071" t="s">
        <v>2508</v>
      </c>
      <c r="AF60" s="1068" t="str">
        <f t="shared" si="3"/>
        <v/>
      </c>
      <c r="AG60" s="1068" t="str">
        <f t="shared" si="4"/>
        <v/>
      </c>
      <c r="AH60" s="1068" t="str">
        <f t="shared" si="5"/>
        <v/>
      </c>
      <c r="AI60" s="1068" t="str">
        <f t="shared" si="6"/>
        <v/>
      </c>
      <c r="AK60" s="1504" t="str">
        <f t="shared" si="9"/>
        <v>Select Other Investment (Click here)</v>
      </c>
    </row>
    <row r="61" spans="1:37" ht="4.5" customHeight="1" x14ac:dyDescent="0.25">
      <c r="A61" s="4" t="str">
        <f t="shared" si="0"/>
        <v>01</v>
      </c>
      <c r="B61" s="97"/>
      <c r="C61" s="97"/>
      <c r="D61" s="97"/>
      <c r="E61" s="97"/>
      <c r="F61" s="97"/>
      <c r="G61" s="97"/>
      <c r="H61" s="97"/>
      <c r="I61" s="776"/>
      <c r="J61" s="1041"/>
      <c r="K61" s="1047"/>
      <c r="L61" s="671"/>
      <c r="M61" s="1047"/>
      <c r="N61" s="671"/>
      <c r="O61" s="671"/>
      <c r="P61" s="97"/>
      <c r="Q61" s="97"/>
      <c r="R61" s="97"/>
      <c r="S61" s="97"/>
      <c r="T61" s="97"/>
      <c r="U61"/>
      <c r="Y61" s="672"/>
      <c r="AB61" s="434"/>
      <c r="AC61" s="434"/>
      <c r="AD61" s="434"/>
      <c r="AE61" s="434"/>
      <c r="AF61" s="1068"/>
      <c r="AG61" s="1068"/>
      <c r="AH61" s="1068"/>
      <c r="AI61" s="1068"/>
    </row>
    <row r="62" spans="1:37" ht="12" customHeight="1" x14ac:dyDescent="0.25">
      <c r="B62" s="177" t="s">
        <v>2548</v>
      </c>
      <c r="C62" s="97"/>
      <c r="D62" s="97"/>
      <c r="E62" s="97"/>
      <c r="F62" s="97"/>
      <c r="G62" s="97"/>
      <c r="H62" s="97"/>
      <c r="I62" s="776"/>
      <c r="J62" s="1041"/>
      <c r="K62" s="1045"/>
      <c r="L62" s="671"/>
      <c r="M62" s="1047"/>
      <c r="N62" s="671"/>
      <c r="O62" s="671"/>
      <c r="P62" s="97"/>
      <c r="Q62" s="97"/>
      <c r="R62" s="97"/>
      <c r="S62" s="97"/>
      <c r="T62" s="97"/>
      <c r="U62" s="97"/>
      <c r="X62" s="340"/>
      <c r="Y62" s="672"/>
      <c r="AB62" s="434"/>
      <c r="AC62" s="434"/>
      <c r="AD62" s="434"/>
      <c r="AE62" s="434"/>
      <c r="AF62" s="1068"/>
      <c r="AG62" s="1068"/>
      <c r="AH62" s="1068"/>
      <c r="AI62" s="1068"/>
    </row>
    <row r="63" spans="1:37" ht="12" customHeight="1" x14ac:dyDescent="0.25">
      <c r="A63" s="4" t="str">
        <f>AgyIdx</f>
        <v>01</v>
      </c>
      <c r="B63" s="97" t="s">
        <v>2250</v>
      </c>
      <c r="C63" s="777"/>
      <c r="D63" s="97"/>
      <c r="E63" s="97"/>
      <c r="F63" s="97"/>
      <c r="G63" s="97"/>
      <c r="H63" s="97"/>
      <c r="I63" s="776" t="s">
        <v>2549</v>
      </c>
      <c r="J63" s="778"/>
      <c r="K63" s="678">
        <f>SUMIF('710'!$B$21:$B$61,B63,'710'!$K$21:$K$61)</f>
        <v>0</v>
      </c>
      <c r="L63" s="1045"/>
      <c r="M63" s="1046"/>
      <c r="N63" s="1045"/>
      <c r="O63" s="1046"/>
      <c r="P63" s="1045"/>
      <c r="Q63" s="1046"/>
      <c r="R63" s="97"/>
      <c r="S63" s="1046"/>
      <c r="U63" s="1046"/>
      <c r="W63" s="339"/>
      <c r="X63" s="340" t="b">
        <f>+K63=SUM(M63,O63,Q63,S63)</f>
        <v>1</v>
      </c>
      <c r="Y63" s="672">
        <f>SUMIF(M63:Q63,"&gt;0")</f>
        <v>0</v>
      </c>
      <c r="Z63" s="672"/>
      <c r="AA63" s="672"/>
      <c r="AB63" s="672"/>
      <c r="AC63" s="1071"/>
      <c r="AD63" s="1071"/>
      <c r="AE63" s="1071"/>
      <c r="AF63" s="1068"/>
      <c r="AG63" s="1068" t="str">
        <f>IF(AC63="—","",RIGHT(AC63,7))</f>
        <v/>
      </c>
      <c r="AH63" s="1068" t="str">
        <f>IF(AD63="—","",RIGHT(AD63,7))</f>
        <v/>
      </c>
      <c r="AI63" s="1068" t="str">
        <f>IF(AE63="—","",RIGHT(AE63,7))</f>
        <v/>
      </c>
      <c r="AK63" s="1504" t="s">
        <v>2250</v>
      </c>
    </row>
    <row r="64" spans="1:37" ht="4.5" customHeight="1" x14ac:dyDescent="0.25">
      <c r="B64" s="97"/>
      <c r="C64" s="97"/>
      <c r="D64" s="97"/>
      <c r="E64" s="97"/>
      <c r="F64" s="97"/>
      <c r="G64" s="97"/>
      <c r="H64" s="97"/>
      <c r="I64" s="776"/>
      <c r="J64" s="1041"/>
      <c r="K64" s="1047"/>
      <c r="L64" s="671"/>
      <c r="M64" s="1047"/>
      <c r="N64" s="671"/>
      <c r="O64" s="671"/>
      <c r="P64" s="97"/>
      <c r="Q64" s="97"/>
      <c r="R64" s="97"/>
      <c r="S64" s="97"/>
      <c r="T64" s="97"/>
      <c r="U64"/>
      <c r="Y64" s="672"/>
      <c r="AB64" s="434"/>
      <c r="AC64" s="434"/>
      <c r="AD64" s="434"/>
      <c r="AE64" s="434"/>
      <c r="AF64" s="1068"/>
      <c r="AG64" s="1068"/>
      <c r="AH64" s="1068"/>
      <c r="AI64" s="1068"/>
    </row>
    <row r="65" spans="1:37" ht="12.6" customHeight="1" x14ac:dyDescent="0.25">
      <c r="B65" s="177" t="s">
        <v>2550</v>
      </c>
      <c r="C65" s="97"/>
      <c r="D65" s="97"/>
      <c r="E65" s="97"/>
      <c r="F65" s="97"/>
      <c r="G65" s="97"/>
      <c r="H65" s="97"/>
      <c r="I65" s="776"/>
      <c r="J65" s="1041"/>
      <c r="K65" s="1045"/>
      <c r="L65" s="671"/>
      <c r="M65" s="1047"/>
      <c r="N65" s="671"/>
      <c r="O65" s="671"/>
      <c r="P65" s="97"/>
      <c r="Q65" s="97"/>
      <c r="R65" s="97"/>
      <c r="S65" s="97"/>
      <c r="T65" s="97"/>
      <c r="U65"/>
      <c r="Y65" s="672"/>
      <c r="AB65" s="434"/>
      <c r="AC65" s="434"/>
      <c r="AD65" s="434"/>
      <c r="AE65" s="434"/>
      <c r="AF65" s="1068"/>
      <c r="AG65" s="1068"/>
      <c r="AH65" s="1068"/>
      <c r="AI65" s="1068"/>
    </row>
    <row r="66" spans="1:37" ht="12.6" customHeight="1" x14ac:dyDescent="0.25">
      <c r="A66" s="4" t="str">
        <f t="shared" si="0"/>
        <v>01</v>
      </c>
      <c r="B66" s="97" t="s">
        <v>1370</v>
      </c>
      <c r="C66" s="97"/>
      <c r="D66" s="97"/>
      <c r="E66" s="97"/>
      <c r="F66" s="97"/>
      <c r="G66" s="97"/>
      <c r="H66" s="97"/>
      <c r="I66" s="776"/>
      <c r="J66" s="1041"/>
      <c r="K66" s="678">
        <f>'340'!I13</f>
        <v>0</v>
      </c>
      <c r="L66" s="1045"/>
      <c r="M66" s="870"/>
      <c r="N66" s="1045"/>
      <c r="O66" s="870"/>
      <c r="P66" s="1045"/>
      <c r="Q66" s="870"/>
      <c r="R66" s="1043"/>
      <c r="S66" s="1046"/>
      <c r="T66" s="1047"/>
      <c r="U66" s="2252" t="str">
        <f t="shared" si="1"/>
        <v/>
      </c>
      <c r="W66" s="339" t="str">
        <f t="shared" ref="W66:W73" si="10">IF(X66=FALSE,"*","")</f>
        <v/>
      </c>
      <c r="X66" s="340" t="b">
        <f>+K66=SUM(M66,O66,Q66,S66)</f>
        <v>1</v>
      </c>
      <c r="Y66" s="672">
        <f t="shared" ref="Y66:Y74" si="11">K66-SUM(M66,O66,Q66, S66)</f>
        <v>0</v>
      </c>
      <c r="AB66" s="1071" t="s">
        <v>2508</v>
      </c>
      <c r="AC66" s="1071" t="s">
        <v>2508</v>
      </c>
      <c r="AD66" s="1071" t="s">
        <v>2508</v>
      </c>
      <c r="AE66" s="1071" t="s">
        <v>2508</v>
      </c>
      <c r="AF66" s="1068" t="str">
        <f t="shared" si="3"/>
        <v/>
      </c>
      <c r="AG66" s="1068" t="str">
        <f t="shared" si="4"/>
        <v/>
      </c>
      <c r="AH66" s="1068" t="str">
        <f t="shared" si="5"/>
        <v/>
      </c>
      <c r="AI66" s="1068" t="str">
        <f t="shared" si="6"/>
        <v/>
      </c>
      <c r="AK66" s="1504" t="s">
        <v>1349</v>
      </c>
    </row>
    <row r="67" spans="1:37" ht="12.6" customHeight="1" x14ac:dyDescent="0.25">
      <c r="A67" s="4" t="str">
        <f t="shared" si="0"/>
        <v>01</v>
      </c>
      <c r="B67" s="97" t="s">
        <v>1351</v>
      </c>
      <c r="C67" s="97"/>
      <c r="D67" s="97"/>
      <c r="E67" s="97"/>
      <c r="F67" s="97"/>
      <c r="G67" s="97"/>
      <c r="H67" s="97"/>
      <c r="I67" s="776"/>
      <c r="J67" s="1041"/>
      <c r="K67" s="678">
        <f>'340'!I14</f>
        <v>0</v>
      </c>
      <c r="L67" s="1045"/>
      <c r="M67" s="870"/>
      <c r="N67" s="1045"/>
      <c r="O67" s="870"/>
      <c r="P67" s="1045"/>
      <c r="Q67" s="870"/>
      <c r="R67" s="1043"/>
      <c r="S67" s="1046"/>
      <c r="T67" s="1047"/>
      <c r="U67" s="2252" t="str">
        <f t="shared" si="1"/>
        <v/>
      </c>
      <c r="W67" s="339" t="str">
        <f t="shared" si="10"/>
        <v/>
      </c>
      <c r="X67" s="340" t="b">
        <f t="shared" ref="X67:X74" si="12">+K67=SUM(M67,O67,Q67,S67)</f>
        <v>1</v>
      </c>
      <c r="Y67" s="672">
        <f t="shared" si="11"/>
        <v>0</v>
      </c>
      <c r="AB67" s="1071" t="s">
        <v>2508</v>
      </c>
      <c r="AC67" s="1071" t="s">
        <v>2508</v>
      </c>
      <c r="AD67" s="1071" t="s">
        <v>2508</v>
      </c>
      <c r="AE67" s="1071" t="s">
        <v>2508</v>
      </c>
      <c r="AF67" s="1068" t="str">
        <f t="shared" si="3"/>
        <v/>
      </c>
      <c r="AG67" s="1068" t="str">
        <f t="shared" si="4"/>
        <v/>
      </c>
      <c r="AH67" s="1068" t="str">
        <f t="shared" si="5"/>
        <v/>
      </c>
      <c r="AI67" s="1068" t="str">
        <f t="shared" si="6"/>
        <v/>
      </c>
      <c r="AK67" s="1504" t="s">
        <v>1351</v>
      </c>
    </row>
    <row r="68" spans="1:37" ht="12.6" customHeight="1" x14ac:dyDescent="0.25">
      <c r="A68" s="4" t="str">
        <f t="shared" si="0"/>
        <v>01</v>
      </c>
      <c r="B68" s="97" t="s">
        <v>1353</v>
      </c>
      <c r="C68" s="97"/>
      <c r="D68" s="97"/>
      <c r="E68" s="97"/>
      <c r="F68" s="97"/>
      <c r="G68" s="97"/>
      <c r="H68" s="97"/>
      <c r="I68" s="776"/>
      <c r="J68" s="1041"/>
      <c r="K68" s="678">
        <f>'340'!I15</f>
        <v>0</v>
      </c>
      <c r="L68" s="1045"/>
      <c r="M68" s="870"/>
      <c r="N68" s="1045"/>
      <c r="O68" s="870"/>
      <c r="P68" s="1045"/>
      <c r="Q68" s="870"/>
      <c r="R68" s="1043"/>
      <c r="S68" s="1046"/>
      <c r="T68" s="1047"/>
      <c r="U68" s="2252" t="str">
        <f t="shared" si="1"/>
        <v/>
      </c>
      <c r="W68" s="339" t="str">
        <f t="shared" si="10"/>
        <v/>
      </c>
      <c r="X68" s="340" t="b">
        <f t="shared" si="12"/>
        <v>1</v>
      </c>
      <c r="Y68" s="672">
        <f t="shared" si="11"/>
        <v>0</v>
      </c>
      <c r="AB68" s="1071" t="s">
        <v>2508</v>
      </c>
      <c r="AC68" s="1071" t="s">
        <v>2508</v>
      </c>
      <c r="AD68" s="1071" t="s">
        <v>2508</v>
      </c>
      <c r="AE68" s="1071" t="s">
        <v>2508</v>
      </c>
      <c r="AF68" s="1068" t="str">
        <f t="shared" si="3"/>
        <v/>
      </c>
      <c r="AG68" s="1068" t="str">
        <f t="shared" si="4"/>
        <v/>
      </c>
      <c r="AH68" s="1068" t="str">
        <f t="shared" si="5"/>
        <v/>
      </c>
      <c r="AI68" s="1068" t="str">
        <f t="shared" si="6"/>
        <v/>
      </c>
      <c r="AK68" s="1504" t="s">
        <v>1353</v>
      </c>
    </row>
    <row r="69" spans="1:37" ht="12.6" customHeight="1" x14ac:dyDescent="0.25">
      <c r="A69" s="4" t="str">
        <f t="shared" si="0"/>
        <v>01</v>
      </c>
      <c r="B69" s="97" t="s">
        <v>1355</v>
      </c>
      <c r="C69" s="97"/>
      <c r="D69" s="97"/>
      <c r="E69" s="97"/>
      <c r="F69" s="97"/>
      <c r="G69" s="97"/>
      <c r="H69" s="97"/>
      <c r="I69" s="776"/>
      <c r="J69" s="1041"/>
      <c r="K69" s="678">
        <f>'340'!I16</f>
        <v>0</v>
      </c>
      <c r="L69" s="1045"/>
      <c r="M69" s="870"/>
      <c r="N69" s="1045"/>
      <c r="O69" s="870"/>
      <c r="P69" s="1045"/>
      <c r="Q69" s="870"/>
      <c r="R69" s="1043"/>
      <c r="S69" s="1046"/>
      <c r="T69" s="1047"/>
      <c r="U69" s="2252" t="str">
        <f t="shared" si="1"/>
        <v/>
      </c>
      <c r="W69" s="339" t="str">
        <f t="shared" si="10"/>
        <v/>
      </c>
      <c r="X69" s="340" t="b">
        <f t="shared" si="12"/>
        <v>1</v>
      </c>
      <c r="Y69" s="672">
        <f t="shared" si="11"/>
        <v>0</v>
      </c>
      <c r="AB69" s="1071" t="s">
        <v>2508</v>
      </c>
      <c r="AC69" s="1071" t="s">
        <v>2508</v>
      </c>
      <c r="AD69" s="1071" t="s">
        <v>2508</v>
      </c>
      <c r="AE69" s="1071" t="s">
        <v>2508</v>
      </c>
      <c r="AF69" s="1068" t="str">
        <f t="shared" si="3"/>
        <v/>
      </c>
      <c r="AG69" s="1068" t="str">
        <f t="shared" si="4"/>
        <v/>
      </c>
      <c r="AH69" s="1068" t="str">
        <f t="shared" si="5"/>
        <v/>
      </c>
      <c r="AI69" s="1068" t="str">
        <f t="shared" si="6"/>
        <v/>
      </c>
      <c r="AK69" s="1504" t="s">
        <v>1355</v>
      </c>
    </row>
    <row r="70" spans="1:37" ht="12.6" customHeight="1" x14ac:dyDescent="0.25">
      <c r="A70" s="4" t="str">
        <f t="shared" si="0"/>
        <v>01</v>
      </c>
      <c r="B70" s="97" t="s">
        <v>1357</v>
      </c>
      <c r="C70" s="97"/>
      <c r="D70" s="97"/>
      <c r="E70" s="97"/>
      <c r="F70" s="97"/>
      <c r="G70" s="97"/>
      <c r="H70" s="97"/>
      <c r="I70" s="776"/>
      <c r="J70" s="1041"/>
      <c r="K70" s="678">
        <f>'340'!I17</f>
        <v>0</v>
      </c>
      <c r="L70" s="1045"/>
      <c r="M70" s="870"/>
      <c r="N70" s="1045"/>
      <c r="O70" s="870"/>
      <c r="P70" s="1045"/>
      <c r="Q70" s="870"/>
      <c r="R70" s="1043"/>
      <c r="S70" s="1046"/>
      <c r="T70" s="1047"/>
      <c r="U70" s="2252" t="str">
        <f t="shared" si="1"/>
        <v/>
      </c>
      <c r="W70" s="339" t="str">
        <f t="shared" si="10"/>
        <v/>
      </c>
      <c r="X70" s="340" t="b">
        <f t="shared" si="12"/>
        <v>1</v>
      </c>
      <c r="Y70" s="672">
        <f t="shared" si="11"/>
        <v>0</v>
      </c>
      <c r="AB70" s="1071" t="s">
        <v>2508</v>
      </c>
      <c r="AC70" s="1071" t="s">
        <v>2508</v>
      </c>
      <c r="AD70" s="1071" t="s">
        <v>2508</v>
      </c>
      <c r="AE70" s="1071" t="s">
        <v>2508</v>
      </c>
      <c r="AF70" s="1068" t="str">
        <f t="shared" si="3"/>
        <v/>
      </c>
      <c r="AG70" s="1068" t="str">
        <f t="shared" si="4"/>
        <v/>
      </c>
      <c r="AH70" s="1068" t="str">
        <f t="shared" si="5"/>
        <v/>
      </c>
      <c r="AI70" s="1068" t="str">
        <f t="shared" si="6"/>
        <v/>
      </c>
      <c r="AK70" s="1504" t="s">
        <v>1357</v>
      </c>
    </row>
    <row r="71" spans="1:37" ht="12.6" customHeight="1" x14ac:dyDescent="0.25">
      <c r="A71" s="4" t="str">
        <f t="shared" si="0"/>
        <v>01</v>
      </c>
      <c r="B71" s="97" t="s">
        <v>1359</v>
      </c>
      <c r="C71" s="97"/>
      <c r="D71" s="97"/>
      <c r="E71" s="97"/>
      <c r="F71" s="97"/>
      <c r="G71" s="97"/>
      <c r="H71" s="97"/>
      <c r="I71" s="776"/>
      <c r="J71" s="1041"/>
      <c r="K71" s="678">
        <f>'340'!I18</f>
        <v>0</v>
      </c>
      <c r="L71" s="1045"/>
      <c r="M71" s="870"/>
      <c r="N71" s="1045"/>
      <c r="O71" s="870"/>
      <c r="P71" s="1045"/>
      <c r="Q71" s="870"/>
      <c r="R71" s="1043"/>
      <c r="S71" s="1046"/>
      <c r="T71" s="1047"/>
      <c r="U71" s="2252" t="str">
        <f t="shared" si="1"/>
        <v/>
      </c>
      <c r="W71" s="339" t="str">
        <f t="shared" si="10"/>
        <v/>
      </c>
      <c r="X71" s="340" t="b">
        <f t="shared" si="12"/>
        <v>1</v>
      </c>
      <c r="Y71" s="672">
        <f t="shared" si="11"/>
        <v>0</v>
      </c>
      <c r="AB71" s="1071" t="s">
        <v>2508</v>
      </c>
      <c r="AC71" s="1071" t="s">
        <v>2508</v>
      </c>
      <c r="AD71" s="1071" t="s">
        <v>2508</v>
      </c>
      <c r="AE71" s="1071" t="s">
        <v>2508</v>
      </c>
      <c r="AF71" s="1068" t="str">
        <f t="shared" si="3"/>
        <v/>
      </c>
      <c r="AG71" s="1068" t="str">
        <f t="shared" si="4"/>
        <v/>
      </c>
      <c r="AH71" s="1068" t="str">
        <f t="shared" si="5"/>
        <v/>
      </c>
      <c r="AI71" s="1068" t="str">
        <f t="shared" si="6"/>
        <v/>
      </c>
      <c r="AK71" s="1504" t="s">
        <v>1359</v>
      </c>
    </row>
    <row r="72" spans="1:37" ht="12.6" customHeight="1" x14ac:dyDescent="0.25">
      <c r="B72" s="97" t="s">
        <v>1360</v>
      </c>
      <c r="C72" s="97"/>
      <c r="D72" s="97"/>
      <c r="E72" s="97"/>
      <c r="F72" s="97"/>
      <c r="G72" s="97"/>
      <c r="H72" s="97"/>
      <c r="I72" s="776"/>
      <c r="J72" s="1041"/>
      <c r="K72" s="678">
        <f>'340'!I19</f>
        <v>0</v>
      </c>
      <c r="L72" s="1045"/>
      <c r="M72" s="870"/>
      <c r="N72" s="1045"/>
      <c r="O72" s="870"/>
      <c r="P72" s="1045"/>
      <c r="Q72" s="870"/>
      <c r="R72" s="1043"/>
      <c r="S72" s="1046"/>
      <c r="T72" s="1047"/>
      <c r="U72" s="2252" t="str">
        <f t="shared" si="1"/>
        <v/>
      </c>
      <c r="W72" s="339" t="str">
        <f>IF(X72=FALSE,"*","")</f>
        <v/>
      </c>
      <c r="X72" s="340" t="b">
        <f>+K72=SUM(M72,O72,Q72,S72)</f>
        <v>1</v>
      </c>
      <c r="Y72" s="672">
        <f>K72-SUM(M72,O72,Q72, S72)</f>
        <v>0</v>
      </c>
      <c r="AB72" s="1071" t="s">
        <v>2508</v>
      </c>
      <c r="AC72" s="1071" t="s">
        <v>2508</v>
      </c>
      <c r="AD72" s="1071" t="s">
        <v>2508</v>
      </c>
      <c r="AE72" s="1071" t="s">
        <v>2508</v>
      </c>
      <c r="AF72" s="1068" t="str">
        <f t="shared" si="3"/>
        <v/>
      </c>
      <c r="AG72" s="1068" t="str">
        <f t="shared" si="4"/>
        <v/>
      </c>
      <c r="AH72" s="1068" t="str">
        <f t="shared" si="5"/>
        <v/>
      </c>
      <c r="AI72" s="1068" t="str">
        <f t="shared" si="6"/>
        <v/>
      </c>
      <c r="AK72" s="1504" t="s">
        <v>1360</v>
      </c>
    </row>
    <row r="73" spans="1:37" ht="12.6" customHeight="1" x14ac:dyDescent="0.25">
      <c r="A73" s="4" t="str">
        <f t="shared" si="0"/>
        <v>01</v>
      </c>
      <c r="B73" s="97" t="s">
        <v>1361</v>
      </c>
      <c r="C73" s="2900"/>
      <c r="D73" s="2900"/>
      <c r="E73" s="2900"/>
      <c r="F73" s="2900"/>
      <c r="G73" s="2900"/>
      <c r="H73" s="97"/>
      <c r="I73" s="776"/>
      <c r="J73" s="1041"/>
      <c r="K73" s="678">
        <f>'340'!I20</f>
        <v>0</v>
      </c>
      <c r="L73" s="1045"/>
      <c r="M73" s="870"/>
      <c r="N73" s="1045"/>
      <c r="O73" s="870"/>
      <c r="P73" s="1045"/>
      <c r="Q73" s="870"/>
      <c r="R73" s="1043"/>
      <c r="S73" s="1046"/>
      <c r="T73" s="1047"/>
      <c r="U73" s="2252" t="str">
        <f t="shared" si="1"/>
        <v/>
      </c>
      <c r="W73" s="339" t="str">
        <f t="shared" si="10"/>
        <v/>
      </c>
      <c r="X73" s="340" t="b">
        <f t="shared" si="12"/>
        <v>1</v>
      </c>
      <c r="Y73" s="672">
        <f t="shared" si="11"/>
        <v>0</v>
      </c>
      <c r="AB73" s="1071" t="s">
        <v>2508</v>
      </c>
      <c r="AC73" s="1071" t="s">
        <v>2508</v>
      </c>
      <c r="AD73" s="1071" t="s">
        <v>2508</v>
      </c>
      <c r="AE73" s="1071" t="s">
        <v>2508</v>
      </c>
      <c r="AF73" s="1068" t="str">
        <f t="shared" si="3"/>
        <v/>
      </c>
      <c r="AG73" s="1068" t="str">
        <f t="shared" si="4"/>
        <v/>
      </c>
      <c r="AH73" s="1068" t="str">
        <f t="shared" si="5"/>
        <v/>
      </c>
      <c r="AI73" s="1068" t="str">
        <f t="shared" si="6"/>
        <v/>
      </c>
      <c r="AK73" s="1504" t="s">
        <v>2551</v>
      </c>
    </row>
    <row r="74" spans="1:37" ht="12" customHeight="1" x14ac:dyDescent="0.25">
      <c r="B74" s="97" t="s">
        <v>1361</v>
      </c>
      <c r="C74" s="2932"/>
      <c r="D74" s="2932"/>
      <c r="E74" s="2932"/>
      <c r="F74" s="2932"/>
      <c r="G74" s="2932"/>
      <c r="H74" s="97"/>
      <c r="I74" s="776"/>
      <c r="J74" s="1041"/>
      <c r="K74" s="678">
        <f>'340'!I21</f>
        <v>0</v>
      </c>
      <c r="L74" s="1045"/>
      <c r="M74" s="870"/>
      <c r="N74" s="1045"/>
      <c r="O74" s="870"/>
      <c r="P74" s="1045"/>
      <c r="Q74" s="870"/>
      <c r="R74" s="1043"/>
      <c r="S74" s="1057"/>
      <c r="T74" s="1047"/>
      <c r="U74" s="2262" t="str">
        <f t="shared" si="1"/>
        <v/>
      </c>
      <c r="W74" s="339"/>
      <c r="X74" s="340" t="b">
        <f t="shared" si="12"/>
        <v>1</v>
      </c>
      <c r="Y74" s="672">
        <f t="shared" si="11"/>
        <v>0</v>
      </c>
      <c r="AB74" s="1071" t="s">
        <v>2508</v>
      </c>
      <c r="AC74" s="1071" t="s">
        <v>2508</v>
      </c>
      <c r="AD74" s="1071" t="s">
        <v>2508</v>
      </c>
      <c r="AE74" s="1071" t="s">
        <v>2508</v>
      </c>
      <c r="AF74" s="1068" t="str">
        <f t="shared" si="3"/>
        <v/>
      </c>
      <c r="AG74" s="1068" t="str">
        <f t="shared" si="4"/>
        <v/>
      </c>
      <c r="AH74" s="1068" t="str">
        <f t="shared" si="5"/>
        <v/>
      </c>
      <c r="AI74" s="1068" t="str">
        <f t="shared" si="6"/>
        <v/>
      </c>
      <c r="AK74" s="1504" t="s">
        <v>2552</v>
      </c>
    </row>
    <row r="75" spans="1:37" ht="4.5" customHeight="1" x14ac:dyDescent="0.25">
      <c r="A75" s="4" t="str">
        <f t="shared" ref="A75:A84" si="13">AgyIdx</f>
        <v>01</v>
      </c>
      <c r="B75" s="640"/>
      <c r="C75" s="97"/>
      <c r="D75" s="97"/>
      <c r="E75" s="97"/>
      <c r="F75" s="97"/>
      <c r="G75" s="97"/>
      <c r="H75" s="97"/>
      <c r="I75" s="776"/>
      <c r="J75" s="1041"/>
      <c r="K75" s="1045"/>
      <c r="L75" s="671"/>
      <c r="M75" s="1047"/>
      <c r="N75" s="671"/>
      <c r="O75" s="671"/>
      <c r="P75" s="97"/>
      <c r="Q75" s="97"/>
      <c r="R75" s="97"/>
      <c r="S75" s="97"/>
      <c r="T75" s="97"/>
      <c r="U75"/>
      <c r="X75" s="340"/>
      <c r="Y75" s="672"/>
      <c r="AB75" s="434"/>
      <c r="AC75" s="434"/>
      <c r="AD75" s="434"/>
      <c r="AE75" s="434"/>
      <c r="AF75" s="1068"/>
      <c r="AG75" s="1068"/>
      <c r="AH75" s="1068"/>
      <c r="AI75" s="1068"/>
    </row>
    <row r="76" spans="1:37" ht="13.5" x14ac:dyDescent="0.25">
      <c r="A76" s="4" t="str">
        <f t="shared" si="13"/>
        <v>01</v>
      </c>
      <c r="B76" s="177" t="s">
        <v>2553</v>
      </c>
      <c r="C76" s="97"/>
      <c r="D76" s="97"/>
      <c r="E76" s="97"/>
      <c r="F76" s="97"/>
      <c r="G76" s="97"/>
      <c r="H76" s="97"/>
      <c r="I76" s="776"/>
      <c r="J76" s="1041"/>
      <c r="K76" s="1045"/>
      <c r="L76" s="671"/>
      <c r="M76" s="1047"/>
      <c r="N76" s="671"/>
      <c r="O76" s="671"/>
      <c r="P76" s="97"/>
      <c r="Q76" s="97"/>
      <c r="R76" s="97"/>
      <c r="S76" s="97"/>
      <c r="T76" s="97"/>
      <c r="U76"/>
      <c r="X76" s="340"/>
      <c r="Y76" s="672"/>
      <c r="AB76" s="434"/>
      <c r="AC76" s="434"/>
      <c r="AD76" s="434"/>
      <c r="AE76" s="434"/>
      <c r="AF76" s="1068"/>
      <c r="AG76" s="1068"/>
      <c r="AH76" s="1068"/>
      <c r="AI76" s="1068"/>
    </row>
    <row r="77" spans="1:37" ht="12" customHeight="1" x14ac:dyDescent="0.25">
      <c r="A77" s="4" t="str">
        <f t="shared" si="13"/>
        <v>01</v>
      </c>
      <c r="B77" s="97" t="s">
        <v>1370</v>
      </c>
      <c r="C77" s="97"/>
      <c r="D77" s="97"/>
      <c r="E77" s="97"/>
      <c r="F77" s="97"/>
      <c r="G77" s="97"/>
      <c r="H77" s="97"/>
      <c r="I77" s="776"/>
      <c r="J77" s="1041"/>
      <c r="K77" s="678">
        <f>'340'!I31</f>
        <v>0</v>
      </c>
      <c r="L77" s="1045"/>
      <c r="M77" s="870"/>
      <c r="N77" s="1045"/>
      <c r="O77" s="870"/>
      <c r="P77" s="1045"/>
      <c r="Q77" s="870"/>
      <c r="R77" s="1043"/>
      <c r="S77" s="1046"/>
      <c r="T77" s="1047"/>
      <c r="U77" s="2252" t="str">
        <f t="shared" si="1"/>
        <v/>
      </c>
      <c r="W77" s="339"/>
      <c r="X77" s="340" t="b">
        <f t="shared" ref="X77" si="14">+K77=SUM(M77,O77,Q77,S77)</f>
        <v>1</v>
      </c>
      <c r="Y77" s="672">
        <f>K77-SUM(M77,O77,Q77, S77)</f>
        <v>0</v>
      </c>
      <c r="AB77" s="1071" t="s">
        <v>2508</v>
      </c>
      <c r="AC77" s="1071" t="s">
        <v>2508</v>
      </c>
      <c r="AD77" s="1071" t="s">
        <v>2508</v>
      </c>
      <c r="AE77" s="1071" t="s">
        <v>2508</v>
      </c>
      <c r="AF77" s="1068" t="str">
        <f t="shared" si="3"/>
        <v/>
      </c>
      <c r="AG77" s="1068" t="str">
        <f t="shared" si="4"/>
        <v/>
      </c>
      <c r="AH77" s="1068" t="str">
        <f t="shared" si="5"/>
        <v/>
      </c>
      <c r="AI77" s="1068" t="str">
        <f t="shared" si="6"/>
        <v/>
      </c>
      <c r="AK77" s="1489" t="s">
        <v>1370</v>
      </c>
    </row>
    <row r="78" spans="1:37" ht="7.5" customHeight="1" x14ac:dyDescent="0.25">
      <c r="A78" s="4" t="str">
        <f t="shared" si="13"/>
        <v>01</v>
      </c>
      <c r="B78" s="640"/>
      <c r="C78" s="97"/>
      <c r="D78" s="97"/>
      <c r="E78" s="97"/>
      <c r="F78" s="97"/>
      <c r="G78" s="97"/>
      <c r="H78" s="97"/>
      <c r="I78" s="776"/>
      <c r="J78" s="1041"/>
      <c r="K78" s="1045"/>
      <c r="L78" s="671"/>
      <c r="M78" s="1047"/>
      <c r="N78" s="671"/>
      <c r="O78" s="671"/>
      <c r="P78" s="97"/>
      <c r="Q78" s="97"/>
      <c r="R78" s="97"/>
      <c r="S78" s="97"/>
      <c r="T78" s="97"/>
      <c r="U78" s="97"/>
      <c r="X78" s="340"/>
      <c r="Y78" s="672"/>
      <c r="AB78" s="434"/>
      <c r="AC78" s="434"/>
      <c r="AD78" s="434"/>
      <c r="AE78" s="434"/>
      <c r="AF78" s="1068"/>
      <c r="AG78" s="1068"/>
      <c r="AH78" s="1068"/>
      <c r="AI78" s="1068"/>
    </row>
    <row r="79" spans="1:37" ht="7.5" customHeight="1" x14ac:dyDescent="0.25">
      <c r="B79" s="640"/>
      <c r="C79" s="97"/>
      <c r="D79" s="97"/>
      <c r="E79" s="97"/>
      <c r="F79" s="97"/>
      <c r="G79" s="97"/>
      <c r="H79" s="97"/>
      <c r="I79" s="776"/>
      <c r="J79" s="1041"/>
      <c r="K79" s="1045"/>
      <c r="L79" s="671"/>
      <c r="M79" s="1047"/>
      <c r="N79" s="671"/>
      <c r="O79" s="671"/>
      <c r="P79" s="97"/>
      <c r="Q79" s="97"/>
      <c r="R79" s="97"/>
      <c r="S79" s="97"/>
      <c r="T79" s="97"/>
      <c r="U79" s="97"/>
      <c r="X79" s="340"/>
      <c r="Y79" s="672"/>
      <c r="AB79" s="434"/>
      <c r="AC79" s="434"/>
      <c r="AD79" s="434"/>
      <c r="AE79" s="434"/>
      <c r="AF79" s="1068"/>
      <c r="AG79" s="1068"/>
      <c r="AH79" s="1068"/>
      <c r="AI79" s="1068"/>
    </row>
    <row r="80" spans="1:37" ht="13.5" x14ac:dyDescent="0.25">
      <c r="A80" s="4" t="str">
        <f>AgyIdx</f>
        <v>01</v>
      </c>
      <c r="B80" s="640" t="s">
        <v>2554</v>
      </c>
      <c r="C80" s="97"/>
      <c r="D80" s="97"/>
      <c r="E80" s="97"/>
      <c r="F80" s="97"/>
      <c r="G80" s="97"/>
      <c r="H80" s="97"/>
      <c r="I80" s="776"/>
      <c r="J80" s="1041"/>
      <c r="K80" s="1045"/>
      <c r="L80" s="671"/>
      <c r="M80" s="507" t="s">
        <v>339</v>
      </c>
      <c r="O80" s="845"/>
      <c r="P80" s="2930" t="str">
        <f>IF(AND(ISBLANK(O80),ISBLANK(O81))=TRUE,"Answer Missing"," ")</f>
        <v>Answer Missing</v>
      </c>
      <c r="Q80" s="2931"/>
      <c r="S80" s="2931" t="str">
        <f>IF(ISTEXT(O80), "Narrative WS Required", " ")</f>
        <v xml:space="preserve"> </v>
      </c>
      <c r="T80" s="2931"/>
      <c r="U80" s="2931"/>
      <c r="X80" s="340"/>
      <c r="Y80" s="672"/>
      <c r="AK80" s="1489"/>
    </row>
    <row r="81" spans="1:25" ht="13.5" x14ac:dyDescent="0.25">
      <c r="A81" s="4" t="str">
        <f t="shared" si="13"/>
        <v>01</v>
      </c>
      <c r="B81" s="640" t="s">
        <v>2555</v>
      </c>
      <c r="C81" s="97"/>
      <c r="D81" s="97"/>
      <c r="E81" s="97"/>
      <c r="F81" s="97"/>
      <c r="G81" s="97"/>
      <c r="H81" s="97"/>
      <c r="I81" s="776"/>
      <c r="J81" s="1041"/>
      <c r="M81" s="507" t="s">
        <v>340</v>
      </c>
      <c r="O81" s="845"/>
      <c r="P81" s="638"/>
      <c r="X81" s="340"/>
      <c r="Y81" s="672"/>
    </row>
    <row r="82" spans="1:25" ht="5.25" customHeight="1" x14ac:dyDescent="0.25">
      <c r="A82" s="4" t="str">
        <f t="shared" si="13"/>
        <v>01</v>
      </c>
      <c r="B82" s="891"/>
      <c r="C82" s="891"/>
      <c r="G82" s="97"/>
      <c r="H82" s="97"/>
      <c r="I82" s="776"/>
      <c r="J82" s="1041"/>
      <c r="K82" s="1045"/>
      <c r="L82" s="671"/>
      <c r="M82" s="1047"/>
      <c r="N82" s="671"/>
      <c r="O82" s="671"/>
      <c r="P82" s="97"/>
      <c r="X82" s="340"/>
      <c r="Y82" s="672"/>
    </row>
    <row r="83" spans="1:25" ht="13.5" x14ac:dyDescent="0.25">
      <c r="A83" s="4" t="str">
        <f t="shared" si="13"/>
        <v>01</v>
      </c>
      <c r="B83" s="640" t="s">
        <v>2556</v>
      </c>
      <c r="C83" s="97"/>
      <c r="D83" s="97"/>
      <c r="E83" s="97"/>
      <c r="F83" s="97"/>
      <c r="G83" s="97"/>
      <c r="H83" s="97"/>
      <c r="I83" s="776"/>
      <c r="J83" s="1041"/>
      <c r="K83" s="1045"/>
      <c r="L83" s="776"/>
      <c r="M83" s="507" t="s">
        <v>339</v>
      </c>
      <c r="O83" s="845"/>
      <c r="P83" s="2930" t="str">
        <f>IF(AND(ISBLANK(O83),ISBLANK(O84))=TRUE,"Answer Missing"," ")</f>
        <v>Answer Missing</v>
      </c>
      <c r="Q83" s="2931"/>
      <c r="R83" s="97"/>
      <c r="S83" s="2931" t="str">
        <f>IF(ISTEXT(O83), "Narrative WS Required", " ")</f>
        <v xml:space="preserve"> </v>
      </c>
      <c r="T83" s="2931"/>
      <c r="U83" s="2931"/>
      <c r="X83" s="340"/>
      <c r="Y83" s="672"/>
    </row>
    <row r="84" spans="1:25" ht="13.5" x14ac:dyDescent="0.25">
      <c r="A84" s="4" t="str">
        <f t="shared" si="13"/>
        <v>01</v>
      </c>
      <c r="B84" s="640" t="s">
        <v>2557</v>
      </c>
      <c r="C84" s="97"/>
      <c r="D84" s="97"/>
      <c r="E84" s="97"/>
      <c r="F84" s="97"/>
      <c r="G84" s="97"/>
      <c r="H84" s="97"/>
      <c r="I84" s="776"/>
      <c r="J84" s="1041"/>
      <c r="K84" s="671"/>
      <c r="L84" s="97"/>
      <c r="M84" s="507" t="s">
        <v>340</v>
      </c>
      <c r="O84" s="845"/>
      <c r="P84" s="638"/>
      <c r="Q84" s="97"/>
      <c r="R84" s="97"/>
      <c r="X84" s="340"/>
      <c r="Y84" s="672"/>
    </row>
    <row r="85" spans="1:25" ht="3.75" customHeight="1" x14ac:dyDescent="0.25">
      <c r="B85" s="891"/>
      <c r="C85" s="891"/>
      <c r="L85" s="97"/>
      <c r="R85" s="97"/>
      <c r="S85" s="776"/>
      <c r="T85" s="1041"/>
      <c r="U85" s="671"/>
      <c r="X85" s="340"/>
      <c r="Y85" s="672"/>
    </row>
    <row r="86" spans="1:25" ht="13.5" x14ac:dyDescent="0.25">
      <c r="B86" s="640" t="s">
        <v>2558</v>
      </c>
      <c r="C86" s="891"/>
      <c r="D86" s="97"/>
      <c r="E86" s="97"/>
      <c r="F86" s="97"/>
      <c r="G86" s="97"/>
      <c r="H86" s="97"/>
      <c r="I86" s="776"/>
      <c r="J86" s="1041"/>
      <c r="K86" s="671"/>
      <c r="L86" s="97"/>
      <c r="M86" s="671"/>
      <c r="N86" s="671"/>
      <c r="O86" s="6"/>
      <c r="P86" s="671"/>
      <c r="Q86" s="671"/>
      <c r="R86" s="97"/>
      <c r="X86" s="340"/>
      <c r="Y86" s="672"/>
    </row>
    <row r="87" spans="1:25" ht="13.5" x14ac:dyDescent="0.25">
      <c r="C87" s="891"/>
      <c r="D87" s="97"/>
      <c r="E87" s="97"/>
      <c r="F87" s="97"/>
      <c r="G87" s="97"/>
      <c r="H87" s="97"/>
      <c r="I87" s="776"/>
      <c r="J87" s="1041"/>
      <c r="K87" s="671"/>
      <c r="L87" s="97"/>
      <c r="M87" s="671"/>
      <c r="N87" s="671"/>
      <c r="O87" s="6"/>
      <c r="P87" s="671"/>
      <c r="Q87" s="671"/>
      <c r="R87" s="97"/>
      <c r="X87" s="340"/>
      <c r="Y87" s="672"/>
    </row>
    <row r="88" spans="1:25" ht="15" customHeight="1" x14ac:dyDescent="0.25">
      <c r="A88" s="4" t="str">
        <f>AgyIdx</f>
        <v>01</v>
      </c>
      <c r="B88" s="200"/>
      <c r="F88" s="181"/>
      <c r="G88" s="181"/>
      <c r="H88" s="181"/>
      <c r="I88" s="1050"/>
      <c r="K88" s="1045"/>
      <c r="L88" s="891"/>
      <c r="M88" s="97"/>
      <c r="N88" s="97"/>
      <c r="O88" s="182"/>
      <c r="P88" s="182"/>
      <c r="Q88" s="182"/>
      <c r="X88" s="340"/>
      <c r="Y88" s="672"/>
    </row>
    <row r="89" spans="1:25" x14ac:dyDescent="0.2">
      <c r="A89" s="4" t="str">
        <f>AgyIdx</f>
        <v>01</v>
      </c>
      <c r="B89" s="879"/>
      <c r="I89" s="670"/>
      <c r="K89" s="671"/>
      <c r="L89" s="6"/>
      <c r="M89" s="6"/>
      <c r="N89" s="6"/>
      <c r="P89" s="6"/>
      <c r="Q89" s="6"/>
      <c r="X89" s="340"/>
      <c r="Y89" s="672"/>
    </row>
    <row r="90" spans="1:25" x14ac:dyDescent="0.2">
      <c r="A90" s="4" t="str">
        <f>AgyIdx</f>
        <v>01</v>
      </c>
      <c r="B90" s="181"/>
    </row>
    <row r="91" spans="1:25" ht="15" x14ac:dyDescent="0.2">
      <c r="A91" s="445"/>
      <c r="B91" s="181"/>
      <c r="K91" s="445"/>
    </row>
    <row r="92" spans="1:25" ht="15" x14ac:dyDescent="0.2">
      <c r="A92" s="445"/>
      <c r="B92" s="181"/>
    </row>
    <row r="93" spans="1:25" ht="15" x14ac:dyDescent="0.2">
      <c r="A93" s="445"/>
      <c r="B93" s="181"/>
    </row>
    <row r="94" spans="1:25" ht="3.75" customHeight="1" x14ac:dyDescent="0.2">
      <c r="A94" s="445"/>
      <c r="B94" s="181"/>
    </row>
    <row r="95" spans="1:25" ht="15" x14ac:dyDescent="0.2">
      <c r="A95" s="445"/>
      <c r="B95" s="181"/>
    </row>
    <row r="96" spans="1:25" ht="15" x14ac:dyDescent="0.2">
      <c r="A96" s="445"/>
      <c r="B96" s="181"/>
    </row>
    <row r="97" spans="1:2" ht="15" x14ac:dyDescent="0.2">
      <c r="A97" s="445"/>
      <c r="B97" s="181"/>
    </row>
    <row r="98" spans="1:2" ht="15" x14ac:dyDescent="0.2">
      <c r="A98" s="445"/>
      <c r="B98" s="181"/>
    </row>
    <row r="99" spans="1:2" ht="15" x14ac:dyDescent="0.2">
      <c r="A99" s="445"/>
      <c r="B99" s="181"/>
    </row>
    <row r="100" spans="1:2" ht="3.75" customHeight="1" x14ac:dyDescent="0.2">
      <c r="A100" s="445"/>
      <c r="B100" s="181"/>
    </row>
    <row r="101" spans="1:2" ht="15" x14ac:dyDescent="0.2">
      <c r="A101" s="445"/>
      <c r="B101" s="181"/>
    </row>
    <row r="102" spans="1:2" ht="15" x14ac:dyDescent="0.2">
      <c r="A102" s="445"/>
      <c r="B102" s="181"/>
    </row>
    <row r="103" spans="1:2" ht="3.75" customHeight="1" x14ac:dyDescent="0.2">
      <c r="A103" s="445"/>
      <c r="B103" s="181"/>
    </row>
    <row r="104" spans="1:2" ht="15" x14ac:dyDescent="0.2">
      <c r="A104" s="445"/>
      <c r="B104" s="181"/>
    </row>
    <row r="105" spans="1:2" ht="3.75" customHeight="1" x14ac:dyDescent="0.2">
      <c r="A105" s="445"/>
    </row>
    <row r="106" spans="1:2" ht="15" x14ac:dyDescent="0.2">
      <c r="A106" s="445"/>
    </row>
    <row r="107" spans="1:2" ht="15" x14ac:dyDescent="0.2">
      <c r="A107" s="445"/>
    </row>
    <row r="108" spans="1:2" ht="15" x14ac:dyDescent="0.2">
      <c r="A108" s="445"/>
    </row>
    <row r="109" spans="1:2" ht="15" x14ac:dyDescent="0.2">
      <c r="A109" s="445"/>
    </row>
    <row r="110" spans="1:2" ht="15" x14ac:dyDescent="0.2">
      <c r="A110" s="445"/>
      <c r="B110" s="445"/>
    </row>
    <row r="111" spans="1:2" ht="15" x14ac:dyDescent="0.2">
      <c r="A111" s="445"/>
      <c r="B111" s="445"/>
    </row>
    <row r="112" spans="1:2" ht="15" x14ac:dyDescent="0.2">
      <c r="A112" s="445"/>
      <c r="B112" s="445"/>
    </row>
    <row r="113" spans="1:2" ht="15" x14ac:dyDescent="0.2">
      <c r="A113" s="445"/>
      <c r="B113" s="445"/>
    </row>
  </sheetData>
  <sheetProtection algorithmName="SHA-512" hashValue="Ux5LXvUgr+8f5i+vg+eg921E+M1y2l3+tjbHF1yCkE1GzgcGXDkOj4kYrmsxvm1dI0fGu2GSNowzZFIQP3lWkw==" saltValue="9NJGmpyc4LNbPcOYw8+COQ==" spinCount="100000" sheet="1" objects="1" scenarios="1" autoFilter="0"/>
  <mergeCells count="26">
    <mergeCell ref="M12:Q12"/>
    <mergeCell ref="B1:T1"/>
    <mergeCell ref="Y1:Y3"/>
    <mergeCell ref="B2:T2"/>
    <mergeCell ref="B3:T3"/>
    <mergeCell ref="B4:T4"/>
    <mergeCell ref="M6:Q6"/>
    <mergeCell ref="M7:Q7"/>
    <mergeCell ref="E8:G8"/>
    <mergeCell ref="M8:Q8"/>
    <mergeCell ref="M9:Q9"/>
    <mergeCell ref="C45:G45"/>
    <mergeCell ref="P80:Q80"/>
    <mergeCell ref="S80:U80"/>
    <mergeCell ref="P83:Q83"/>
    <mergeCell ref="S83:U83"/>
    <mergeCell ref="C46:G46"/>
    <mergeCell ref="C47:G47"/>
    <mergeCell ref="C55:G55"/>
    <mergeCell ref="C56:G56"/>
    <mergeCell ref="C57:G57"/>
    <mergeCell ref="C58:G58"/>
    <mergeCell ref="C59:G59"/>
    <mergeCell ref="C60:G60"/>
    <mergeCell ref="C73:G73"/>
    <mergeCell ref="C74:G74"/>
  </mergeCells>
  <conditionalFormatting sqref="P80">
    <cfRule type="containsText" dxfId="24" priority="7" stopIfTrue="1" operator="containsText" text="Answer Missing">
      <formula>NOT(ISERROR(SEARCH("Answer Missing",P80)))</formula>
    </cfRule>
  </conditionalFormatting>
  <conditionalFormatting sqref="P83">
    <cfRule type="containsText" dxfId="23" priority="6" stopIfTrue="1" operator="containsText" text="Answer Missing">
      <formula>NOT(ISERROR(SEARCH("Answer Missing",P83)))</formula>
    </cfRule>
  </conditionalFormatting>
  <conditionalFormatting sqref="S80">
    <cfRule type="containsText" dxfId="22" priority="5" stopIfTrue="1" operator="containsText" text="Answer Missing">
      <formula>NOT(ISERROR(SEARCH("Answer Missing",S80)))</formula>
    </cfRule>
  </conditionalFormatting>
  <conditionalFormatting sqref="S83">
    <cfRule type="containsText" dxfId="21" priority="4" stopIfTrue="1" operator="containsText" text="Answer Missing">
      <formula>NOT(ISERROR(SEARCH("Answer Missing",S83)))</formula>
    </cfRule>
  </conditionalFormatting>
  <conditionalFormatting sqref="U1:U3">
    <cfRule type="cellIs" dxfId="20" priority="9" stopIfTrue="1" operator="equal">
      <formula>"na"</formula>
    </cfRule>
  </conditionalFormatting>
  <conditionalFormatting sqref="Y1:Y3">
    <cfRule type="cellIs" dxfId="19" priority="8" stopIfTrue="1" operator="equal">
      <formula>"na"</formula>
    </cfRule>
  </conditionalFormatting>
  <dataValidations count="1">
    <dataValidation type="list" allowBlank="1" showInputMessage="1" showErrorMessage="1" sqref="AB77:AE77 AB66:AE74 AB20:AE47 AB50:AE60" xr:uid="{00000000-0002-0000-4600-000000000000}">
      <formula1>ValuationTech</formula1>
    </dataValidation>
  </dataValidations>
  <hyperlinks>
    <hyperlink ref="B1:R1" location="Index!A1" display="Index!A1" xr:uid="{00000000-0004-0000-4600-000000000000}"/>
  </hyperlinks>
  <pageMargins left="0.6" right="0.6" top="0.5" bottom="0.5" header="0.3" footer="0.3"/>
  <pageSetup scale="85" fitToWidth="0" fitToHeight="2" orientation="landscape" r:id="rId1"/>
  <rowBreaks count="1" manualBreakCount="1">
    <brk id="48" min="1" max="2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01467BC-11D3-4469-8B5B-300B632A6834}">
          <x14:formula1>
            <xm:f>Notes!$AC$3:$AC$8</xm:f>
          </x14:formula1>
          <xm:sqref>C45:G47</xm:sqref>
        </x14:dataValidation>
        <x14:dataValidation type="list" allowBlank="1" showInputMessage="1" showErrorMessage="1" xr:uid="{C8F02C7A-E6C2-4311-B629-FCF1585D0CBE}">
          <x14:formula1>
            <xm:f>Notes!$AC$12:$AC$23</xm:f>
          </x14:formula1>
          <xm:sqref>C55:C60</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7"/>
  <dimension ref="A1:U46"/>
  <sheetViews>
    <sheetView showGridLines="0" topLeftCell="B1" zoomScaleNormal="100" workbookViewId="0">
      <selection activeCell="B125" sqref="B125:E125"/>
    </sheetView>
  </sheetViews>
  <sheetFormatPr defaultColWidth="9.42578125" defaultRowHeight="12.75" x14ac:dyDescent="0.2"/>
  <cols>
    <col min="1" max="1" width="6.5703125" style="4" hidden="1" customWidth="1"/>
    <col min="2" max="2" width="6.5703125" style="4" customWidth="1"/>
    <col min="3" max="3" width="1.5703125" style="4" customWidth="1"/>
    <col min="4" max="4" width="6.42578125" style="4" customWidth="1"/>
    <col min="5" max="5" width="7.5703125" style="4" customWidth="1"/>
    <col min="6" max="6" width="1.5703125" style="4" customWidth="1"/>
    <col min="7" max="7" width="4.5703125" style="4" customWidth="1"/>
    <col min="8" max="8" width="0.5703125" style="4" customWidth="1"/>
    <col min="9" max="9" width="3.5703125" style="4" customWidth="1"/>
    <col min="10" max="10" width="1.42578125" style="4" customWidth="1"/>
    <col min="11" max="11" width="13.42578125" style="4" customWidth="1"/>
    <col min="12" max="12" width="2.5703125" style="4" customWidth="1"/>
    <col min="13" max="13" width="11.5703125" style="4" customWidth="1"/>
    <col min="14" max="14" width="1.42578125" style="4" customWidth="1"/>
    <col min="15" max="15" width="8.42578125" style="4" customWidth="1"/>
    <col min="16" max="16" width="1.42578125" style="4" customWidth="1"/>
    <col min="17" max="17" width="15.42578125" style="4" customWidth="1"/>
    <col min="18" max="18" width="0.5703125" style="4" customWidth="1"/>
    <col min="19" max="19" width="7.5703125" style="4" bestFit="1" customWidth="1"/>
    <col min="20" max="20" width="8.42578125" style="4" customWidth="1"/>
    <col min="21" max="21" width="10.5703125" style="4" bestFit="1" customWidth="1"/>
    <col min="22" max="22" width="2.42578125" style="4" customWidth="1"/>
    <col min="23" max="23" width="9.42578125" style="4"/>
    <col min="24" max="24" width="2.42578125" style="4" customWidth="1"/>
    <col min="25" max="25" width="11.5703125" style="4" customWidth="1"/>
    <col min="26" max="26" width="0.42578125" style="4" customWidth="1"/>
    <col min="27" max="16384" width="9.42578125" style="4"/>
  </cols>
  <sheetData>
    <row r="1" spans="1:21" ht="25.15" customHeight="1" x14ac:dyDescent="0.25">
      <c r="B1" s="2455" t="str">
        <f>+Index!$A$1</f>
        <v xml:space="preserve">                                                               Office of the State Controller                                                                </v>
      </c>
      <c r="C1" s="2455"/>
      <c r="D1" s="2455"/>
      <c r="E1" s="2455"/>
      <c r="F1" s="2455"/>
      <c r="G1" s="2455"/>
      <c r="H1" s="2455"/>
      <c r="I1" s="2455"/>
      <c r="J1" s="2455"/>
      <c r="K1" s="2455"/>
      <c r="L1" s="2455"/>
      <c r="M1" s="2455"/>
      <c r="N1" s="2455"/>
      <c r="O1" s="2455"/>
      <c r="P1" s="2455"/>
      <c r="Q1" s="2455"/>
      <c r="R1" s="2455"/>
      <c r="S1" s="2520" t="str">
        <f>IF(Index!$B$101="na","NA","")</f>
        <v/>
      </c>
      <c r="U1" s="2241"/>
    </row>
    <row r="2" spans="1:21" ht="15" customHeight="1" x14ac:dyDescent="0.3">
      <c r="B2" s="2941" t="str">
        <f>+Index!$A$2</f>
        <v>2023 ACFR Worksheets</v>
      </c>
      <c r="C2" s="2941"/>
      <c r="D2" s="2941"/>
      <c r="E2" s="2941"/>
      <c r="F2" s="2941"/>
      <c r="G2" s="2941"/>
      <c r="H2" s="2941"/>
      <c r="I2" s="2941"/>
      <c r="J2" s="2941"/>
      <c r="K2" s="2941"/>
      <c r="L2" s="2941"/>
      <c r="M2" s="2941"/>
      <c r="N2" s="2941"/>
      <c r="O2" s="2941"/>
      <c r="P2" s="2941"/>
      <c r="Q2" s="2941"/>
      <c r="R2" s="2941"/>
      <c r="S2" s="2520"/>
      <c r="U2" s="2241"/>
    </row>
    <row r="3" spans="1:21" ht="15" customHeight="1" x14ac:dyDescent="0.3">
      <c r="B3" s="2941" t="s">
        <v>2194</v>
      </c>
      <c r="C3" s="2941"/>
      <c r="D3" s="2941"/>
      <c r="E3" s="2941"/>
      <c r="F3" s="2941"/>
      <c r="G3" s="2941"/>
      <c r="H3" s="2941"/>
      <c r="I3" s="2941"/>
      <c r="J3" s="2941"/>
      <c r="K3" s="2941"/>
      <c r="L3" s="2941"/>
      <c r="M3" s="2941"/>
      <c r="N3" s="2941"/>
      <c r="O3" s="2941"/>
      <c r="P3" s="2941"/>
      <c r="Q3" s="2941"/>
      <c r="R3" s="2941"/>
      <c r="S3" s="2520"/>
      <c r="U3" s="2241"/>
    </row>
    <row r="4" spans="1:21" ht="15" customHeight="1" x14ac:dyDescent="0.3">
      <c r="B4" s="2941" t="s">
        <v>2559</v>
      </c>
      <c r="C4" s="2941"/>
      <c r="D4" s="2941"/>
      <c r="E4" s="2941"/>
      <c r="F4" s="2941"/>
      <c r="G4" s="2941"/>
      <c r="H4" s="2941"/>
      <c r="I4" s="2941"/>
      <c r="J4" s="2941"/>
      <c r="K4" s="2941"/>
      <c r="L4" s="2941"/>
      <c r="M4" s="2941"/>
      <c r="N4" s="2941"/>
      <c r="O4" s="2941"/>
      <c r="P4" s="2941"/>
      <c r="Q4" s="2941"/>
      <c r="R4" s="2941"/>
    </row>
    <row r="5" spans="1:21" ht="15" customHeight="1" x14ac:dyDescent="0.3">
      <c r="B5" s="2942" t="s">
        <v>2560</v>
      </c>
      <c r="C5" s="2942"/>
      <c r="D5" s="2942"/>
      <c r="E5" s="2942"/>
      <c r="F5" s="2942"/>
      <c r="G5" s="2942"/>
      <c r="H5" s="2942"/>
      <c r="I5" s="2942"/>
      <c r="J5" s="2942"/>
      <c r="K5" s="2942"/>
      <c r="L5" s="2942"/>
      <c r="M5" s="2942"/>
      <c r="N5" s="2942"/>
      <c r="O5" s="2942"/>
      <c r="P5" s="2942"/>
      <c r="Q5" s="2942"/>
      <c r="R5" s="2365"/>
    </row>
    <row r="6" spans="1:21" ht="15" customHeight="1" x14ac:dyDescent="0.2">
      <c r="M6" s="257" t="s">
        <v>2561</v>
      </c>
    </row>
    <row r="7" spans="1:21" ht="15" customHeight="1" x14ac:dyDescent="0.2">
      <c r="E7" s="434"/>
      <c r="L7" s="5" t="s">
        <v>317</v>
      </c>
      <c r="M7" s="2902" t="str">
        <f>+Index!$E$10</f>
        <v>01</v>
      </c>
      <c r="N7" s="2902"/>
      <c r="O7" s="2902"/>
      <c r="P7" s="2902"/>
      <c r="Q7" s="2902"/>
    </row>
    <row r="8" spans="1:21" ht="15" customHeight="1" x14ac:dyDescent="0.2">
      <c r="L8" s="5" t="s">
        <v>318</v>
      </c>
      <c r="M8" s="2902" t="str">
        <f>+Index!$E$11</f>
        <v>North Carolina General Assembly</v>
      </c>
      <c r="N8" s="2902"/>
      <c r="O8" s="2902"/>
      <c r="P8" s="2902"/>
      <c r="Q8" s="2902"/>
    </row>
    <row r="9" spans="1:21" ht="15" customHeight="1" x14ac:dyDescent="0.2">
      <c r="B9" s="4" t="s">
        <v>568</v>
      </c>
      <c r="E9" s="2903" t="s">
        <v>754</v>
      </c>
      <c r="F9" s="2903"/>
      <c r="G9" s="2903"/>
      <c r="H9" s="172"/>
      <c r="I9" s="172"/>
      <c r="L9" s="5" t="s">
        <v>319</v>
      </c>
      <c r="M9" s="2906" t="str">
        <f>CONCATENATE(Index!$E$12," ",Index!$E$14)</f>
        <v xml:space="preserve"> </v>
      </c>
      <c r="N9" s="2906"/>
      <c r="O9" s="2906"/>
      <c r="P9" s="2906"/>
      <c r="Q9" s="2906"/>
    </row>
    <row r="10" spans="1:21" ht="15" customHeight="1" x14ac:dyDescent="0.2">
      <c r="E10" s="434"/>
      <c r="F10" s="434"/>
      <c r="G10" s="434"/>
      <c r="H10" s="172"/>
      <c r="I10" s="172"/>
      <c r="L10" s="5" t="s">
        <v>71</v>
      </c>
      <c r="M10" s="2907">
        <f>+Index!$E$13</f>
        <v>0</v>
      </c>
      <c r="N10" s="2907"/>
      <c r="O10" s="2907"/>
      <c r="P10" s="2907"/>
      <c r="Q10" s="2907"/>
    </row>
    <row r="11" spans="1:21" ht="10.35" customHeight="1" thickBot="1" x14ac:dyDescent="0.25">
      <c r="B11" s="96"/>
      <c r="C11" s="96"/>
      <c r="D11" s="96"/>
      <c r="E11" s="96"/>
      <c r="F11" s="96"/>
      <c r="G11" s="96"/>
      <c r="H11" s="96"/>
      <c r="I11" s="96"/>
      <c r="J11" s="96"/>
      <c r="K11" s="96"/>
      <c r="L11" s="96"/>
      <c r="M11" s="96"/>
      <c r="N11" s="96"/>
      <c r="O11" s="96"/>
      <c r="P11" s="96"/>
      <c r="Q11" s="96"/>
    </row>
    <row r="12" spans="1:21" ht="3" customHeight="1" x14ac:dyDescent="0.2">
      <c r="A12" s="4" t="str">
        <f>AgyIdx</f>
        <v>01</v>
      </c>
    </row>
    <row r="14" spans="1:21" x14ac:dyDescent="0.2">
      <c r="B14" s="4" t="s">
        <v>2562</v>
      </c>
    </row>
    <row r="15" spans="1:21" x14ac:dyDescent="0.2">
      <c r="B15" s="4" t="s">
        <v>2563</v>
      </c>
    </row>
    <row r="17" spans="1:17" x14ac:dyDescent="0.2">
      <c r="B17" s="200" t="s">
        <v>2564</v>
      </c>
    </row>
    <row r="18" spans="1:17" x14ac:dyDescent="0.2">
      <c r="B18" s="200" t="s">
        <v>2565</v>
      </c>
    </row>
    <row r="19" spans="1:17" ht="9" customHeight="1" x14ac:dyDescent="0.2"/>
    <row r="20" spans="1:17" x14ac:dyDescent="0.2">
      <c r="B20" s="2938" t="s">
        <v>2566</v>
      </c>
      <c r="C20" s="2939"/>
      <c r="D20" s="2939"/>
      <c r="E20" s="2939"/>
      <c r="F20" s="2939"/>
      <c r="G20" s="2939"/>
      <c r="H20" s="2939"/>
      <c r="I20" s="2939"/>
      <c r="J20" s="2939"/>
      <c r="K20" s="2939"/>
      <c r="L20" s="2939"/>
      <c r="M20" s="2939"/>
      <c r="N20" s="2939"/>
      <c r="O20" s="2939"/>
      <c r="P20" s="2939"/>
      <c r="Q20" s="2939"/>
    </row>
    <row r="21" spans="1:17" ht="15.75" customHeight="1" x14ac:dyDescent="0.2">
      <c r="Q21" s="673" t="s">
        <v>2567</v>
      </c>
    </row>
    <row r="22" spans="1:17" x14ac:dyDescent="0.2">
      <c r="B22" s="2937" t="s">
        <v>2568</v>
      </c>
      <c r="C22" s="2585"/>
      <c r="D22" s="2585"/>
      <c r="E22" s="2585"/>
      <c r="F22" s="2585"/>
      <c r="G22" s="2585"/>
      <c r="H22" s="2585"/>
      <c r="I22" s="2585"/>
      <c r="K22" s="2937" t="s">
        <v>2569</v>
      </c>
      <c r="L22" s="2585"/>
      <c r="M22" s="2585"/>
      <c r="N22" s="2585"/>
      <c r="O22" s="2585"/>
      <c r="Q22" s="2364" t="s">
        <v>2570</v>
      </c>
    </row>
    <row r="23" spans="1:17" ht="18.75" customHeight="1" x14ac:dyDescent="0.2">
      <c r="A23" s="4" t="str">
        <f t="shared" ref="A23:A28" si="0">AgyIdx</f>
        <v>01</v>
      </c>
      <c r="B23" s="2934"/>
      <c r="C23" s="2936"/>
      <c r="D23" s="2936"/>
      <c r="E23" s="2936"/>
      <c r="F23" s="2936"/>
      <c r="G23" s="2936"/>
      <c r="H23" s="2936"/>
      <c r="I23" s="2936"/>
      <c r="K23" s="2933"/>
      <c r="L23" s="2935"/>
      <c r="M23" s="2935"/>
      <c r="N23" s="2935"/>
      <c r="O23" s="2935"/>
      <c r="Q23" s="718"/>
    </row>
    <row r="24" spans="1:17" ht="15.75" customHeight="1" x14ac:dyDescent="0.2">
      <c r="A24" s="4" t="str">
        <f t="shared" si="0"/>
        <v>01</v>
      </c>
      <c r="B24" s="2934"/>
      <c r="C24" s="2936"/>
      <c r="D24" s="2936"/>
      <c r="E24" s="2936"/>
      <c r="F24" s="2936"/>
      <c r="G24" s="2936"/>
      <c r="H24" s="2936"/>
      <c r="I24" s="2936"/>
      <c r="K24" s="2933"/>
      <c r="L24" s="2935"/>
      <c r="M24" s="2935"/>
      <c r="N24" s="2935"/>
      <c r="O24" s="2935"/>
      <c r="Q24" s="718"/>
    </row>
    <row r="25" spans="1:17" ht="15.75" customHeight="1" x14ac:dyDescent="0.2">
      <c r="A25" s="4" t="str">
        <f t="shared" si="0"/>
        <v>01</v>
      </c>
      <c r="B25" s="2934"/>
      <c r="C25" s="2936"/>
      <c r="D25" s="2936"/>
      <c r="E25" s="2936"/>
      <c r="F25" s="2936"/>
      <c r="G25" s="2936"/>
      <c r="H25" s="2936"/>
      <c r="I25" s="2936"/>
      <c r="K25" s="2933"/>
      <c r="L25" s="2935"/>
      <c r="M25" s="2935"/>
      <c r="N25" s="2935"/>
      <c r="O25" s="2935"/>
      <c r="Q25" s="718"/>
    </row>
    <row r="26" spans="1:17" ht="15.75" customHeight="1" x14ac:dyDescent="0.2">
      <c r="A26" s="4" t="str">
        <f t="shared" si="0"/>
        <v>01</v>
      </c>
      <c r="B26" s="2934"/>
      <c r="C26" s="2586"/>
      <c r="D26" s="2586"/>
      <c r="E26" s="2586"/>
      <c r="F26" s="2586"/>
      <c r="G26" s="2586"/>
      <c r="H26" s="2586"/>
      <c r="I26" s="2586"/>
      <c r="K26" s="2933"/>
      <c r="L26" s="2586"/>
      <c r="M26" s="2586"/>
      <c r="N26" s="2586"/>
      <c r="O26" s="2586"/>
      <c r="Q26" s="718"/>
    </row>
    <row r="27" spans="1:17" ht="15.75" customHeight="1" x14ac:dyDescent="0.2">
      <c r="A27" s="4" t="str">
        <f t="shared" si="0"/>
        <v>01</v>
      </c>
      <c r="B27" s="2934"/>
      <c r="C27" s="2586"/>
      <c r="D27" s="2586"/>
      <c r="E27" s="2586"/>
      <c r="F27" s="2586"/>
      <c r="G27" s="2586"/>
      <c r="H27" s="2586"/>
      <c r="I27" s="2586"/>
      <c r="K27" s="2933"/>
      <c r="L27" s="2586"/>
      <c r="M27" s="2586"/>
      <c r="N27" s="2586"/>
      <c r="O27" s="2586"/>
      <c r="Q27" s="718"/>
    </row>
    <row r="28" spans="1:17" ht="15.75" customHeight="1" x14ac:dyDescent="0.2">
      <c r="A28" s="4" t="str">
        <f t="shared" si="0"/>
        <v>01</v>
      </c>
      <c r="B28" s="2934"/>
      <c r="C28" s="2936"/>
      <c r="D28" s="2936"/>
      <c r="E28" s="2936"/>
      <c r="F28" s="2936"/>
      <c r="G28" s="2936"/>
      <c r="H28" s="2936"/>
      <c r="I28" s="2936"/>
      <c r="K28" s="2933"/>
      <c r="L28" s="2935"/>
      <c r="M28" s="2935"/>
      <c r="N28" s="2935"/>
      <c r="O28" s="2935"/>
      <c r="Q28" s="718"/>
    </row>
    <row r="29" spans="1:17" ht="15.75" customHeight="1" x14ac:dyDescent="0.2"/>
    <row r="30" spans="1:17" x14ac:dyDescent="0.2">
      <c r="B30" s="2938" t="s">
        <v>2571</v>
      </c>
      <c r="C30" s="2939"/>
      <c r="D30" s="2939"/>
      <c r="E30" s="2939"/>
      <c r="F30" s="2939"/>
      <c r="G30" s="2939"/>
      <c r="H30" s="2939"/>
      <c r="I30" s="2939"/>
      <c r="J30" s="2939"/>
      <c r="K30" s="2939"/>
      <c r="L30" s="2939"/>
      <c r="M30" s="2939"/>
      <c r="N30" s="2939"/>
      <c r="O30" s="2939"/>
      <c r="P30" s="2939"/>
      <c r="Q30" s="2939"/>
    </row>
    <row r="31" spans="1:17" ht="15.75" customHeight="1" x14ac:dyDescent="0.2">
      <c r="Q31" s="673" t="s">
        <v>2567</v>
      </c>
    </row>
    <row r="32" spans="1:17" x14ac:dyDescent="0.2">
      <c r="B32" s="2937" t="s">
        <v>2568</v>
      </c>
      <c r="C32" s="2585"/>
      <c r="D32" s="2585"/>
      <c r="E32" s="2585"/>
      <c r="F32" s="2585"/>
      <c r="G32" s="2585"/>
      <c r="H32" s="2585"/>
      <c r="I32" s="2585"/>
      <c r="K32" s="2937" t="s">
        <v>2569</v>
      </c>
      <c r="L32" s="2585"/>
      <c r="M32" s="2585"/>
      <c r="N32" s="2585"/>
      <c r="O32" s="2585"/>
      <c r="Q32" s="2364" t="s">
        <v>2570</v>
      </c>
    </row>
    <row r="33" spans="1:17" ht="18.75" customHeight="1" x14ac:dyDescent="0.2">
      <c r="A33" s="4" t="str">
        <f>AgyIdx</f>
        <v>01</v>
      </c>
      <c r="B33" s="2934"/>
      <c r="C33" s="2936"/>
      <c r="D33" s="2936"/>
      <c r="E33" s="2936"/>
      <c r="F33" s="2936"/>
      <c r="G33" s="2936"/>
      <c r="H33" s="2936"/>
      <c r="I33" s="2936"/>
      <c r="K33" s="2933"/>
      <c r="L33" s="2935"/>
      <c r="M33" s="2935"/>
      <c r="N33" s="2935"/>
      <c r="O33" s="2935"/>
      <c r="Q33" s="718"/>
    </row>
    <row r="34" spans="1:17" ht="15.75" customHeight="1" x14ac:dyDescent="0.2">
      <c r="A34" s="4" t="str">
        <f>AgyIdx</f>
        <v>01</v>
      </c>
      <c r="B34" s="2934"/>
      <c r="C34" s="2936"/>
      <c r="D34" s="2936"/>
      <c r="E34" s="2936"/>
      <c r="F34" s="2936"/>
      <c r="G34" s="2936"/>
      <c r="H34" s="2936"/>
      <c r="I34" s="2936"/>
      <c r="K34" s="2933"/>
      <c r="L34" s="2935"/>
      <c r="M34" s="2935"/>
      <c r="N34" s="2935"/>
      <c r="O34" s="2935"/>
      <c r="Q34" s="718"/>
    </row>
    <row r="35" spans="1:17" ht="15.75" customHeight="1" x14ac:dyDescent="0.2">
      <c r="A35" s="4" t="str">
        <f>AgyIdx</f>
        <v>01</v>
      </c>
      <c r="B35" s="2934"/>
      <c r="C35" s="2940"/>
      <c r="D35" s="2940"/>
      <c r="E35" s="2940"/>
      <c r="F35" s="2940"/>
      <c r="G35" s="2940"/>
      <c r="H35" s="2940"/>
      <c r="I35" s="2940"/>
      <c r="K35" s="2933"/>
      <c r="L35" s="2940"/>
      <c r="M35" s="2940"/>
      <c r="N35" s="2940"/>
      <c r="O35" s="2940"/>
      <c r="Q35" s="718"/>
    </row>
    <row r="36" spans="1:17" ht="15.75" customHeight="1" x14ac:dyDescent="0.2">
      <c r="A36" s="4" t="str">
        <f>AgyIdx</f>
        <v>01</v>
      </c>
      <c r="B36" s="2934"/>
      <c r="C36" s="2586"/>
      <c r="D36" s="2586"/>
      <c r="E36" s="2586"/>
      <c r="F36" s="2586"/>
      <c r="G36" s="2586"/>
      <c r="H36" s="2586"/>
      <c r="I36" s="2586"/>
      <c r="K36" s="2933"/>
      <c r="L36" s="2586"/>
      <c r="M36" s="2586"/>
      <c r="N36" s="2586"/>
      <c r="O36" s="2586"/>
      <c r="Q36" s="718"/>
    </row>
    <row r="37" spans="1:17" ht="15.75" customHeight="1" x14ac:dyDescent="0.2">
      <c r="A37" s="4" t="str">
        <f>AgyIdx</f>
        <v>01</v>
      </c>
      <c r="B37" s="2934"/>
      <c r="C37" s="2586"/>
      <c r="D37" s="2586"/>
      <c r="E37" s="2586"/>
      <c r="F37" s="2586"/>
      <c r="G37" s="2586"/>
      <c r="H37" s="2586"/>
      <c r="I37" s="2586"/>
      <c r="K37" s="2933"/>
      <c r="L37" s="2586"/>
      <c r="M37" s="2586"/>
      <c r="N37" s="2586"/>
      <c r="O37" s="2586"/>
      <c r="Q37" s="718"/>
    </row>
    <row r="38" spans="1:17" ht="15.75" customHeight="1" x14ac:dyDescent="0.2"/>
    <row r="39" spans="1:17" x14ac:dyDescent="0.2">
      <c r="B39" s="2938" t="s">
        <v>2572</v>
      </c>
      <c r="C39" s="2939"/>
      <c r="D39" s="2939"/>
      <c r="E39" s="2939"/>
      <c r="F39" s="2939"/>
      <c r="G39" s="2939"/>
      <c r="H39" s="2939"/>
      <c r="I39" s="2939"/>
      <c r="J39" s="2939"/>
      <c r="K39" s="2939"/>
      <c r="L39" s="2939"/>
      <c r="M39" s="2939"/>
      <c r="N39" s="2939"/>
      <c r="O39" s="2939"/>
      <c r="P39" s="2939"/>
      <c r="Q39" s="2939"/>
    </row>
    <row r="40" spans="1:17" ht="15.75" customHeight="1" x14ac:dyDescent="0.2">
      <c r="Q40" s="673" t="s">
        <v>2567</v>
      </c>
    </row>
    <row r="41" spans="1:17" x14ac:dyDescent="0.2">
      <c r="B41" s="2937" t="s">
        <v>2568</v>
      </c>
      <c r="C41" s="2585"/>
      <c r="D41" s="2585"/>
      <c r="E41" s="2585"/>
      <c r="F41" s="2585"/>
      <c r="G41" s="2585"/>
      <c r="H41" s="2585"/>
      <c r="I41" s="2585"/>
      <c r="K41" s="2937" t="s">
        <v>2569</v>
      </c>
      <c r="L41" s="2585"/>
      <c r="M41" s="2585"/>
      <c r="N41" s="2585"/>
      <c r="O41" s="2585"/>
      <c r="Q41" s="2364" t="s">
        <v>2570</v>
      </c>
    </row>
    <row r="42" spans="1:17" ht="18.75" customHeight="1" x14ac:dyDescent="0.2">
      <c r="A42" s="4" t="str">
        <f>AgyIdx</f>
        <v>01</v>
      </c>
      <c r="B42" s="2934"/>
      <c r="C42" s="2936"/>
      <c r="D42" s="2936"/>
      <c r="E42" s="2936"/>
      <c r="F42" s="2936"/>
      <c r="G42" s="2936"/>
      <c r="H42" s="2936"/>
      <c r="I42" s="2936"/>
      <c r="K42" s="2933"/>
      <c r="L42" s="2935"/>
      <c r="M42" s="2935"/>
      <c r="N42" s="2935"/>
      <c r="O42" s="2935"/>
      <c r="Q42" s="718"/>
    </row>
    <row r="43" spans="1:17" ht="15.75" customHeight="1" x14ac:dyDescent="0.2">
      <c r="A43" s="4" t="str">
        <f>AgyIdx</f>
        <v>01</v>
      </c>
      <c r="B43" s="2934"/>
      <c r="C43" s="2936"/>
      <c r="D43" s="2936"/>
      <c r="E43" s="2936"/>
      <c r="F43" s="2936"/>
      <c r="G43" s="2936"/>
      <c r="H43" s="2936"/>
      <c r="I43" s="2936"/>
      <c r="K43" s="2933"/>
      <c r="L43" s="2935"/>
      <c r="M43" s="2935"/>
      <c r="N43" s="2935"/>
      <c r="O43" s="2935"/>
      <c r="Q43" s="718"/>
    </row>
    <row r="44" spans="1:17" ht="15.75" customHeight="1" x14ac:dyDescent="0.2">
      <c r="A44" s="4" t="str">
        <f>AgyIdx</f>
        <v>01</v>
      </c>
      <c r="B44" s="2934"/>
      <c r="C44" s="2936"/>
      <c r="D44" s="2936"/>
      <c r="E44" s="2936"/>
      <c r="F44" s="2936"/>
      <c r="G44" s="2936"/>
      <c r="H44" s="2936"/>
      <c r="I44" s="2936"/>
      <c r="K44" s="2933"/>
      <c r="L44" s="2935"/>
      <c r="M44" s="2935"/>
      <c r="N44" s="2935"/>
      <c r="O44" s="2935"/>
      <c r="Q44" s="718"/>
    </row>
    <row r="45" spans="1:17" ht="9" customHeight="1" x14ac:dyDescent="0.2"/>
    <row r="46" spans="1:17" ht="9" customHeight="1" x14ac:dyDescent="0.2"/>
  </sheetData>
  <sheetProtection algorithmName="SHA-512" hashValue="rPpOipu8XeRMwbyHtW1GNmM08mQTBCTNFDIRD3Qik6FKJdWSNTjbAruAu8pJYonGZkPeBBluhJQIujauowtfIg==" saltValue="jSNfkWck1WQL17jlPfuTrg==" spinCount="100000" sheet="1" objects="1" scenarios="1" autoFilter="0"/>
  <customSheetViews>
    <customSheetView guid="{9FCFC836-1CA5-48BF-958D-24D2EA94B219}" showGridLines="0" fitToPage="1">
      <selection activeCell="B1" sqref="B1:R1"/>
      <pageMargins left="0" right="0" top="0" bottom="0" header="0" footer="0"/>
      <printOptions horizontalCentered="1"/>
      <pageSetup scale="96" orientation="portrait" r:id="rId1"/>
      <headerFooter alignWithMargins="0">
        <oddHeader xml:space="preserve"> </oddHeader>
        <oddFooter>&amp;R&amp;A</oddFooter>
      </headerFooter>
    </customSheetView>
    <customSheetView guid="{B08879A4-635B-4C39-9937-AC7883D562FC}" showGridLines="0" fitToPage="1">
      <selection activeCell="B1" sqref="B1:R1"/>
      <pageMargins left="0" right="0" top="0" bottom="0" header="0" footer="0"/>
      <printOptions horizontalCentered="1"/>
      <pageSetup scale="96" orientation="portrait" r:id="rId2"/>
      <headerFooter alignWithMargins="0">
        <oddHeader xml:space="preserve"> </oddHeader>
        <oddFooter>&amp;R&amp;A</oddFooter>
      </headerFooter>
    </customSheetView>
  </customSheetViews>
  <mergeCells count="48">
    <mergeCell ref="B2:R2"/>
    <mergeCell ref="B3:R3"/>
    <mergeCell ref="B4:R4"/>
    <mergeCell ref="M7:Q7"/>
    <mergeCell ref="S1:S3"/>
    <mergeCell ref="B5:Q5"/>
    <mergeCell ref="B1:R1"/>
    <mergeCell ref="K28:O28"/>
    <mergeCell ref="K27:O27"/>
    <mergeCell ref="K43:O43"/>
    <mergeCell ref="B22:I22"/>
    <mergeCell ref="K32:O32"/>
    <mergeCell ref="K33:O33"/>
    <mergeCell ref="B42:I42"/>
    <mergeCell ref="K42:O42"/>
    <mergeCell ref="B28:I28"/>
    <mergeCell ref="K34:O34"/>
    <mergeCell ref="B24:I24"/>
    <mergeCell ref="K24:O24"/>
    <mergeCell ref="B33:I33"/>
    <mergeCell ref="B30:Q30"/>
    <mergeCell ref="B32:I32"/>
    <mergeCell ref="K41:O41"/>
    <mergeCell ref="K44:O44"/>
    <mergeCell ref="B39:Q39"/>
    <mergeCell ref="B41:I41"/>
    <mergeCell ref="B34:I34"/>
    <mergeCell ref="B44:I44"/>
    <mergeCell ref="B35:I35"/>
    <mergeCell ref="K37:O37"/>
    <mergeCell ref="B43:I43"/>
    <mergeCell ref="B37:I37"/>
    <mergeCell ref="K35:O35"/>
    <mergeCell ref="B36:I36"/>
    <mergeCell ref="K36:O36"/>
    <mergeCell ref="K26:O26"/>
    <mergeCell ref="B27:I27"/>
    <mergeCell ref="K25:O25"/>
    <mergeCell ref="B25:I25"/>
    <mergeCell ref="M8:Q8"/>
    <mergeCell ref="M9:Q9"/>
    <mergeCell ref="E9:G9"/>
    <mergeCell ref="K22:O22"/>
    <mergeCell ref="K23:O23"/>
    <mergeCell ref="B20:Q20"/>
    <mergeCell ref="B23:I23"/>
    <mergeCell ref="B26:I26"/>
    <mergeCell ref="M10:Q10"/>
  </mergeCells>
  <conditionalFormatting sqref="S1:S3">
    <cfRule type="cellIs" dxfId="18" priority="2" stopIfTrue="1" operator="equal">
      <formula>"na"</formula>
    </cfRule>
  </conditionalFormatting>
  <conditionalFormatting sqref="U1:U3">
    <cfRule type="cellIs" dxfId="17" priority="1" stopIfTrue="1" operator="equal">
      <formula>"na"</formula>
    </cfRule>
  </conditionalFormatting>
  <hyperlinks>
    <hyperlink ref="B1:R1" location="Index!A1" display="Index!A1" xr:uid="{00000000-0004-0000-4700-000000000000}"/>
  </hyperlinks>
  <pageMargins left="0.6" right="0.6" top="0.5" bottom="0.5" header="0.3" footer="0.3"/>
  <pageSetup scale="85"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0"/>
  <dimension ref="A1:U54"/>
  <sheetViews>
    <sheetView showGridLines="0" topLeftCell="B1" zoomScaleNormal="100" workbookViewId="0"/>
  </sheetViews>
  <sheetFormatPr defaultColWidth="9.42578125" defaultRowHeight="12.75" x14ac:dyDescent="0.2"/>
  <cols>
    <col min="1" max="1" width="9.42578125" style="4" hidden="1" customWidth="1"/>
    <col min="2" max="2" width="6.5703125" style="4" customWidth="1"/>
    <col min="3" max="3" width="1.5703125" style="4" customWidth="1"/>
    <col min="4" max="4" width="6.42578125" style="4" customWidth="1"/>
    <col min="5" max="5" width="8.5703125" style="4" customWidth="1"/>
    <col min="6" max="6" width="1.5703125" style="4" customWidth="1"/>
    <col min="7" max="7" width="5.5703125" style="4" customWidth="1"/>
    <col min="8" max="8" width="0.5703125" style="4" customWidth="1"/>
    <col min="9" max="9" width="4.5703125" style="4" hidden="1" customWidth="1"/>
    <col min="10" max="10" width="0.5703125" style="4" customWidth="1"/>
    <col min="11" max="11" width="13.42578125" style="4" customWidth="1"/>
    <col min="12" max="12" width="2.5703125" style="4" customWidth="1"/>
    <col min="13" max="13" width="12.5703125" style="4" customWidth="1"/>
    <col min="14" max="14" width="1.42578125" style="4" customWidth="1"/>
    <col min="15" max="15" width="13.42578125" style="4" customWidth="1"/>
    <col min="16" max="16" width="1.42578125" style="4" customWidth="1"/>
    <col min="17" max="17" width="12.5703125" style="4" customWidth="1"/>
    <col min="18" max="18" width="0.5703125" style="4" customWidth="1"/>
    <col min="19" max="19" width="4.5703125" style="4" customWidth="1"/>
    <col min="20" max="20" width="8.42578125" style="4" customWidth="1"/>
    <col min="21" max="21" width="10.5703125" style="4" bestFit="1" customWidth="1"/>
    <col min="22" max="22" width="2.42578125" style="4" customWidth="1"/>
    <col min="23" max="23" width="9.42578125" style="4"/>
    <col min="24" max="24" width="2.42578125" style="4" customWidth="1"/>
    <col min="25" max="25" width="11.5703125" style="4" customWidth="1"/>
    <col min="26" max="26" width="0.42578125" style="4" customWidth="1"/>
    <col min="27" max="16384" width="9.42578125" style="4"/>
  </cols>
  <sheetData>
    <row r="1" spans="1:21" ht="15" customHeight="1" x14ac:dyDescent="0.25">
      <c r="A1" s="4" t="str">
        <f t="shared" ref="A1:A35" si="0">AgyIdx</f>
        <v>01</v>
      </c>
      <c r="B1" s="2455" t="str">
        <f>+Index!$A$1</f>
        <v xml:space="preserve">                                                               Office of the State Controller                                                                </v>
      </c>
      <c r="C1" s="2455"/>
      <c r="D1" s="2455"/>
      <c r="E1" s="2455"/>
      <c r="F1" s="2455"/>
      <c r="G1" s="2455"/>
      <c r="H1" s="2455"/>
      <c r="I1" s="2455"/>
      <c r="J1" s="2455"/>
      <c r="K1" s="2455"/>
      <c r="L1" s="2455"/>
      <c r="M1" s="2455"/>
      <c r="N1" s="2455"/>
      <c r="O1" s="2455"/>
      <c r="P1" s="2455"/>
      <c r="Q1" s="2455"/>
      <c r="R1" s="2455"/>
      <c r="S1" s="2520" t="str">
        <f>IF(Index!$B$102="na","NA","")</f>
        <v/>
      </c>
      <c r="U1" s="2520"/>
    </row>
    <row r="2" spans="1:21" ht="15" customHeight="1" x14ac:dyDescent="0.25">
      <c r="A2" s="4" t="str">
        <f t="shared" si="0"/>
        <v>01</v>
      </c>
      <c r="B2" s="2901" t="str">
        <f>+Index!$A$2</f>
        <v>2023 ACFR Worksheets</v>
      </c>
      <c r="C2" s="2901"/>
      <c r="D2" s="2901"/>
      <c r="E2" s="2901"/>
      <c r="F2" s="2901"/>
      <c r="G2" s="2901"/>
      <c r="H2" s="2901"/>
      <c r="I2" s="2901"/>
      <c r="J2" s="2901"/>
      <c r="K2" s="2901"/>
      <c r="L2" s="2901"/>
      <c r="M2" s="2901"/>
      <c r="N2" s="2901"/>
      <c r="O2" s="2901"/>
      <c r="P2" s="2901"/>
      <c r="Q2" s="2901"/>
      <c r="R2" s="2901"/>
      <c r="S2" s="2520"/>
      <c r="U2" s="2520"/>
    </row>
    <row r="3" spans="1:21" ht="15" customHeight="1" x14ac:dyDescent="0.25">
      <c r="A3" s="4" t="str">
        <f t="shared" si="0"/>
        <v>01</v>
      </c>
      <c r="B3" s="2901" t="s">
        <v>2194</v>
      </c>
      <c r="C3" s="2901"/>
      <c r="D3" s="2901"/>
      <c r="E3" s="2901"/>
      <c r="F3" s="2901"/>
      <c r="G3" s="2901"/>
      <c r="H3" s="2901"/>
      <c r="I3" s="2901"/>
      <c r="J3" s="2901"/>
      <c r="K3" s="2901"/>
      <c r="L3" s="2901"/>
      <c r="M3" s="2901"/>
      <c r="N3" s="2901"/>
      <c r="O3" s="2901"/>
      <c r="P3" s="2901"/>
      <c r="Q3" s="2901"/>
      <c r="R3" s="2901"/>
      <c r="S3" s="2520"/>
      <c r="U3" s="2520"/>
    </row>
    <row r="4" spans="1:21" ht="15" customHeight="1" x14ac:dyDescent="0.25">
      <c r="A4" s="4" t="str">
        <f t="shared" si="0"/>
        <v>01</v>
      </c>
      <c r="B4" s="2901" t="s">
        <v>2573</v>
      </c>
      <c r="C4" s="2901"/>
      <c r="D4" s="2901"/>
      <c r="E4" s="2901"/>
      <c r="F4" s="2901"/>
      <c r="G4" s="2901"/>
      <c r="H4" s="2901"/>
      <c r="I4" s="2901"/>
      <c r="J4" s="2901"/>
      <c r="K4" s="2901"/>
      <c r="L4" s="2901"/>
      <c r="M4" s="2901"/>
      <c r="N4" s="2901"/>
      <c r="O4" s="2901"/>
      <c r="P4" s="2901"/>
      <c r="Q4" s="2901"/>
      <c r="R4" s="2901"/>
    </row>
    <row r="5" spans="1:21" ht="15" customHeight="1" x14ac:dyDescent="0.25">
      <c r="B5" s="2943" t="s">
        <v>2574</v>
      </c>
      <c r="C5" s="2943"/>
      <c r="D5" s="2943"/>
      <c r="E5" s="2943"/>
      <c r="F5" s="2943"/>
      <c r="G5" s="2943"/>
      <c r="H5" s="2943"/>
      <c r="I5" s="2943"/>
      <c r="J5" s="2943"/>
      <c r="K5" s="2943"/>
      <c r="L5" s="2943"/>
      <c r="M5" s="2943"/>
      <c r="N5" s="2943"/>
      <c r="O5" s="2943"/>
      <c r="P5" s="2943"/>
      <c r="Q5" s="2943"/>
      <c r="R5" s="2352"/>
    </row>
    <row r="6" spans="1:21" ht="15" customHeight="1" x14ac:dyDescent="0.2">
      <c r="A6" s="4" t="str">
        <f t="shared" si="0"/>
        <v>01</v>
      </c>
      <c r="B6" s="2943"/>
      <c r="C6" s="2943"/>
      <c r="D6" s="2943"/>
      <c r="E6" s="2943"/>
      <c r="F6" s="2943"/>
      <c r="G6" s="2943"/>
      <c r="H6" s="2943"/>
      <c r="I6" s="2943"/>
      <c r="J6" s="2943"/>
      <c r="K6" s="2943"/>
      <c r="L6" s="2943"/>
      <c r="M6" s="2943"/>
      <c r="N6" s="2943"/>
      <c r="O6" s="2943"/>
      <c r="P6" s="2943"/>
      <c r="Q6" s="2943"/>
    </row>
    <row r="7" spans="1:21" ht="15" customHeight="1" x14ac:dyDescent="0.2">
      <c r="D7" s="1051"/>
    </row>
    <row r="8" spans="1:21" ht="15" customHeight="1" x14ac:dyDescent="0.2">
      <c r="A8" s="4" t="str">
        <f t="shared" si="0"/>
        <v>01</v>
      </c>
      <c r="E8" s="434"/>
      <c r="L8" s="5" t="s">
        <v>317</v>
      </c>
      <c r="M8" s="2902" t="str">
        <f>+Index!$E$10</f>
        <v>01</v>
      </c>
      <c r="N8" s="2902"/>
      <c r="O8" s="2902"/>
      <c r="P8" s="2902"/>
      <c r="Q8" s="2902"/>
    </row>
    <row r="9" spans="1:21" ht="15" customHeight="1" x14ac:dyDescent="0.2">
      <c r="A9" s="4" t="str">
        <f t="shared" si="0"/>
        <v>01</v>
      </c>
      <c r="L9" s="5" t="s">
        <v>318</v>
      </c>
      <c r="M9" s="2902" t="str">
        <f>+Index!$E$11</f>
        <v>North Carolina General Assembly</v>
      </c>
      <c r="N9" s="2902"/>
      <c r="O9" s="2902"/>
      <c r="P9" s="2902"/>
      <c r="Q9" s="2902"/>
    </row>
    <row r="10" spans="1:21" ht="15" customHeight="1" x14ac:dyDescent="0.2">
      <c r="A10" s="4" t="str">
        <f t="shared" si="0"/>
        <v>01</v>
      </c>
      <c r="B10" s="4" t="s">
        <v>568</v>
      </c>
      <c r="E10" s="2903" t="s">
        <v>754</v>
      </c>
      <c r="F10" s="2903"/>
      <c r="G10" s="2903"/>
      <c r="H10" s="172"/>
      <c r="I10" s="172"/>
      <c r="L10" s="5" t="s">
        <v>319</v>
      </c>
      <c r="M10" s="2906" t="str">
        <f>CONCATENATE(Index!$E$12," ",Index!$E$14)</f>
        <v xml:space="preserve"> </v>
      </c>
      <c r="N10" s="2906"/>
      <c r="O10" s="2906"/>
      <c r="P10" s="2906"/>
      <c r="Q10" s="2906"/>
    </row>
    <row r="11" spans="1:21" ht="15" customHeight="1" x14ac:dyDescent="0.2">
      <c r="A11" s="4" t="str">
        <f t="shared" si="0"/>
        <v>01</v>
      </c>
      <c r="E11" s="434"/>
      <c r="F11" s="434"/>
      <c r="G11" s="434"/>
      <c r="H11" s="172"/>
      <c r="I11" s="172"/>
      <c r="L11" s="5" t="s">
        <v>71</v>
      </c>
      <c r="M11" s="2907">
        <f>+Index!$E$13</f>
        <v>0</v>
      </c>
      <c r="N11" s="2907"/>
      <c r="O11" s="2907"/>
      <c r="P11" s="2907"/>
      <c r="Q11" s="2907"/>
    </row>
    <row r="12" spans="1:21" ht="5.25" customHeight="1" thickBot="1" x14ac:dyDescent="0.25">
      <c r="A12" s="4" t="str">
        <f t="shared" si="0"/>
        <v>01</v>
      </c>
      <c r="B12" s="96"/>
      <c r="C12" s="96"/>
      <c r="D12" s="96"/>
      <c r="E12" s="96"/>
      <c r="F12" s="96"/>
      <c r="G12" s="96"/>
      <c r="H12" s="96"/>
      <c r="I12" s="96"/>
      <c r="J12" s="96"/>
      <c r="K12" s="96"/>
      <c r="L12" s="96"/>
      <c r="M12" s="96"/>
      <c r="N12" s="96"/>
      <c r="O12" s="96"/>
      <c r="P12" s="96"/>
      <c r="Q12" s="96"/>
    </row>
    <row r="13" spans="1:21" ht="3" customHeight="1" x14ac:dyDescent="0.2">
      <c r="A13" s="4" t="str">
        <f t="shared" si="0"/>
        <v>01</v>
      </c>
    </row>
    <row r="14" spans="1:21" ht="10.5" customHeight="1" x14ac:dyDescent="0.25">
      <c r="A14" s="4" t="str">
        <f t="shared" si="0"/>
        <v>01</v>
      </c>
      <c r="B14" s="1033"/>
      <c r="C14" s="1033"/>
      <c r="D14" s="1033"/>
      <c r="E14" s="1033"/>
      <c r="F14" s="1033"/>
      <c r="G14" s="1033"/>
      <c r="H14" s="1033"/>
      <c r="I14" s="1033"/>
      <c r="J14" s="1033"/>
      <c r="K14" s="1033"/>
      <c r="L14" s="173"/>
      <c r="M14" s="180"/>
      <c r="N14" s="180"/>
      <c r="O14" s="180"/>
      <c r="P14" s="180"/>
      <c r="Q14" s="180"/>
      <c r="R14" s="97"/>
      <c r="S14" s="97"/>
    </row>
    <row r="15" spans="1:21" ht="13.35" customHeight="1" x14ac:dyDescent="0.25">
      <c r="A15" s="4" t="str">
        <f t="shared" si="0"/>
        <v>01</v>
      </c>
      <c r="B15" s="1033"/>
      <c r="C15" s="1033"/>
      <c r="D15" s="1033"/>
      <c r="E15" s="1033"/>
      <c r="F15" s="1033"/>
      <c r="G15" s="1033"/>
      <c r="H15" s="1033"/>
      <c r="I15" s="1033"/>
      <c r="J15" s="1033"/>
      <c r="R15" s="97"/>
      <c r="S15" s="97"/>
    </row>
    <row r="16" spans="1:21" ht="12" customHeight="1" x14ac:dyDescent="0.25">
      <c r="A16" s="4" t="str">
        <f t="shared" si="0"/>
        <v>01</v>
      </c>
      <c r="B16" s="1033"/>
      <c r="C16" s="1033"/>
      <c r="D16" s="1033"/>
      <c r="E16" s="1033"/>
      <c r="F16" s="1033"/>
      <c r="G16" s="1033"/>
      <c r="H16" s="1033"/>
      <c r="I16" s="1033"/>
      <c r="J16" s="1033"/>
      <c r="K16" s="2944" t="s">
        <v>2575</v>
      </c>
      <c r="L16" s="2944"/>
      <c r="M16" s="2944"/>
      <c r="N16" s="2944"/>
      <c r="O16" s="2944"/>
      <c r="P16" s="2944"/>
      <c r="Q16" s="2944"/>
      <c r="R16" s="97"/>
      <c r="S16" s="97"/>
    </row>
    <row r="17" spans="1:21" ht="12" customHeight="1" x14ac:dyDescent="0.25">
      <c r="A17" s="4" t="str">
        <f t="shared" si="0"/>
        <v>01</v>
      </c>
      <c r="B17" s="1033"/>
      <c r="C17" s="1033"/>
      <c r="D17" s="1033"/>
      <c r="E17" s="1033"/>
      <c r="F17" s="1033"/>
      <c r="G17" s="1033"/>
      <c r="H17" s="1033"/>
      <c r="I17" s="1033"/>
      <c r="J17" s="1033"/>
      <c r="K17" s="1035"/>
      <c r="L17" s="1034"/>
      <c r="M17" s="1035"/>
      <c r="N17" s="1036"/>
      <c r="O17" s="1035" t="s">
        <v>2576</v>
      </c>
      <c r="P17" s="1036"/>
      <c r="Q17" s="1035" t="s">
        <v>2576</v>
      </c>
      <c r="R17" s="97"/>
      <c r="S17" s="97"/>
    </row>
    <row r="18" spans="1:21" ht="12" customHeight="1" x14ac:dyDescent="0.25">
      <c r="A18" s="4" t="str">
        <f t="shared" si="0"/>
        <v>01</v>
      </c>
      <c r="B18" s="1033"/>
      <c r="C18" s="1035"/>
      <c r="D18" s="1033"/>
      <c r="E18" s="173" t="s">
        <v>50</v>
      </c>
      <c r="F18" s="173"/>
      <c r="G18" s="1033"/>
      <c r="H18" s="1033"/>
      <c r="I18" s="1033"/>
      <c r="J18" s="1033"/>
      <c r="K18" s="1035"/>
      <c r="L18" s="1033"/>
      <c r="M18" s="1035" t="s">
        <v>2577</v>
      </c>
      <c r="N18" s="1036"/>
      <c r="O18" s="1035" t="s">
        <v>2578</v>
      </c>
      <c r="P18" s="1036"/>
      <c r="Q18" s="1035" t="s">
        <v>2579</v>
      </c>
      <c r="R18" s="97"/>
      <c r="S18" s="97"/>
      <c r="U18" s="673"/>
    </row>
    <row r="19" spans="1:21" ht="12" customHeight="1" x14ac:dyDescent="0.25">
      <c r="A19" s="4" t="str">
        <f t="shared" si="0"/>
        <v>01</v>
      </c>
      <c r="B19" s="175" t="s">
        <v>2205</v>
      </c>
      <c r="C19" s="1038"/>
      <c r="D19" s="1038"/>
      <c r="E19" s="1038"/>
      <c r="F19" s="175"/>
      <c r="G19" s="1038"/>
      <c r="H19" s="1033"/>
      <c r="I19" s="1033"/>
      <c r="J19" s="1033"/>
      <c r="K19" s="1040" t="s">
        <v>1341</v>
      </c>
      <c r="L19" s="1033"/>
      <c r="M19" s="1040" t="s">
        <v>2580</v>
      </c>
      <c r="N19" s="176"/>
      <c r="O19" s="1040" t="s">
        <v>2581</v>
      </c>
      <c r="P19" s="176"/>
      <c r="Q19" s="1040" t="s">
        <v>2582</v>
      </c>
      <c r="R19" s="97"/>
      <c r="S19" s="97"/>
      <c r="U19" s="673"/>
    </row>
    <row r="20" spans="1:21" ht="12" customHeight="1" x14ac:dyDescent="0.2">
      <c r="A20" s="4" t="str">
        <f t="shared" si="0"/>
        <v>01</v>
      </c>
      <c r="B20" s="97"/>
      <c r="C20" s="97"/>
      <c r="D20" s="97"/>
      <c r="E20" s="97"/>
      <c r="F20" s="97"/>
      <c r="G20" s="97"/>
      <c r="H20" s="97"/>
      <c r="I20" s="1041"/>
      <c r="J20" s="1041"/>
      <c r="K20" s="1042"/>
      <c r="L20" s="1042"/>
      <c r="M20" s="1042"/>
      <c r="N20" s="1042"/>
      <c r="O20" s="1042">
        <v>1</v>
      </c>
      <c r="P20" s="97"/>
      <c r="Q20" s="1042">
        <v>2</v>
      </c>
      <c r="R20" s="1042"/>
      <c r="S20" s="97"/>
    </row>
    <row r="21" spans="1:21" ht="12" customHeight="1" x14ac:dyDescent="0.25">
      <c r="A21" s="4" t="str">
        <f t="shared" si="0"/>
        <v>01</v>
      </c>
      <c r="B21" s="97" t="s">
        <v>2266</v>
      </c>
      <c r="C21" s="777"/>
      <c r="D21" s="97"/>
      <c r="E21" s="97"/>
      <c r="F21" s="97"/>
      <c r="G21" s="97"/>
      <c r="H21" s="97"/>
      <c r="I21" s="1044" t="s">
        <v>2267</v>
      </c>
      <c r="J21" s="778"/>
      <c r="K21" s="870"/>
      <c r="L21" s="1045"/>
      <c r="M21" s="870"/>
      <c r="N21" s="1045"/>
      <c r="O21" s="1048"/>
      <c r="P21" s="1052"/>
      <c r="Q21" s="1048"/>
      <c r="R21" s="1043"/>
      <c r="S21" s="339" t="s">
        <v>535</v>
      </c>
      <c r="T21" s="340"/>
      <c r="U21" s="672"/>
    </row>
    <row r="22" spans="1:21" ht="12" customHeight="1" x14ac:dyDescent="0.25">
      <c r="A22" s="4" t="str">
        <f t="shared" si="0"/>
        <v>01</v>
      </c>
      <c r="B22" s="97" t="s">
        <v>2268</v>
      </c>
      <c r="C22" s="777"/>
      <c r="D22" s="97"/>
      <c r="E22" s="97"/>
      <c r="F22" s="97"/>
      <c r="G22" s="97"/>
      <c r="H22" s="97"/>
      <c r="I22" s="1044" t="s">
        <v>2269</v>
      </c>
      <c r="J22" s="778"/>
      <c r="K22" s="870"/>
      <c r="L22" s="1045"/>
      <c r="M22" s="870"/>
      <c r="N22" s="1045"/>
      <c r="O22" s="1048"/>
      <c r="P22" s="1052"/>
      <c r="Q22" s="1048"/>
      <c r="R22" s="1043"/>
      <c r="S22" s="339" t="s">
        <v>535</v>
      </c>
      <c r="T22" s="340"/>
      <c r="U22" s="672"/>
    </row>
    <row r="23" spans="1:21" ht="12" customHeight="1" x14ac:dyDescent="0.25">
      <c r="A23" s="4" t="str">
        <f t="shared" si="0"/>
        <v>01</v>
      </c>
      <c r="B23" s="97" t="s">
        <v>2270</v>
      </c>
      <c r="C23" s="777"/>
      <c r="D23" s="97"/>
      <c r="E23" s="97"/>
      <c r="F23" s="97"/>
      <c r="G23" s="97"/>
      <c r="H23" s="97"/>
      <c r="I23" s="1044" t="s">
        <v>2271</v>
      </c>
      <c r="J23" s="778"/>
      <c r="K23" s="870"/>
      <c r="L23" s="1045"/>
      <c r="M23" s="870"/>
      <c r="N23" s="1045"/>
      <c r="O23" s="1048"/>
      <c r="P23" s="1052"/>
      <c r="Q23" s="1048"/>
      <c r="R23" s="1043"/>
      <c r="S23" s="339" t="s">
        <v>535</v>
      </c>
      <c r="T23" s="340"/>
      <c r="U23" s="672"/>
    </row>
    <row r="24" spans="1:21" ht="12" customHeight="1" x14ac:dyDescent="0.25">
      <c r="A24" s="4" t="str">
        <f t="shared" si="0"/>
        <v>01</v>
      </c>
      <c r="B24" s="97" t="s">
        <v>2272</v>
      </c>
      <c r="C24" s="777"/>
      <c r="D24" s="97"/>
      <c r="E24" s="97"/>
      <c r="F24" s="97"/>
      <c r="G24" s="97"/>
      <c r="H24" s="97"/>
      <c r="I24" s="1044" t="s">
        <v>2273</v>
      </c>
      <c r="J24" s="778"/>
      <c r="K24" s="870"/>
      <c r="L24" s="1045"/>
      <c r="M24" s="870"/>
      <c r="N24" s="1045"/>
      <c r="O24" s="1048"/>
      <c r="P24" s="1052"/>
      <c r="Q24" s="1048"/>
      <c r="R24" s="1043"/>
      <c r="S24" s="339" t="s">
        <v>535</v>
      </c>
      <c r="T24" s="340"/>
      <c r="U24" s="672"/>
    </row>
    <row r="25" spans="1:21" ht="12" customHeight="1" x14ac:dyDescent="0.25">
      <c r="A25" s="4" t="str">
        <f t="shared" si="0"/>
        <v>01</v>
      </c>
      <c r="B25" s="97" t="s">
        <v>2274</v>
      </c>
      <c r="C25" s="777"/>
      <c r="D25" s="97"/>
      <c r="E25" s="97"/>
      <c r="F25" s="97"/>
      <c r="G25" s="97"/>
      <c r="H25" s="97"/>
      <c r="I25" s="1044" t="s">
        <v>2275</v>
      </c>
      <c r="J25" s="778"/>
      <c r="K25" s="870"/>
      <c r="L25" s="1045"/>
      <c r="M25" s="870"/>
      <c r="N25" s="1045"/>
      <c r="O25" s="1048"/>
      <c r="P25" s="1052"/>
      <c r="Q25" s="1048"/>
      <c r="R25" s="1043"/>
      <c r="S25" s="339" t="s">
        <v>535</v>
      </c>
      <c r="T25" s="340"/>
      <c r="U25" s="672"/>
    </row>
    <row r="26" spans="1:21" ht="12" customHeight="1" x14ac:dyDescent="0.25">
      <c r="A26" s="4" t="str">
        <f t="shared" si="0"/>
        <v>01</v>
      </c>
      <c r="B26" s="97" t="s">
        <v>1361</v>
      </c>
      <c r="C26" s="2900"/>
      <c r="D26" s="2900"/>
      <c r="E26" s="2900"/>
      <c r="F26" s="2900"/>
      <c r="G26" s="2900"/>
      <c r="H26" s="97"/>
      <c r="I26" s="1044" t="s">
        <v>2281</v>
      </c>
      <c r="J26" s="778"/>
      <c r="K26" s="870"/>
      <c r="L26" s="1045"/>
      <c r="M26" s="870"/>
      <c r="N26" s="1045"/>
      <c r="O26" s="1048"/>
      <c r="P26" s="1052"/>
      <c r="Q26" s="1048"/>
      <c r="R26" s="1043"/>
      <c r="S26" s="339" t="s">
        <v>535</v>
      </c>
      <c r="T26" s="340"/>
      <c r="U26" s="672"/>
    </row>
    <row r="27" spans="1:21" ht="12" customHeight="1" x14ac:dyDescent="0.25">
      <c r="B27" s="97" t="s">
        <v>1361</v>
      </c>
      <c r="C27" s="2351"/>
      <c r="D27" s="2351"/>
      <c r="E27" s="2351"/>
      <c r="F27" s="2351"/>
      <c r="G27" s="2351"/>
      <c r="H27" s="97"/>
      <c r="I27" s="1044"/>
      <c r="J27" s="778"/>
      <c r="K27" s="870"/>
      <c r="L27" s="1045"/>
      <c r="M27" s="870"/>
      <c r="N27" s="1045"/>
      <c r="O27" s="1048"/>
      <c r="P27" s="1052"/>
      <c r="Q27" s="1048"/>
      <c r="R27" s="1043"/>
      <c r="S27" s="339"/>
      <c r="T27" s="340"/>
      <c r="U27" s="672"/>
    </row>
    <row r="28" spans="1:21" ht="12" customHeight="1" x14ac:dyDescent="0.25">
      <c r="B28" s="97" t="s">
        <v>1361</v>
      </c>
      <c r="C28" s="2351"/>
      <c r="D28" s="2351"/>
      <c r="E28" s="2351"/>
      <c r="F28" s="2351"/>
      <c r="G28" s="2351"/>
      <c r="H28" s="97"/>
      <c r="I28" s="1044"/>
      <c r="J28" s="778"/>
      <c r="K28" s="870"/>
      <c r="L28" s="1045"/>
      <c r="M28" s="870"/>
      <c r="N28" s="1045"/>
      <c r="O28" s="1048"/>
      <c r="P28" s="1052"/>
      <c r="Q28" s="1048"/>
      <c r="R28" s="1043"/>
      <c r="S28" s="339"/>
      <c r="T28" s="340"/>
      <c r="U28" s="672"/>
    </row>
    <row r="29" spans="1:21" ht="12" customHeight="1" x14ac:dyDescent="0.25">
      <c r="B29" s="97" t="s">
        <v>1361</v>
      </c>
      <c r="C29" s="2351"/>
      <c r="D29" s="2351"/>
      <c r="E29" s="2351"/>
      <c r="F29" s="2351"/>
      <c r="G29" s="2351"/>
      <c r="H29" s="97"/>
      <c r="I29" s="1044"/>
      <c r="J29" s="778"/>
      <c r="K29" s="870"/>
      <c r="L29" s="1045"/>
      <c r="M29" s="870"/>
      <c r="N29" s="1045"/>
      <c r="O29" s="1048"/>
      <c r="P29" s="1052"/>
      <c r="Q29" s="1048"/>
      <c r="R29" s="1043"/>
      <c r="S29" s="339"/>
      <c r="T29" s="340"/>
      <c r="U29" s="672"/>
    </row>
    <row r="30" spans="1:21" ht="12" customHeight="1" x14ac:dyDescent="0.25">
      <c r="A30" s="4" t="str">
        <f t="shared" si="0"/>
        <v>01</v>
      </c>
      <c r="B30" s="97" t="s">
        <v>1361</v>
      </c>
      <c r="C30" s="2932"/>
      <c r="D30" s="2932"/>
      <c r="E30" s="2932"/>
      <c r="F30" s="2932"/>
      <c r="G30" s="2932"/>
      <c r="H30" s="97"/>
      <c r="I30" s="1044" t="s">
        <v>2281</v>
      </c>
      <c r="J30" s="778"/>
      <c r="K30" s="870"/>
      <c r="L30" s="1045"/>
      <c r="M30" s="870"/>
      <c r="N30" s="1045"/>
      <c r="O30" s="1048"/>
      <c r="P30" s="1052"/>
      <c r="Q30" s="1048"/>
      <c r="R30" s="1043"/>
      <c r="S30" s="339" t="s">
        <v>535</v>
      </c>
      <c r="T30" s="340"/>
      <c r="U30" s="672"/>
    </row>
    <row r="31" spans="1:21" ht="12" customHeight="1" x14ac:dyDescent="0.25">
      <c r="A31" s="4" t="str">
        <f t="shared" si="0"/>
        <v>01</v>
      </c>
      <c r="B31" s="97" t="s">
        <v>1361</v>
      </c>
      <c r="C31" s="2932"/>
      <c r="D31" s="2932"/>
      <c r="E31" s="2932"/>
      <c r="F31" s="2932"/>
      <c r="G31" s="2932"/>
      <c r="H31" s="97"/>
      <c r="I31" s="1044" t="s">
        <v>2283</v>
      </c>
      <c r="J31" s="778"/>
      <c r="K31" s="870"/>
      <c r="L31" s="1045"/>
      <c r="M31" s="870"/>
      <c r="N31" s="1045"/>
      <c r="O31" s="1048"/>
      <c r="P31" s="1052"/>
      <c r="Q31" s="1048"/>
      <c r="R31" s="1043"/>
      <c r="S31" s="339" t="s">
        <v>535</v>
      </c>
      <c r="T31" s="340"/>
      <c r="U31" s="672"/>
    </row>
    <row r="32" spans="1:21" ht="14.1" customHeight="1" thickBot="1" x14ac:dyDescent="0.3">
      <c r="A32" s="4" t="str">
        <f t="shared" si="0"/>
        <v>01</v>
      </c>
      <c r="B32" s="891" t="s">
        <v>2583</v>
      </c>
      <c r="C32" s="97"/>
      <c r="D32" s="97"/>
      <c r="E32" s="97"/>
      <c r="F32" s="97"/>
      <c r="G32" s="97"/>
      <c r="H32" s="97"/>
      <c r="I32" s="1044"/>
      <c r="J32" s="778"/>
      <c r="K32" s="1053">
        <f>SUM(K21:K31)</f>
        <v>0</v>
      </c>
      <c r="L32" s="1045"/>
      <c r="M32" s="1045"/>
      <c r="N32" s="1045"/>
      <c r="O32" s="1045"/>
      <c r="P32" s="1045"/>
      <c r="Q32" s="1045"/>
      <c r="R32" s="1043"/>
      <c r="S32" s="1054"/>
    </row>
    <row r="33" spans="1:19" ht="4.3499999999999996" customHeight="1" thickTop="1" x14ac:dyDescent="0.25">
      <c r="A33" s="4" t="str">
        <f t="shared" si="0"/>
        <v>01</v>
      </c>
      <c r="B33" s="97"/>
      <c r="C33" s="97"/>
      <c r="D33" s="97"/>
      <c r="E33" s="97"/>
      <c r="F33" s="97"/>
      <c r="G33" s="97"/>
      <c r="H33" s="97"/>
      <c r="I33" s="1044"/>
      <c r="J33" s="778"/>
      <c r="K33" s="1045"/>
      <c r="L33" s="671"/>
      <c r="M33" s="671"/>
      <c r="N33" s="671"/>
      <c r="O33" s="671"/>
      <c r="P33" s="671"/>
      <c r="Q33" s="671"/>
      <c r="R33" s="97"/>
      <c r="S33" s="97"/>
    </row>
    <row r="34" spans="1:19" ht="15" customHeight="1" x14ac:dyDescent="0.25">
      <c r="A34" s="4" t="str">
        <f t="shared" si="0"/>
        <v>01</v>
      </c>
      <c r="B34" s="177"/>
      <c r="C34" s="891"/>
      <c r="D34" s="97"/>
      <c r="E34" s="97"/>
      <c r="F34" s="97"/>
      <c r="G34" s="97"/>
      <c r="H34" s="97"/>
      <c r="I34" s="1044"/>
      <c r="J34" s="778"/>
      <c r="K34" s="1045"/>
      <c r="L34" s="671"/>
      <c r="M34" s="178"/>
      <c r="N34" s="671"/>
      <c r="O34" s="671"/>
      <c r="P34" s="671"/>
      <c r="Q34" s="671"/>
      <c r="R34" s="97"/>
      <c r="S34" s="97"/>
    </row>
    <row r="35" spans="1:19" ht="12.6" customHeight="1" x14ac:dyDescent="0.25">
      <c r="A35" s="4" t="str">
        <f t="shared" si="0"/>
        <v>01</v>
      </c>
      <c r="B35" s="97"/>
      <c r="C35" s="97"/>
      <c r="D35" s="97"/>
      <c r="E35" s="97"/>
      <c r="F35" s="97"/>
      <c r="G35" s="97"/>
      <c r="H35" s="97"/>
      <c r="I35" s="776"/>
      <c r="J35" s="1041"/>
      <c r="K35" s="1045"/>
      <c r="L35" s="671"/>
      <c r="M35" s="1047"/>
      <c r="N35" s="671"/>
      <c r="O35" s="671"/>
      <c r="P35" s="97"/>
      <c r="Q35" s="97"/>
      <c r="R35" s="97"/>
      <c r="S35" s="97"/>
    </row>
    <row r="36" spans="1:19" ht="12.6" customHeight="1" x14ac:dyDescent="0.25">
      <c r="A36" s="4" t="str">
        <f t="shared" ref="A36:A43" si="1">AgyIdx</f>
        <v>01</v>
      </c>
      <c r="B36" s="640" t="s">
        <v>2584</v>
      </c>
      <c r="C36" s="97"/>
      <c r="D36" s="97"/>
      <c r="E36" s="97"/>
      <c r="F36" s="97"/>
      <c r="G36" s="97"/>
      <c r="H36" s="97"/>
      <c r="I36" s="776"/>
      <c r="J36" s="1041"/>
      <c r="K36" s="1045"/>
      <c r="L36" s="671"/>
      <c r="M36" s="1047"/>
      <c r="N36" s="671"/>
      <c r="O36" s="671"/>
      <c r="P36" s="97"/>
      <c r="Q36" s="97"/>
      <c r="R36" s="97"/>
      <c r="S36" s="97"/>
    </row>
    <row r="37" spans="1:19" ht="12.6" customHeight="1" x14ac:dyDescent="0.25">
      <c r="A37" s="4" t="str">
        <f t="shared" si="1"/>
        <v>01</v>
      </c>
      <c r="B37" s="891"/>
      <c r="C37" s="891"/>
      <c r="D37" s="97"/>
      <c r="E37" s="97"/>
      <c r="F37" s="97"/>
      <c r="G37" s="97"/>
      <c r="H37" s="97"/>
      <c r="I37" s="776"/>
      <c r="J37" s="1041"/>
      <c r="K37" s="1045"/>
      <c r="L37" s="671"/>
      <c r="M37" s="1047"/>
      <c r="N37" s="671"/>
      <c r="O37" s="671"/>
      <c r="P37" s="97"/>
      <c r="Q37" s="97"/>
      <c r="R37" s="97"/>
      <c r="S37" s="97"/>
    </row>
    <row r="38" spans="1:19" ht="12.6" customHeight="1" x14ac:dyDescent="0.25">
      <c r="A38" s="4" t="str">
        <f t="shared" si="1"/>
        <v>01</v>
      </c>
      <c r="B38" s="640" t="s">
        <v>215</v>
      </c>
      <c r="C38" s="891"/>
      <c r="D38" s="97"/>
      <c r="E38" s="97"/>
      <c r="F38" s="97"/>
      <c r="G38" s="97"/>
      <c r="H38" s="97"/>
      <c r="I38" s="776"/>
      <c r="J38" s="1041"/>
      <c r="K38" s="1045"/>
      <c r="L38" s="671"/>
      <c r="M38" s="1045"/>
      <c r="N38" s="671"/>
      <c r="O38" s="671"/>
      <c r="P38" s="97"/>
      <c r="Q38" s="97"/>
      <c r="R38" s="97"/>
      <c r="S38" s="97"/>
    </row>
    <row r="39" spans="1:19" ht="12" customHeight="1" x14ac:dyDescent="0.25">
      <c r="A39" s="4" t="str">
        <f t="shared" si="1"/>
        <v>01</v>
      </c>
      <c r="B39" s="640" t="s">
        <v>2585</v>
      </c>
      <c r="C39" s="891"/>
      <c r="D39" s="891"/>
      <c r="E39" s="891"/>
      <c r="F39" s="891"/>
      <c r="G39" s="891"/>
      <c r="H39" s="97"/>
      <c r="I39" s="1050"/>
      <c r="J39" s="778"/>
      <c r="K39" s="1045"/>
      <c r="L39" s="776"/>
      <c r="M39" s="1045"/>
      <c r="N39" s="97"/>
      <c r="O39" s="891"/>
      <c r="P39" s="97"/>
      <c r="Q39" s="97"/>
      <c r="R39" s="97"/>
      <c r="S39" s="97"/>
    </row>
    <row r="40" spans="1:19" x14ac:dyDescent="0.2">
      <c r="A40" s="4" t="str">
        <f t="shared" si="1"/>
        <v>01</v>
      </c>
      <c r="B40" s="640" t="s">
        <v>2586</v>
      </c>
      <c r="C40" s="97"/>
      <c r="D40" s="97"/>
      <c r="E40" s="97"/>
      <c r="F40" s="97"/>
      <c r="G40" s="97"/>
      <c r="H40" s="97"/>
      <c r="I40" s="670"/>
      <c r="J40" s="97"/>
      <c r="K40" s="671"/>
      <c r="L40" s="97"/>
      <c r="M40" s="671"/>
      <c r="N40" s="671"/>
      <c r="O40" s="6"/>
      <c r="P40" s="671"/>
      <c r="Q40" s="671"/>
      <c r="R40" s="97"/>
      <c r="S40" s="97"/>
    </row>
    <row r="41" spans="1:19" ht="15" customHeight="1" x14ac:dyDescent="0.25">
      <c r="A41" s="4" t="str">
        <f t="shared" si="1"/>
        <v>01</v>
      </c>
      <c r="B41" s="181"/>
      <c r="C41" s="181"/>
      <c r="D41" s="181"/>
      <c r="E41" s="181"/>
      <c r="F41" s="181"/>
      <c r="G41" s="181"/>
      <c r="H41" s="181"/>
      <c r="I41" s="1050"/>
      <c r="K41" s="1045"/>
      <c r="L41" s="891"/>
      <c r="M41" s="97"/>
      <c r="N41" s="97"/>
      <c r="O41" s="182"/>
      <c r="P41" s="182"/>
      <c r="Q41" s="182"/>
    </row>
    <row r="42" spans="1:19" x14ac:dyDescent="0.2">
      <c r="A42" s="4" t="str">
        <f t="shared" si="1"/>
        <v>01</v>
      </c>
      <c r="I42" s="670"/>
      <c r="K42" s="671"/>
      <c r="L42" s="6"/>
      <c r="M42" s="6"/>
      <c r="N42" s="6"/>
      <c r="P42" s="6"/>
      <c r="Q42" s="6"/>
    </row>
    <row r="43" spans="1:19" x14ac:dyDescent="0.2">
      <c r="A43" s="4" t="str">
        <f t="shared" si="1"/>
        <v>01</v>
      </c>
    </row>
    <row r="44" spans="1:19" ht="15" x14ac:dyDescent="0.2">
      <c r="A44" s="445"/>
      <c r="B44" s="445"/>
      <c r="K44" s="445"/>
    </row>
    <row r="45" spans="1:19" ht="15" x14ac:dyDescent="0.2">
      <c r="A45" s="445"/>
      <c r="B45" s="445" t="s">
        <v>535</v>
      </c>
    </row>
    <row r="46" spans="1:19" ht="15" x14ac:dyDescent="0.2">
      <c r="A46" s="445"/>
      <c r="B46" s="445" t="s">
        <v>535</v>
      </c>
    </row>
    <row r="47" spans="1:19" ht="15" x14ac:dyDescent="0.2">
      <c r="A47" s="445"/>
      <c r="B47" s="445" t="s">
        <v>535</v>
      </c>
    </row>
    <row r="48" spans="1:19" ht="15" x14ac:dyDescent="0.2">
      <c r="A48" s="445"/>
      <c r="B48" s="445" t="s">
        <v>535</v>
      </c>
    </row>
    <row r="49" spans="1:2" ht="15" x14ac:dyDescent="0.2">
      <c r="A49" s="445"/>
      <c r="B49" s="445" t="s">
        <v>535</v>
      </c>
    </row>
    <row r="50" spans="1:2" ht="15" x14ac:dyDescent="0.2">
      <c r="A50" s="445"/>
      <c r="B50" s="445" t="s">
        <v>535</v>
      </c>
    </row>
    <row r="51" spans="1:2" ht="15" x14ac:dyDescent="0.2">
      <c r="A51" s="445"/>
      <c r="B51" s="445" t="s">
        <v>535</v>
      </c>
    </row>
    <row r="52" spans="1:2" ht="15" x14ac:dyDescent="0.2">
      <c r="A52" s="445"/>
      <c r="B52" s="445" t="s">
        <v>535</v>
      </c>
    </row>
    <row r="53" spans="1:2" ht="15" x14ac:dyDescent="0.2">
      <c r="A53" s="445"/>
      <c r="B53" s="445" t="s">
        <v>535</v>
      </c>
    </row>
    <row r="54" spans="1:2" ht="15" x14ac:dyDescent="0.2">
      <c r="A54" s="445"/>
      <c r="B54" s="445" t="s">
        <v>535</v>
      </c>
    </row>
  </sheetData>
  <sheetProtection algorithmName="SHA-512" hashValue="2SJIz5Ehhh6EzIgCq21nXPLk9tRYS3fnMr+WXAXBzUNAstbI9RAMEtRd7awR34l7II1r+Qt842BQXAsCd77pTA==" saltValue="TWZ6Q56UNF3OMnuBWbEz3Q==" spinCount="100000" sheet="1" objects="1" scenarios="1" autoFilter="0"/>
  <mergeCells count="16">
    <mergeCell ref="B4:R4"/>
    <mergeCell ref="B1:R1"/>
    <mergeCell ref="S1:S3"/>
    <mergeCell ref="U1:U3"/>
    <mergeCell ref="B2:R2"/>
    <mergeCell ref="B3:R3"/>
    <mergeCell ref="B5:Q6"/>
    <mergeCell ref="C26:G26"/>
    <mergeCell ref="C30:G30"/>
    <mergeCell ref="C31:G31"/>
    <mergeCell ref="K16:Q16"/>
    <mergeCell ref="M8:Q8"/>
    <mergeCell ref="M9:Q9"/>
    <mergeCell ref="E10:G10"/>
    <mergeCell ref="M10:Q10"/>
    <mergeCell ref="M11:Q11"/>
  </mergeCells>
  <conditionalFormatting sqref="S1:S3">
    <cfRule type="cellIs" dxfId="16" priority="2" stopIfTrue="1" operator="equal">
      <formula>"na"</formula>
    </cfRule>
  </conditionalFormatting>
  <conditionalFormatting sqref="U1:U3">
    <cfRule type="cellIs" dxfId="15" priority="1" stopIfTrue="1" operator="equal">
      <formula>"na"</formula>
    </cfRule>
  </conditionalFormatting>
  <hyperlinks>
    <hyperlink ref="B1:R1" location="Index!A1" display="Index!A1" xr:uid="{00000000-0004-0000-4800-000000000000}"/>
  </hyperlinks>
  <pageMargins left="0.6" right="0.6" top="0.5" bottom="0.5" header="0.3" footer="0.3"/>
  <pageSetup scale="85" orientation="portrait" r:id="rId1"/>
  <colBreaks count="1" manualBreakCount="1">
    <brk id="19"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1">
    <pageSetUpPr fitToPage="1"/>
  </sheetPr>
  <dimension ref="A1:J54"/>
  <sheetViews>
    <sheetView showGridLines="0" zoomScaleNormal="100" workbookViewId="0">
      <selection activeCell="B125" sqref="B125:E125"/>
    </sheetView>
  </sheetViews>
  <sheetFormatPr defaultColWidth="9.42578125" defaultRowHeight="12.75" x14ac:dyDescent="0.2"/>
  <cols>
    <col min="10" max="10" width="9.5703125" customWidth="1"/>
  </cols>
  <sheetData>
    <row r="1" spans="1:10" ht="15.75" x14ac:dyDescent="0.25">
      <c r="A1" s="2384" t="str">
        <f>+Index!$A$1</f>
        <v xml:space="preserve">                                                               Office of the State Controller                                                                </v>
      </c>
      <c r="B1" s="2384"/>
      <c r="C1" s="2384"/>
      <c r="D1" s="2384"/>
      <c r="E1" s="2384"/>
      <c r="F1" s="2384"/>
      <c r="G1" s="2384"/>
      <c r="H1" s="2384"/>
      <c r="I1" s="2384"/>
      <c r="J1" s="2520" t="str">
        <f>IF(Index!$B$103="na","NA","")</f>
        <v/>
      </c>
    </row>
    <row r="2" spans="1:10" ht="15.75" x14ac:dyDescent="0.25">
      <c r="A2" s="2452" t="str">
        <f>+Index!$A$2</f>
        <v>2023 ACFR Worksheets</v>
      </c>
      <c r="B2" s="2452"/>
      <c r="C2" s="2452"/>
      <c r="D2" s="2452"/>
      <c r="E2" s="2452"/>
      <c r="F2" s="2452"/>
      <c r="G2" s="2452"/>
      <c r="H2" s="2452"/>
      <c r="I2" s="2452"/>
      <c r="J2" s="2520"/>
    </row>
    <row r="3" spans="1:10" ht="15.75" x14ac:dyDescent="0.25">
      <c r="A3" s="2453" t="s">
        <v>2194</v>
      </c>
      <c r="B3" s="2453"/>
      <c r="C3" s="2453"/>
      <c r="D3" s="2453"/>
      <c r="E3" s="2453"/>
      <c r="F3" s="2453"/>
      <c r="G3" s="2453"/>
      <c r="H3" s="2453"/>
      <c r="I3" s="2453"/>
      <c r="J3" s="2520"/>
    </row>
    <row r="4" spans="1:10" ht="15.75" x14ac:dyDescent="0.25">
      <c r="A4" s="2453" t="s">
        <v>2587</v>
      </c>
      <c r="B4" s="2453"/>
      <c r="C4" s="2453"/>
      <c r="D4" s="2453"/>
      <c r="E4" s="2453"/>
      <c r="F4" s="2453"/>
      <c r="G4" s="2453"/>
      <c r="H4" s="2453"/>
      <c r="I4" s="2453"/>
    </row>
    <row r="5" spans="1:10" x14ac:dyDescent="0.2">
      <c r="B5" s="268"/>
      <c r="C5" s="268"/>
      <c r="D5" s="268"/>
      <c r="E5" s="48"/>
      <c r="F5" s="268"/>
      <c r="G5" s="268"/>
      <c r="H5" s="268"/>
      <c r="I5" s="263"/>
    </row>
    <row r="6" spans="1:10" x14ac:dyDescent="0.2">
      <c r="A6" s="1051" t="s">
        <v>2588</v>
      </c>
      <c r="B6" s="268"/>
      <c r="C6" s="268"/>
      <c r="D6" s="268"/>
      <c r="E6" s="48"/>
      <c r="F6" s="268"/>
      <c r="G6" s="268"/>
      <c r="H6" s="268"/>
      <c r="I6" s="263"/>
    </row>
    <row r="7" spans="1:10" x14ac:dyDescent="0.2">
      <c r="A7" s="1051" t="s">
        <v>2589</v>
      </c>
      <c r="B7" s="268"/>
      <c r="C7" s="268"/>
      <c r="D7" s="268"/>
      <c r="E7" s="48"/>
      <c r="F7" s="268"/>
      <c r="G7" s="268"/>
      <c r="H7" s="268"/>
      <c r="I7" s="263"/>
    </row>
    <row r="8" spans="1:10" x14ac:dyDescent="0.2">
      <c r="A8" s="48"/>
      <c r="B8" s="638"/>
      <c r="C8" s="638"/>
      <c r="D8" s="266"/>
      <c r="E8" s="828"/>
      <c r="F8" s="820" t="s">
        <v>317</v>
      </c>
      <c r="G8" s="821" t="str">
        <f>+Index!$E$10</f>
        <v>01</v>
      </c>
      <c r="H8" s="822"/>
      <c r="I8" s="822"/>
      <c r="J8" s="159"/>
    </row>
    <row r="9" spans="1:10" x14ac:dyDescent="0.2">
      <c r="A9" s="638"/>
      <c r="B9" s="638"/>
      <c r="C9" s="638"/>
      <c r="D9" s="638"/>
      <c r="E9" s="2217"/>
      <c r="F9" s="820" t="s">
        <v>318</v>
      </c>
      <c r="G9" s="823" t="str">
        <f>AgyName</f>
        <v>North Carolina General Assembly</v>
      </c>
      <c r="H9" s="824"/>
      <c r="I9" s="824"/>
    </row>
    <row r="10" spans="1:10" x14ac:dyDescent="0.2">
      <c r="A10" s="2589" t="s">
        <v>476</v>
      </c>
      <c r="B10" s="2589"/>
      <c r="C10" s="819" t="s">
        <v>477</v>
      </c>
      <c r="E10" s="268"/>
      <c r="F10" s="820" t="s">
        <v>319</v>
      </c>
      <c r="G10" s="825" t="str">
        <f>CONCATENATE(Index!$E$12," ",Index!$E$14)</f>
        <v xml:space="preserve"> </v>
      </c>
      <c r="H10" s="2339"/>
      <c r="I10" s="2339"/>
    </row>
    <row r="11" spans="1:10" x14ac:dyDescent="0.2">
      <c r="A11" s="2217"/>
      <c r="B11" s="2217"/>
      <c r="C11" s="828"/>
      <c r="D11" s="268"/>
      <c r="E11" s="268"/>
      <c r="F11" s="820" t="s">
        <v>71</v>
      </c>
      <c r="G11" s="825">
        <f>+Index!$E$13</f>
        <v>0</v>
      </c>
      <c r="H11" s="2339"/>
      <c r="I11" s="2339"/>
    </row>
    <row r="12" spans="1:10" ht="13.5" thickBot="1" x14ac:dyDescent="0.25">
      <c r="A12" s="829"/>
      <c r="B12" s="829"/>
      <c r="C12" s="829"/>
      <c r="D12" s="829"/>
      <c r="E12" s="829"/>
      <c r="F12" s="829"/>
      <c r="G12" s="829"/>
      <c r="H12" s="829"/>
      <c r="I12" s="829"/>
      <c r="J12" s="472"/>
    </row>
    <row r="13" spans="1:10" ht="15" x14ac:dyDescent="0.25">
      <c r="A13" s="2220"/>
      <c r="B13" s="2220"/>
      <c r="C13" s="2220"/>
      <c r="D13" s="2220"/>
      <c r="E13" s="2220"/>
      <c r="F13" s="2220"/>
      <c r="G13" s="2220"/>
      <c r="H13" s="2220"/>
      <c r="I13" s="2220"/>
    </row>
    <row r="14" spans="1:10" x14ac:dyDescent="0.2">
      <c r="A14" s="723" t="s">
        <v>2590</v>
      </c>
      <c r="B14" s="723"/>
      <c r="C14" s="723"/>
      <c r="D14" s="723"/>
      <c r="E14" s="723"/>
      <c r="F14" s="723"/>
      <c r="G14" s="723"/>
      <c r="H14" s="723"/>
      <c r="I14" s="723"/>
    </row>
    <row r="15" spans="1:10" x14ac:dyDescent="0.2">
      <c r="A15" s="723" t="s">
        <v>2591</v>
      </c>
      <c r="B15" s="723"/>
      <c r="C15" s="723"/>
      <c r="D15" s="723"/>
      <c r="E15" s="723"/>
      <c r="F15" s="723"/>
      <c r="G15" s="723"/>
      <c r="H15" s="723"/>
      <c r="I15" s="723"/>
    </row>
    <row r="16" spans="1:10" x14ac:dyDescent="0.2">
      <c r="A16" s="723"/>
      <c r="B16" s="723"/>
      <c r="C16" s="723"/>
      <c r="D16" s="723"/>
      <c r="E16" s="723"/>
      <c r="F16" s="723"/>
      <c r="G16" s="723"/>
      <c r="H16" s="723"/>
      <c r="I16" s="723"/>
    </row>
    <row r="17" spans="1:9" x14ac:dyDescent="0.2">
      <c r="A17" s="723" t="s">
        <v>2592</v>
      </c>
      <c r="B17" s="723"/>
      <c r="C17" s="723"/>
      <c r="D17" s="723"/>
      <c r="E17" s="723"/>
      <c r="F17" s="723"/>
      <c r="G17" s="723"/>
      <c r="H17" s="723"/>
      <c r="I17" s="723"/>
    </row>
    <row r="18" spans="1:9" x14ac:dyDescent="0.2">
      <c r="A18" s="883" t="s">
        <v>2593</v>
      </c>
      <c r="B18" s="723"/>
      <c r="C18" s="723"/>
      <c r="D18" s="723"/>
      <c r="E18" s="723"/>
      <c r="F18" s="723"/>
      <c r="G18" s="723"/>
      <c r="H18" s="723"/>
      <c r="I18" s="723"/>
    </row>
    <row r="19" spans="1:9" x14ac:dyDescent="0.2">
      <c r="A19" s="883"/>
      <c r="B19" s="723"/>
      <c r="C19" s="723"/>
      <c r="D19" s="723"/>
      <c r="E19" s="723"/>
      <c r="F19" s="723"/>
      <c r="G19" s="723"/>
      <c r="H19" s="723"/>
      <c r="I19" s="723"/>
    </row>
    <row r="20" spans="1:9" ht="15.75" x14ac:dyDescent="0.25">
      <c r="A20" s="428" t="s">
        <v>2594</v>
      </c>
      <c r="B20" s="723"/>
      <c r="C20" s="723"/>
      <c r="D20" s="723"/>
      <c r="E20" s="723"/>
      <c r="F20" s="723"/>
      <c r="G20" s="723"/>
      <c r="H20" s="723"/>
      <c r="I20" s="723"/>
    </row>
    <row r="21" spans="1:9" ht="15.75" x14ac:dyDescent="0.25">
      <c r="A21" s="428"/>
      <c r="B21" s="723"/>
      <c r="C21" s="723"/>
      <c r="D21" s="723"/>
      <c r="E21" s="723"/>
      <c r="F21" s="723"/>
      <c r="G21" s="723"/>
      <c r="H21" s="723"/>
      <c r="I21" s="723"/>
    </row>
    <row r="22" spans="1:9" x14ac:dyDescent="0.2">
      <c r="A22" s="723" t="s">
        <v>2595</v>
      </c>
      <c r="B22" s="637"/>
      <c r="C22" s="638"/>
      <c r="D22" s="638"/>
      <c r="E22" s="638"/>
      <c r="F22" s="638"/>
      <c r="G22" s="638"/>
      <c r="H22" s="638"/>
      <c r="I22" s="638"/>
    </row>
    <row r="23" spans="1:9" x14ac:dyDescent="0.2">
      <c r="A23" s="723" t="s">
        <v>2596</v>
      </c>
      <c r="B23" s="637"/>
      <c r="C23" s="638"/>
      <c r="D23" s="638"/>
      <c r="E23" s="638"/>
      <c r="F23" s="638"/>
      <c r="G23" s="638"/>
      <c r="H23" s="638"/>
      <c r="I23" s="638"/>
    </row>
    <row r="24" spans="1:9" x14ac:dyDescent="0.2">
      <c r="A24" s="1055" t="s">
        <v>2597</v>
      </c>
      <c r="B24" s="637"/>
      <c r="C24" s="638"/>
      <c r="D24" s="638"/>
      <c r="E24" s="638"/>
      <c r="F24" s="638"/>
      <c r="G24" s="638"/>
      <c r="H24" s="638"/>
      <c r="I24" s="638"/>
    </row>
    <row r="25" spans="1:9" x14ac:dyDescent="0.2">
      <c r="A25" s="929" t="s">
        <v>2598</v>
      </c>
      <c r="B25" s="723"/>
      <c r="C25" s="723"/>
      <c r="D25" s="159"/>
      <c r="E25" s="159"/>
      <c r="F25" s="159"/>
      <c r="G25" s="159"/>
      <c r="H25" s="159"/>
      <c r="I25" s="159"/>
    </row>
    <row r="26" spans="1:9" x14ac:dyDescent="0.2">
      <c r="A26" s="929" t="s">
        <v>2599</v>
      </c>
      <c r="B26" s="723"/>
      <c r="C26" s="723"/>
      <c r="D26" s="159"/>
      <c r="E26" s="159"/>
      <c r="F26" s="159"/>
      <c r="G26" s="159"/>
      <c r="H26" s="159"/>
      <c r="I26" s="159"/>
    </row>
    <row r="27" spans="1:9" x14ac:dyDescent="0.2">
      <c r="A27" s="929" t="s">
        <v>2600</v>
      </c>
      <c r="B27" s="723"/>
      <c r="C27" s="723"/>
      <c r="D27" s="159"/>
      <c r="E27" s="159"/>
      <c r="F27" s="159"/>
      <c r="G27" s="159"/>
      <c r="H27" s="159"/>
      <c r="I27" s="159"/>
    </row>
    <row r="28" spans="1:9" x14ac:dyDescent="0.2">
      <c r="A28" s="929" t="s">
        <v>2601</v>
      </c>
      <c r="B28" s="723"/>
      <c r="C28" s="723"/>
      <c r="D28" s="159"/>
      <c r="E28" s="159"/>
      <c r="F28" s="159"/>
      <c r="G28" s="159"/>
      <c r="H28" s="159"/>
      <c r="I28" s="159"/>
    </row>
    <row r="29" spans="1:9" x14ac:dyDescent="0.2">
      <c r="A29" s="929" t="s">
        <v>2602</v>
      </c>
      <c r="B29" s="723"/>
      <c r="C29" s="723"/>
      <c r="D29" s="159"/>
      <c r="E29" s="159"/>
      <c r="F29" s="159"/>
      <c r="G29" s="159"/>
      <c r="H29" s="159"/>
      <c r="I29" s="159"/>
    </row>
    <row r="30" spans="1:9" x14ac:dyDescent="0.2">
      <c r="A30" s="723"/>
      <c r="B30" s="723"/>
      <c r="C30" s="723"/>
      <c r="D30" s="159"/>
      <c r="E30" s="159"/>
      <c r="F30" s="159"/>
      <c r="G30" s="159"/>
      <c r="H30" s="159"/>
      <c r="I30" s="159"/>
    </row>
    <row r="31" spans="1:9" x14ac:dyDescent="0.2">
      <c r="A31" s="723" t="s">
        <v>2603</v>
      </c>
      <c r="B31" s="723"/>
      <c r="C31" s="723"/>
      <c r="D31" s="159"/>
      <c r="E31" s="159"/>
      <c r="F31" s="159"/>
      <c r="G31" s="159"/>
      <c r="H31" s="159"/>
      <c r="I31" s="159"/>
    </row>
    <row r="32" spans="1:9" x14ac:dyDescent="0.2">
      <c r="A32" s="723" t="s">
        <v>2604</v>
      </c>
      <c r="B32" s="723"/>
      <c r="C32" s="723"/>
      <c r="D32" s="159"/>
      <c r="E32" s="159"/>
      <c r="F32" s="159"/>
      <c r="G32" s="159"/>
      <c r="H32" s="159"/>
      <c r="I32" s="159"/>
    </row>
    <row r="33" spans="1:9" x14ac:dyDescent="0.2">
      <c r="A33" s="723"/>
      <c r="B33" s="723"/>
      <c r="C33" s="639" t="s">
        <v>339</v>
      </c>
      <c r="D33" s="845"/>
      <c r="E33" s="159"/>
      <c r="F33" s="159"/>
      <c r="G33" s="159"/>
      <c r="H33" s="159"/>
      <c r="I33" s="159"/>
    </row>
    <row r="34" spans="1:9" x14ac:dyDescent="0.2">
      <c r="A34" s="723"/>
      <c r="B34" s="723"/>
      <c r="C34" s="639" t="s">
        <v>340</v>
      </c>
      <c r="D34" s="845"/>
      <c r="E34" s="159"/>
      <c r="F34" s="159"/>
      <c r="G34" s="159"/>
      <c r="H34" s="159"/>
      <c r="I34" s="159"/>
    </row>
    <row r="35" spans="1:9" x14ac:dyDescent="0.2">
      <c r="A35" s="638"/>
      <c r="B35" s="723"/>
      <c r="C35" s="723"/>
      <c r="D35" s="159"/>
      <c r="E35" s="159"/>
      <c r="F35" s="159"/>
      <c r="G35" s="159"/>
      <c r="H35" s="159"/>
      <c r="I35" s="159"/>
    </row>
    <row r="36" spans="1:9" x14ac:dyDescent="0.2">
      <c r="A36" s="827" t="s">
        <v>486</v>
      </c>
      <c r="B36" s="723"/>
      <c r="C36" s="723"/>
      <c r="D36" s="159"/>
      <c r="E36" s="159"/>
      <c r="F36" s="159"/>
      <c r="G36" s="159"/>
      <c r="H36" s="159"/>
      <c r="I36" s="159"/>
    </row>
    <row r="37" spans="1:9" x14ac:dyDescent="0.2">
      <c r="A37" s="723" t="s">
        <v>488</v>
      </c>
      <c r="B37" s="723"/>
      <c r="C37" s="723"/>
      <c r="D37" s="159"/>
      <c r="E37" s="159"/>
      <c r="F37" s="159"/>
      <c r="G37" s="159"/>
      <c r="H37" s="159"/>
      <c r="I37" s="159"/>
    </row>
    <row r="38" spans="1:9" x14ac:dyDescent="0.2">
      <c r="A38" s="638"/>
      <c r="B38" s="723"/>
      <c r="C38" s="723"/>
      <c r="D38" s="159"/>
      <c r="E38" s="159"/>
      <c r="F38" s="159"/>
      <c r="G38" s="159"/>
      <c r="H38" s="159"/>
      <c r="I38" s="159"/>
    </row>
    <row r="39" spans="1:9" ht="15.75" x14ac:dyDescent="0.25">
      <c r="A39" s="428" t="s">
        <v>2605</v>
      </c>
      <c r="B39" s="723"/>
      <c r="C39" s="723"/>
      <c r="D39" s="159"/>
      <c r="E39" s="159"/>
      <c r="F39" s="159"/>
      <c r="G39" s="159"/>
      <c r="H39" s="159"/>
      <c r="I39" s="159"/>
    </row>
    <row r="40" spans="1:9" x14ac:dyDescent="0.2">
      <c r="A40" s="638"/>
      <c r="B40" s="723"/>
      <c r="C40" s="723"/>
      <c r="D40" s="159"/>
      <c r="E40" s="159"/>
      <c r="F40" s="159"/>
      <c r="G40" s="159"/>
      <c r="H40" s="159"/>
      <c r="I40" s="159"/>
    </row>
    <row r="41" spans="1:9" x14ac:dyDescent="0.2">
      <c r="A41" s="638" t="s">
        <v>2606</v>
      </c>
      <c r="B41" s="723"/>
      <c r="C41" s="723"/>
      <c r="D41" s="159"/>
      <c r="E41" s="159"/>
      <c r="F41" s="159"/>
      <c r="G41" s="159"/>
      <c r="H41" s="159"/>
      <c r="I41" s="159"/>
    </row>
    <row r="42" spans="1:9" x14ac:dyDescent="0.2">
      <c r="A42" s="638" t="s">
        <v>2607</v>
      </c>
      <c r="B42" s="723"/>
      <c r="C42" s="723"/>
      <c r="D42" s="159"/>
      <c r="E42" s="159"/>
      <c r="F42" s="159"/>
      <c r="G42" s="159"/>
      <c r="H42" s="159"/>
      <c r="I42" s="159"/>
    </row>
    <row r="43" spans="1:9" x14ac:dyDescent="0.2">
      <c r="B43" s="637"/>
      <c r="C43" s="638"/>
      <c r="D43" s="638"/>
      <c r="E43" s="638"/>
      <c r="F43" s="638"/>
      <c r="G43" s="638"/>
      <c r="H43" s="638"/>
      <c r="I43" s="638"/>
    </row>
    <row r="44" spans="1:9" x14ac:dyDescent="0.2">
      <c r="A44" s="723" t="s">
        <v>2608</v>
      </c>
      <c r="B44" s="637"/>
      <c r="C44" s="638"/>
      <c r="D44" s="638"/>
      <c r="E44" s="638"/>
      <c r="F44" s="638"/>
      <c r="G44" s="638"/>
      <c r="H44" s="638"/>
      <c r="I44" s="638"/>
    </row>
    <row r="45" spans="1:9" x14ac:dyDescent="0.2">
      <c r="A45" s="723" t="s">
        <v>2609</v>
      </c>
      <c r="B45" s="637"/>
      <c r="C45" s="638"/>
      <c r="D45" s="638"/>
      <c r="E45" s="638"/>
      <c r="F45" s="638"/>
      <c r="G45" s="638"/>
      <c r="H45" s="638"/>
      <c r="I45" s="638"/>
    </row>
    <row r="46" spans="1:9" x14ac:dyDescent="0.2">
      <c r="A46" s="723" t="s">
        <v>2610</v>
      </c>
      <c r="B46" s="637"/>
      <c r="C46" s="638"/>
      <c r="D46" s="638"/>
      <c r="E46" s="638"/>
      <c r="F46" s="638"/>
      <c r="G46" s="638"/>
      <c r="H46" s="638"/>
      <c r="I46" s="638"/>
    </row>
    <row r="47" spans="1:9" x14ac:dyDescent="0.2">
      <c r="A47" s="723" t="s">
        <v>2611</v>
      </c>
      <c r="B47" s="637"/>
      <c r="C47" s="638"/>
      <c r="D47" s="638"/>
      <c r="E47" s="638"/>
      <c r="F47" s="638"/>
      <c r="G47" s="638"/>
      <c r="H47" s="638"/>
      <c r="I47" s="638"/>
    </row>
    <row r="48" spans="1:9" x14ac:dyDescent="0.2">
      <c r="A48" s="637"/>
      <c r="B48" s="637"/>
      <c r="C48" s="639" t="s">
        <v>339</v>
      </c>
      <c r="D48" s="845"/>
      <c r="E48" s="638"/>
      <c r="F48" s="638"/>
      <c r="G48" s="638"/>
      <c r="H48" s="638"/>
      <c r="I48" s="638"/>
    </row>
    <row r="49" spans="1:9" x14ac:dyDescent="0.2">
      <c r="A49" s="637"/>
      <c r="B49" s="637"/>
      <c r="C49" s="639" t="s">
        <v>340</v>
      </c>
      <c r="D49" s="845"/>
      <c r="E49" s="638"/>
      <c r="F49" s="638"/>
      <c r="G49" s="638"/>
      <c r="H49" s="638"/>
      <c r="I49" s="638"/>
    </row>
    <row r="50" spans="1:9" x14ac:dyDescent="0.2">
      <c r="A50" s="637"/>
      <c r="B50" s="637"/>
      <c r="C50" s="638"/>
      <c r="D50" s="638"/>
      <c r="E50" s="638"/>
      <c r="F50" s="638"/>
      <c r="G50" s="638"/>
      <c r="H50" s="638"/>
      <c r="I50" s="638"/>
    </row>
    <row r="51" spans="1:9" ht="15.75" x14ac:dyDescent="0.25">
      <c r="A51" s="827" t="s">
        <v>486</v>
      </c>
      <c r="B51" s="637"/>
      <c r="C51" s="50"/>
      <c r="D51" s="50"/>
      <c r="E51" s="638"/>
      <c r="F51" s="638"/>
      <c r="G51" s="638"/>
      <c r="H51" s="638"/>
      <c r="I51" s="638"/>
    </row>
    <row r="52" spans="1:9" x14ac:dyDescent="0.2">
      <c r="A52" s="723" t="s">
        <v>488</v>
      </c>
      <c r="B52" s="638"/>
      <c r="C52" s="638"/>
      <c r="D52" s="638"/>
      <c r="E52" s="638"/>
      <c r="F52" s="638"/>
      <c r="G52" s="638"/>
      <c r="H52" s="638"/>
      <c r="I52" s="638"/>
    </row>
    <row r="53" spans="1:9" x14ac:dyDescent="0.2">
      <c r="A53" s="637"/>
      <c r="B53" s="637"/>
      <c r="C53" s="638"/>
      <c r="D53" s="638"/>
      <c r="E53" s="638"/>
      <c r="F53" s="638"/>
      <c r="G53" s="638"/>
      <c r="H53" s="638"/>
      <c r="I53" s="638"/>
    </row>
    <row r="54" spans="1:9" x14ac:dyDescent="0.2">
      <c r="A54" s="48"/>
      <c r="B54" s="160"/>
      <c r="C54" s="160"/>
      <c r="D54" s="160"/>
      <c r="E54" s="160"/>
      <c r="F54" s="160"/>
      <c r="G54" s="160"/>
      <c r="H54" s="160"/>
      <c r="I54" s="638"/>
    </row>
  </sheetData>
  <sheetProtection algorithmName="SHA-512" hashValue="jEN3WAfMGsiA60KupY2f5JlYMePVJSIrwpFO6AvZZbLpNXomyyHrRp1ULXwiyqgDfYx0TkBgQnA8MahGZEPeaw==" saltValue="hMIS+LGhHja/3N28jIu6Lg==" spinCount="100000" sheet="1" objects="1" scenarios="1" autoFilter="0"/>
  <mergeCells count="6">
    <mergeCell ref="A10:B10"/>
    <mergeCell ref="A1:I1"/>
    <mergeCell ref="J1:J3"/>
    <mergeCell ref="A2:I2"/>
    <mergeCell ref="A3:I3"/>
    <mergeCell ref="A4:I4"/>
  </mergeCells>
  <conditionalFormatting sqref="J1:J3">
    <cfRule type="cellIs" dxfId="14" priority="1" stopIfTrue="1" operator="equal">
      <formula>"na"</formula>
    </cfRule>
  </conditionalFormatting>
  <hyperlinks>
    <hyperlink ref="A1:I1" location="Index!A1" display="Index!A1" xr:uid="{00000000-0004-0000-4900-000000000000}"/>
    <hyperlink ref="A18" r:id="rId1" xr:uid="{00000000-0004-0000-4900-000001000000}"/>
  </hyperlinks>
  <pageMargins left="0.6" right="0.6" top="0.5" bottom="0.5" header="0.3" footer="0.3"/>
  <pageSetup orientation="portrait"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2">
    <tabColor theme="4" tint="0.59999389629810485"/>
  </sheetPr>
  <dimension ref="A1:S278"/>
  <sheetViews>
    <sheetView zoomScaleNormal="100" zoomScaleSheetLayoutView="130" workbookViewId="0">
      <selection activeCell="M11" sqref="M11"/>
    </sheetView>
  </sheetViews>
  <sheetFormatPr defaultRowHeight="12.75" x14ac:dyDescent="0.2"/>
  <cols>
    <col min="1" max="1" width="5.5703125" customWidth="1"/>
    <col min="2" max="2" width="11" customWidth="1"/>
    <col min="3" max="3" width="7.5703125" customWidth="1"/>
    <col min="4" max="4" width="19.42578125" customWidth="1"/>
    <col min="5" max="5" width="13.42578125" customWidth="1"/>
    <col min="6" max="6" width="18.5703125" style="365" customWidth="1"/>
    <col min="7" max="7" width="8.7109375" customWidth="1"/>
    <col min="8" max="8" width="3.5703125" customWidth="1"/>
    <col min="9" max="9" width="18.5703125" customWidth="1"/>
    <col min="10" max="10" width="3.42578125" customWidth="1"/>
    <col min="11" max="11" width="23.140625" customWidth="1"/>
    <col min="12" max="12" width="13.42578125" style="1463" bestFit="1" customWidth="1"/>
    <col min="15" max="15" width="12.85546875" customWidth="1"/>
  </cols>
  <sheetData>
    <row r="1" spans="1:19" ht="25.15" customHeight="1" x14ac:dyDescent="0.25">
      <c r="A1" s="2455" t="str">
        <f>+Index!$A$1</f>
        <v xml:space="preserve">                                                               Office of the State Controller                                                                </v>
      </c>
      <c r="B1" s="2455"/>
      <c r="C1" s="2455"/>
      <c r="D1" s="2455"/>
      <c r="E1" s="2455"/>
      <c r="F1" s="2455"/>
      <c r="G1" s="2455"/>
      <c r="H1" s="462" t="str">
        <f>IF(Index!$B$104="na", "NA", "")</f>
        <v/>
      </c>
      <c r="I1" s="2376"/>
      <c r="J1" s="2214"/>
      <c r="K1" s="2214"/>
      <c r="L1" s="2348"/>
      <c r="M1" s="2214"/>
      <c r="N1" s="2214"/>
      <c r="O1" s="1506" t="s">
        <v>2612</v>
      </c>
      <c r="P1" s="1506" t="str">
        <f>IFERROR(VLOOKUP(C5,FCCSent,2,FALSE),"")</f>
        <v/>
      </c>
      <c r="Q1" s="1526" t="s">
        <v>2613</v>
      </c>
      <c r="R1" s="2214"/>
    </row>
    <row r="2" spans="1:19" ht="16.5" x14ac:dyDescent="0.3">
      <c r="A2" s="2439" t="str">
        <f>+Index!$A$2</f>
        <v>2023 ACFR Worksheets</v>
      </c>
      <c r="B2" s="2439"/>
      <c r="C2" s="2439"/>
      <c r="D2" s="2439"/>
      <c r="E2" s="2439"/>
      <c r="F2" s="2439"/>
      <c r="G2" s="2439"/>
      <c r="H2" s="462"/>
      <c r="I2" s="346"/>
      <c r="J2" s="346"/>
      <c r="K2" s="353"/>
      <c r="L2" s="1527"/>
      <c r="M2" s="353"/>
      <c r="N2" s="353"/>
      <c r="O2" s="1506" t="s">
        <v>2614</v>
      </c>
      <c r="P2" s="1506" t="str">
        <f>VLOOKUP(C5,FCCSnum,2,FALSE)</f>
        <v>0100</v>
      </c>
      <c r="Q2" s="353"/>
      <c r="R2" s="353"/>
    </row>
    <row r="3" spans="1:19" ht="49.5" customHeight="1" x14ac:dyDescent="0.3">
      <c r="A3" s="2953" t="s">
        <v>2615</v>
      </c>
      <c r="B3" s="2953"/>
      <c r="C3" s="2953"/>
      <c r="D3" s="2953"/>
      <c r="E3" s="2953"/>
      <c r="F3" s="2953"/>
      <c r="G3" s="2953"/>
      <c r="H3" s="346"/>
      <c r="I3" s="346"/>
      <c r="J3" s="346"/>
      <c r="K3" s="353"/>
      <c r="L3" s="1527"/>
      <c r="M3" s="353"/>
      <c r="N3" s="353"/>
      <c r="O3" s="353"/>
      <c r="P3" s="353"/>
      <c r="Q3" s="353"/>
      <c r="R3" s="353"/>
    </row>
    <row r="4" spans="1:19" ht="15.75" customHeight="1" x14ac:dyDescent="0.2">
      <c r="A4" s="2919"/>
      <c r="B4" s="2919"/>
      <c r="C4" s="2919"/>
      <c r="D4" s="2919"/>
      <c r="E4" s="2919"/>
      <c r="F4" s="2919"/>
      <c r="G4" s="2919"/>
      <c r="H4" s="2919"/>
      <c r="I4" s="2919"/>
    </row>
    <row r="5" spans="1:19" s="124" customFormat="1" ht="21.75" customHeight="1" x14ac:dyDescent="0.25">
      <c r="A5" s="124" t="s">
        <v>317</v>
      </c>
      <c r="C5" s="357" t="str">
        <f>+Index!$E$10</f>
        <v>01</v>
      </c>
      <c r="D5" s="926"/>
      <c r="E5" s="448" t="s">
        <v>319</v>
      </c>
      <c r="F5" s="2956" t="str">
        <f>+CONCATENATE(Index!$E$12," ",Index!$E$14)</f>
        <v xml:space="preserve"> </v>
      </c>
      <c r="G5" s="2956"/>
      <c r="K5" s="354"/>
      <c r="L5" s="1528"/>
      <c r="S5" s="123"/>
    </row>
    <row r="6" spans="1:19" s="124" customFormat="1" ht="15" customHeight="1" x14ac:dyDescent="0.2">
      <c r="A6" s="124" t="s">
        <v>318</v>
      </c>
      <c r="C6" s="2961" t="str">
        <f>+Index!$E$11</f>
        <v>North Carolina General Assembly</v>
      </c>
      <c r="D6" s="2961"/>
      <c r="E6" s="449" t="s">
        <v>71</v>
      </c>
      <c r="F6" s="2957">
        <f>+Index!$E$13</f>
        <v>0</v>
      </c>
      <c r="G6" s="2957"/>
      <c r="K6" s="355"/>
      <c r="L6" s="1529"/>
      <c r="M6" s="355"/>
      <c r="N6" s="355"/>
      <c r="O6" s="355"/>
      <c r="P6" s="355"/>
      <c r="Q6" s="355"/>
      <c r="R6" s="125"/>
      <c r="S6" s="123"/>
    </row>
    <row r="7" spans="1:19" s="124" customFormat="1" ht="15" customHeight="1" x14ac:dyDescent="0.2">
      <c r="A7" s="124" t="s">
        <v>568</v>
      </c>
      <c r="C7" s="598" t="e">
        <f>INDEX(NetAssetsData,MATCH('905'!$C$5,NetAssetsDataRow,0),4)</f>
        <v>#N/A</v>
      </c>
      <c r="F7" s="450"/>
      <c r="L7" s="1528"/>
      <c r="S7" s="123"/>
    </row>
    <row r="8" spans="1:19" s="86" customFormat="1" ht="48.75" customHeight="1" x14ac:dyDescent="0.2">
      <c r="A8" s="2958" t="s">
        <v>2616</v>
      </c>
      <c r="B8" s="2959"/>
      <c r="C8" s="2959"/>
      <c r="D8" s="2959"/>
      <c r="E8" s="2959"/>
      <c r="F8" s="2959"/>
      <c r="G8" s="2959"/>
      <c r="H8" s="2959"/>
      <c r="I8" s="2960"/>
      <c r="J8" s="27"/>
      <c r="K8" s="27"/>
      <c r="L8" s="1462"/>
      <c r="M8" s="27"/>
      <c r="N8" s="27"/>
      <c r="O8" s="27"/>
      <c r="P8" s="27"/>
      <c r="Q8" s="27"/>
      <c r="R8" s="27"/>
      <c r="S8" s="27"/>
    </row>
    <row r="9" spans="1:19" x14ac:dyDescent="0.2">
      <c r="A9" s="124"/>
      <c r="F9" s="756" t="s">
        <v>2617</v>
      </c>
      <c r="I9" s="27"/>
    </row>
    <row r="10" spans="1:19" x14ac:dyDescent="0.2">
      <c r="B10" s="2954" t="s">
        <v>2618</v>
      </c>
      <c r="C10" s="2954"/>
      <c r="D10" s="2954"/>
      <c r="E10" s="2954"/>
      <c r="G10" s="159"/>
      <c r="I10" s="740" t="s">
        <v>2619</v>
      </c>
      <c r="L10" s="1530" t="s">
        <v>2620</v>
      </c>
    </row>
    <row r="11" spans="1:19" x14ac:dyDescent="0.2">
      <c r="B11" s="2377" t="s">
        <v>2621</v>
      </c>
      <c r="C11" s="2377"/>
      <c r="F11" s="636" t="str">
        <f>TEXT(Data!$A$2,"mmmm d,yyyy")</f>
        <v>June 30,2023</v>
      </c>
      <c r="G11" s="559"/>
      <c r="I11" s="636" t="str">
        <f>TEXT(Data!$A$4,"mmmm d,yyyy")</f>
        <v>June 30,2022</v>
      </c>
    </row>
    <row r="12" spans="1:19" x14ac:dyDescent="0.2">
      <c r="A12" s="1" t="s">
        <v>2622</v>
      </c>
      <c r="B12" s="234" t="s">
        <v>2623</v>
      </c>
      <c r="C12" s="234"/>
      <c r="G12" s="965"/>
    </row>
    <row r="13" spans="1:19" x14ac:dyDescent="0.2">
      <c r="A13" s="191">
        <v>1000</v>
      </c>
      <c r="B13" s="2881" t="s">
        <v>2624</v>
      </c>
      <c r="C13" s="2881"/>
      <c r="D13" s="2881"/>
      <c r="E13" s="2881"/>
      <c r="F13" s="371">
        <v>0</v>
      </c>
      <c r="G13" s="159"/>
      <c r="I13" s="366" t="e">
        <f>INDEX(PY905Data,MATCH($A13,PY905Row,0),MATCH($C$5,PY905Col,0))</f>
        <v>#N/A</v>
      </c>
      <c r="L13" s="1526">
        <v>11111000</v>
      </c>
    </row>
    <row r="14" spans="1:19" x14ac:dyDescent="0.2">
      <c r="A14" s="191">
        <v>1010</v>
      </c>
      <c r="B14" s="2881" t="s">
        <v>2625</v>
      </c>
      <c r="C14" s="2881"/>
      <c r="D14" s="2881"/>
      <c r="E14" s="2881"/>
      <c r="F14" s="372">
        <v>0</v>
      </c>
      <c r="I14" s="365" t="e">
        <f>INDEX(PY905Data,MATCH($A14,PY905Row,0),MATCH($C$5,PY905Col,0))</f>
        <v>#N/A</v>
      </c>
      <c r="L14" s="1463">
        <v>11121000</v>
      </c>
    </row>
    <row r="15" spans="1:19" x14ac:dyDescent="0.2">
      <c r="A15" s="191">
        <v>1050</v>
      </c>
      <c r="B15" s="2881" t="s">
        <v>2626</v>
      </c>
      <c r="C15" s="2881"/>
      <c r="D15" s="2881"/>
      <c r="E15" s="2881"/>
      <c r="F15" s="372">
        <v>0</v>
      </c>
      <c r="G15" s="159"/>
      <c r="I15" s="365" t="e">
        <f>INDEX(PY905Data,MATCH($A15,PY905Row,0),MATCH($C$5,PY905Col,0))</f>
        <v>#N/A</v>
      </c>
      <c r="L15" s="1463">
        <v>11210100</v>
      </c>
    </row>
    <row r="16" spans="1:19" x14ac:dyDescent="0.2">
      <c r="A16" s="191">
        <v>1060</v>
      </c>
      <c r="B16" s="2881" t="s">
        <v>2627</v>
      </c>
      <c r="C16" s="2881"/>
      <c r="D16" s="2881"/>
      <c r="E16" s="2881"/>
      <c r="F16" s="236">
        <v>0</v>
      </c>
      <c r="G16" s="463"/>
      <c r="I16" s="365" t="e">
        <f>INDEX(PY905Data,MATCH($A16,PY905Row,0),MATCH($C$5,PY905Col,0))</f>
        <v>#N/A</v>
      </c>
      <c r="L16" s="1463">
        <v>11221000</v>
      </c>
    </row>
    <row r="17" spans="1:12" x14ac:dyDescent="0.2">
      <c r="A17" s="191">
        <v>1090</v>
      </c>
      <c r="B17" s="2947" t="s">
        <v>2628</v>
      </c>
      <c r="C17" s="2947"/>
      <c r="D17" s="2947"/>
      <c r="E17" s="2947"/>
      <c r="F17" s="236">
        <v>0</v>
      </c>
      <c r="G17" s="1110" t="e">
        <f>IF(AND(ABS(F17)&gt;=1,$C$7="4XXX"),"Universities do not record securities lending collateral for CAFR"," ")</f>
        <v>#N/A</v>
      </c>
      <c r="I17" s="365" t="e">
        <f>INDEX(PY905Data,MATCH($A17,PY905Row,0),MATCH($C$5,PY905Col,0))</f>
        <v>#N/A</v>
      </c>
      <c r="L17" s="1463">
        <v>11230000</v>
      </c>
    </row>
    <row r="18" spans="1:12" x14ac:dyDescent="0.2">
      <c r="A18" s="191"/>
      <c r="B18" s="191" t="s">
        <v>2629</v>
      </c>
      <c r="C18" s="191"/>
      <c r="I18" s="365"/>
    </row>
    <row r="19" spans="1:12" x14ac:dyDescent="0.2">
      <c r="A19" s="191">
        <v>1110</v>
      </c>
      <c r="B19" s="2951" t="s">
        <v>2630</v>
      </c>
      <c r="C19" s="2951"/>
      <c r="D19" s="2951"/>
      <c r="E19" s="2951"/>
      <c r="F19" s="372">
        <v>0</v>
      </c>
      <c r="I19" s="365" t="e">
        <f t="shared" ref="I19:I37" si="0">INDEX(PY905Data,MATCH($A19,PY905Row,0),MATCH($C$5,PY905Col,0))</f>
        <v>#N/A</v>
      </c>
      <c r="L19" s="1463">
        <v>11320000</v>
      </c>
    </row>
    <row r="20" spans="1:12" x14ac:dyDescent="0.2">
      <c r="A20" s="191">
        <v>1120</v>
      </c>
      <c r="B20" s="2951" t="s">
        <v>2631</v>
      </c>
      <c r="C20" s="2951"/>
      <c r="D20" s="2951"/>
      <c r="E20" s="2951"/>
      <c r="F20" s="372">
        <v>0</v>
      </c>
      <c r="I20" s="365" t="e">
        <f t="shared" si="0"/>
        <v>#N/A</v>
      </c>
      <c r="L20" s="1463">
        <v>11341000</v>
      </c>
    </row>
    <row r="21" spans="1:12" x14ac:dyDescent="0.2">
      <c r="A21" s="191">
        <v>1130</v>
      </c>
      <c r="B21" s="2951" t="s">
        <v>2632</v>
      </c>
      <c r="C21" s="2951"/>
      <c r="D21" s="2951"/>
      <c r="E21" s="2951"/>
      <c r="F21" s="372">
        <v>0</v>
      </c>
      <c r="I21" s="365" t="e">
        <f t="shared" si="0"/>
        <v>#N/A</v>
      </c>
      <c r="L21" s="1463">
        <v>11351000</v>
      </c>
    </row>
    <row r="22" spans="1:12" x14ac:dyDescent="0.2">
      <c r="A22" s="191">
        <v>1160</v>
      </c>
      <c r="B22" s="2951" t="s">
        <v>2633</v>
      </c>
      <c r="C22" s="2951"/>
      <c r="D22" s="2951"/>
      <c r="E22" s="2951"/>
      <c r="F22" s="372">
        <v>0</v>
      </c>
      <c r="I22" s="365" t="e">
        <f t="shared" si="0"/>
        <v>#N/A</v>
      </c>
      <c r="L22" s="1463">
        <v>11336000</v>
      </c>
    </row>
    <row r="23" spans="1:12" x14ac:dyDescent="0.2">
      <c r="A23" s="191">
        <v>1175</v>
      </c>
      <c r="B23" s="2881" t="s">
        <v>2634</v>
      </c>
      <c r="C23" s="2881"/>
      <c r="D23" s="2881"/>
      <c r="E23" s="2881"/>
      <c r="F23" s="587">
        <f>'535'!H34</f>
        <v>0</v>
      </c>
      <c r="I23" s="365" t="e">
        <f t="shared" si="0"/>
        <v>#N/A</v>
      </c>
      <c r="K23" s="1219"/>
      <c r="L23" s="1463">
        <v>11450100</v>
      </c>
    </row>
    <row r="24" spans="1:12" x14ac:dyDescent="0.2">
      <c r="A24" s="666">
        <v>1190</v>
      </c>
      <c r="B24" s="2947" t="s">
        <v>2635</v>
      </c>
      <c r="C24" s="2947"/>
      <c r="D24" s="2947"/>
      <c r="E24" s="2947"/>
      <c r="F24" s="587">
        <f>'525'!H26</f>
        <v>0</v>
      </c>
      <c r="G24" t="str">
        <f>IF(F24='525'!H26, " ", "Problem: Must agree to ws 525 total  Due frm St of NC Comp Unit")</f>
        <v xml:space="preserve"> </v>
      </c>
      <c r="I24" s="365" t="e">
        <f t="shared" si="0"/>
        <v>#N/A</v>
      </c>
      <c r="L24" s="1021">
        <v>11470000</v>
      </c>
    </row>
    <row r="25" spans="1:12" x14ac:dyDescent="0.2">
      <c r="A25" s="666">
        <v>1195</v>
      </c>
      <c r="B25" s="2947" t="s">
        <v>2636</v>
      </c>
      <c r="C25" s="2947"/>
      <c r="D25" s="2947"/>
      <c r="E25" s="2947"/>
      <c r="F25" s="587">
        <f>'616'!D30</f>
        <v>0</v>
      </c>
      <c r="G25" t="str">
        <f>IF(F25='616'!D30, " ", "Problem: Must agree to ws 616 total  Due from Agency/Institution Comp Unit")</f>
        <v xml:space="preserve"> </v>
      </c>
      <c r="H25" s="159"/>
      <c r="I25" s="365" t="e">
        <f t="shared" si="0"/>
        <v>#N/A</v>
      </c>
      <c r="L25" s="1463">
        <v>11480000</v>
      </c>
    </row>
    <row r="26" spans="1:12" x14ac:dyDescent="0.2">
      <c r="A26" s="666">
        <v>1200</v>
      </c>
      <c r="B26" s="2947" t="s">
        <v>2637</v>
      </c>
      <c r="C26" s="2947"/>
      <c r="D26" s="2947"/>
      <c r="E26" s="2947"/>
      <c r="F26" s="587">
        <f>'515'!H26</f>
        <v>0</v>
      </c>
      <c r="G26" t="str">
        <f>IF(F26='515'!H26, " ", "Problem: Must agree to ws 515 total  Due from Primary Government")</f>
        <v xml:space="preserve"> </v>
      </c>
      <c r="I26" s="365" t="e">
        <f t="shared" si="0"/>
        <v>#N/A</v>
      </c>
      <c r="L26" s="1021">
        <v>11460000</v>
      </c>
    </row>
    <row r="27" spans="1:12" x14ac:dyDescent="0.2">
      <c r="A27" s="191">
        <v>1220</v>
      </c>
      <c r="B27" s="2955" t="s">
        <v>2638</v>
      </c>
      <c r="C27" s="2955"/>
      <c r="D27" s="2955"/>
      <c r="E27" s="2955"/>
      <c r="F27" s="372">
        <v>0</v>
      </c>
      <c r="I27" s="365" t="e">
        <f t="shared" si="0"/>
        <v>#N/A</v>
      </c>
      <c r="L27" s="1463">
        <v>11611000</v>
      </c>
    </row>
    <row r="28" spans="1:12" x14ac:dyDescent="0.2">
      <c r="A28" s="191">
        <v>1230</v>
      </c>
      <c r="B28" s="2881" t="s">
        <v>2639</v>
      </c>
      <c r="C28" s="2881"/>
      <c r="D28" s="2881"/>
      <c r="E28" s="2881"/>
      <c r="F28" s="372">
        <v>0</v>
      </c>
      <c r="I28" s="365" t="e">
        <f t="shared" si="0"/>
        <v>#N/A</v>
      </c>
      <c r="L28" s="1463">
        <v>11910000</v>
      </c>
    </row>
    <row r="29" spans="1:12" x14ac:dyDescent="0.2">
      <c r="A29" s="191">
        <v>1210</v>
      </c>
      <c r="B29" s="2881" t="s">
        <v>2640</v>
      </c>
      <c r="C29" s="2881"/>
      <c r="D29" s="2881"/>
      <c r="E29" s="2881"/>
      <c r="F29" s="372">
        <v>0</v>
      </c>
      <c r="I29" s="365" t="e">
        <f t="shared" si="0"/>
        <v>#N/A</v>
      </c>
      <c r="L29" s="1463">
        <v>11510000</v>
      </c>
    </row>
    <row r="30" spans="1:12" x14ac:dyDescent="0.2">
      <c r="A30" s="191">
        <v>1211</v>
      </c>
      <c r="B30" s="2881" t="s">
        <v>2641</v>
      </c>
      <c r="C30" s="2881"/>
      <c r="D30" s="2881"/>
      <c r="E30" s="2881"/>
      <c r="F30" s="372">
        <v>0</v>
      </c>
      <c r="I30" s="365" t="e">
        <f t="shared" si="0"/>
        <v>#N/A</v>
      </c>
      <c r="K30" s="1219"/>
      <c r="L30" s="1463">
        <v>11530000</v>
      </c>
    </row>
    <row r="31" spans="1:12" x14ac:dyDescent="0.2">
      <c r="A31" s="2069">
        <v>1214</v>
      </c>
      <c r="B31" s="2945" t="s">
        <v>2642</v>
      </c>
      <c r="C31" s="2945"/>
      <c r="D31" s="2945"/>
      <c r="E31" s="2945"/>
      <c r="F31" s="372">
        <v>0</v>
      </c>
      <c r="I31" s="365" t="e">
        <f>INDEX(PY905Data,MATCH($A31,PY905Row,0),MATCH($C$5,PY905Col,0))</f>
        <v>#N/A</v>
      </c>
      <c r="K31" s="2011" t="s">
        <v>2643</v>
      </c>
      <c r="L31" s="2010">
        <v>11540000</v>
      </c>
    </row>
    <row r="32" spans="1:12" x14ac:dyDescent="0.2">
      <c r="A32" s="191">
        <v>1020</v>
      </c>
      <c r="B32" s="2881" t="s">
        <v>2644</v>
      </c>
      <c r="C32" s="2881"/>
      <c r="D32" s="2881"/>
      <c r="E32" s="2881"/>
      <c r="F32" s="372">
        <v>0</v>
      </c>
      <c r="I32" s="365" t="e">
        <f t="shared" si="0"/>
        <v>#N/A</v>
      </c>
      <c r="L32" s="1525" t="s">
        <v>2645</v>
      </c>
    </row>
    <row r="33" spans="1:12" x14ac:dyDescent="0.2">
      <c r="A33" s="191">
        <v>1030</v>
      </c>
      <c r="B33" s="2881" t="s">
        <v>2646</v>
      </c>
      <c r="C33" s="2881"/>
      <c r="D33" s="2881"/>
      <c r="E33" s="2881"/>
      <c r="F33" s="372">
        <v>0</v>
      </c>
      <c r="I33" s="365" t="e">
        <f t="shared" si="0"/>
        <v>#N/A</v>
      </c>
      <c r="L33" s="1525" t="s">
        <v>2647</v>
      </c>
    </row>
    <row r="34" spans="1:12" x14ac:dyDescent="0.2">
      <c r="A34" s="191">
        <v>1070</v>
      </c>
      <c r="B34" s="2881" t="s">
        <v>2648</v>
      </c>
      <c r="C34" s="2881"/>
      <c r="D34" s="2881"/>
      <c r="E34" s="2881"/>
      <c r="F34" s="372">
        <v>0</v>
      </c>
      <c r="I34" s="365" t="e">
        <f t="shared" si="0"/>
        <v>#N/A</v>
      </c>
      <c r="L34" s="1463">
        <v>11212500</v>
      </c>
    </row>
    <row r="35" spans="1:12" x14ac:dyDescent="0.2">
      <c r="A35" s="191">
        <v>1232</v>
      </c>
      <c r="B35" s="2881" t="s">
        <v>2649</v>
      </c>
      <c r="C35" s="2881"/>
      <c r="D35" s="2881"/>
      <c r="E35" s="2881"/>
      <c r="F35" s="372">
        <v>0</v>
      </c>
      <c r="I35" s="365" t="e">
        <f t="shared" si="0"/>
        <v>#N/A</v>
      </c>
      <c r="L35" s="1463">
        <v>11970000</v>
      </c>
    </row>
    <row r="36" spans="1:12" x14ac:dyDescent="0.2">
      <c r="A36" s="191">
        <v>1235</v>
      </c>
      <c r="B36" s="2881" t="s">
        <v>2650</v>
      </c>
      <c r="C36" s="2881"/>
      <c r="D36" s="2881"/>
      <c r="E36" s="2881"/>
      <c r="F36" s="372">
        <v>0</v>
      </c>
      <c r="I36" s="365" t="e">
        <f t="shared" si="0"/>
        <v>#N/A</v>
      </c>
      <c r="K36" s="1021"/>
      <c r="L36" s="1463">
        <v>11491000</v>
      </c>
    </row>
    <row r="37" spans="1:12" x14ac:dyDescent="0.2">
      <c r="A37" s="191">
        <v>1233</v>
      </c>
      <c r="B37" s="2881" t="s">
        <v>2651</v>
      </c>
      <c r="C37" s="2881"/>
      <c r="D37" s="2881"/>
      <c r="E37" s="2881"/>
      <c r="F37" s="372">
        <v>0</v>
      </c>
      <c r="I37" s="365" t="e">
        <f t="shared" si="0"/>
        <v>#N/A</v>
      </c>
      <c r="K37" s="1021"/>
      <c r="L37" s="1463">
        <v>11978000</v>
      </c>
    </row>
    <row r="38" spans="1:12" x14ac:dyDescent="0.2">
      <c r="B38" s="2881" t="s">
        <v>2652</v>
      </c>
      <c r="C38" s="2881"/>
      <c r="D38" s="2881"/>
      <c r="E38" s="2881"/>
      <c r="F38" s="374">
        <f>SUM(F12:F37)</f>
        <v>0</v>
      </c>
      <c r="I38" s="374" t="e">
        <f>SUM(I12:I37)</f>
        <v>#N/A</v>
      </c>
      <c r="K38" s="1021"/>
    </row>
    <row r="40" spans="1:12" x14ac:dyDescent="0.2">
      <c r="B40" s="234" t="s">
        <v>2653</v>
      </c>
    </row>
    <row r="41" spans="1:12" x14ac:dyDescent="0.2">
      <c r="A41" s="191">
        <v>1300</v>
      </c>
      <c r="B41" s="2881" t="s">
        <v>2626</v>
      </c>
      <c r="C41" s="2881"/>
      <c r="D41" s="2881"/>
      <c r="E41" s="2881"/>
      <c r="F41" s="372">
        <v>0</v>
      </c>
      <c r="I41" s="365" t="e">
        <f>INDEX(PY905Data,MATCH($A41,PY905Row,0),MATCH($C$5,PY905Col,0))</f>
        <v>#N/A</v>
      </c>
      <c r="L41" s="1463">
        <v>12210100</v>
      </c>
    </row>
    <row r="42" spans="1:12" x14ac:dyDescent="0.2">
      <c r="A42" s="191">
        <v>1310</v>
      </c>
      <c r="B42" s="2881" t="s">
        <v>2627</v>
      </c>
      <c r="C42" s="2881"/>
      <c r="D42" s="2881"/>
      <c r="E42" s="2881"/>
      <c r="F42" s="236">
        <v>0</v>
      </c>
      <c r="G42" s="191"/>
      <c r="I42" s="365" t="e">
        <f>INDEX(PY905Data,MATCH($A42,PY905Row,0),MATCH($C$5,PY905Col,0))</f>
        <v>#N/A</v>
      </c>
      <c r="L42" s="1463">
        <v>12212200</v>
      </c>
    </row>
    <row r="43" spans="1:12" x14ac:dyDescent="0.2">
      <c r="A43" s="191"/>
      <c r="B43" s="191" t="s">
        <v>2629</v>
      </c>
      <c r="C43" s="191"/>
      <c r="I43" s="365"/>
    </row>
    <row r="44" spans="1:12" x14ac:dyDescent="0.2">
      <c r="A44" s="191">
        <v>1340</v>
      </c>
      <c r="B44" s="2951" t="s">
        <v>2630</v>
      </c>
      <c r="C44" s="2951"/>
      <c r="D44" s="2951"/>
      <c r="E44" s="2951"/>
      <c r="F44" s="372">
        <v>0</v>
      </c>
      <c r="I44" s="365" t="e">
        <f t="shared" ref="I44:I55" si="1">INDEX(PY905Data,MATCH($A44,PY905Row,0),MATCH($C$5,PY905Col,0))</f>
        <v>#N/A</v>
      </c>
      <c r="L44" s="1463">
        <v>12320000</v>
      </c>
    </row>
    <row r="45" spans="1:12" hidden="1" x14ac:dyDescent="0.2">
      <c r="A45" s="191">
        <v>1345</v>
      </c>
      <c r="B45" s="2951" t="s">
        <v>2631</v>
      </c>
      <c r="C45" s="2951"/>
      <c r="D45" s="2951"/>
      <c r="E45" s="2951"/>
      <c r="F45" s="372">
        <v>0</v>
      </c>
      <c r="G45" s="463"/>
      <c r="I45" s="365" t="e">
        <f t="shared" si="1"/>
        <v>#N/A</v>
      </c>
      <c r="L45" s="1524"/>
    </row>
    <row r="46" spans="1:12" x14ac:dyDescent="0.2">
      <c r="A46" s="191">
        <v>1350</v>
      </c>
      <c r="B46" s="2951" t="s">
        <v>2632</v>
      </c>
      <c r="C46" s="2951"/>
      <c r="D46" s="2951"/>
      <c r="E46" s="2951"/>
      <c r="F46" s="372">
        <v>0</v>
      </c>
      <c r="I46" s="365" t="e">
        <f t="shared" si="1"/>
        <v>#N/A</v>
      </c>
      <c r="L46" s="1463">
        <v>12351000</v>
      </c>
    </row>
    <row r="47" spans="1:12" x14ac:dyDescent="0.2">
      <c r="A47" s="191">
        <v>1370</v>
      </c>
      <c r="B47" s="2951" t="s">
        <v>2633</v>
      </c>
      <c r="C47" s="2951"/>
      <c r="D47" s="2951"/>
      <c r="E47" s="2951"/>
      <c r="F47" s="372">
        <v>0</v>
      </c>
      <c r="I47" s="365" t="e">
        <f t="shared" si="1"/>
        <v>#N/A</v>
      </c>
      <c r="L47" s="1463">
        <v>12336000</v>
      </c>
    </row>
    <row r="48" spans="1:12" x14ac:dyDescent="0.2">
      <c r="A48" s="191">
        <v>1400</v>
      </c>
      <c r="B48" s="2881" t="s">
        <v>2640</v>
      </c>
      <c r="C48" s="2881"/>
      <c r="D48" s="2881"/>
      <c r="E48" s="2881"/>
      <c r="F48" s="372">
        <v>0</v>
      </c>
      <c r="I48" s="365" t="e">
        <f t="shared" si="1"/>
        <v>#N/A</v>
      </c>
      <c r="L48" s="1463">
        <v>12510000</v>
      </c>
    </row>
    <row r="49" spans="1:12" x14ac:dyDescent="0.2">
      <c r="A49" s="191">
        <v>1401</v>
      </c>
      <c r="B49" s="2881" t="s">
        <v>2641</v>
      </c>
      <c r="C49" s="2881"/>
      <c r="D49" s="2881"/>
      <c r="E49" s="2881"/>
      <c r="F49" s="372">
        <v>0</v>
      </c>
      <c r="I49" s="365" t="e">
        <f t="shared" si="1"/>
        <v>#N/A</v>
      </c>
      <c r="K49" s="1219"/>
      <c r="L49" s="1463">
        <v>12530000</v>
      </c>
    </row>
    <row r="50" spans="1:12" x14ac:dyDescent="0.2">
      <c r="A50" s="2069">
        <v>1404</v>
      </c>
      <c r="B50" s="2946" t="s">
        <v>2654</v>
      </c>
      <c r="C50" s="2946"/>
      <c r="D50" s="2946"/>
      <c r="E50" s="2946"/>
      <c r="F50" s="372">
        <v>0</v>
      </c>
      <c r="I50" s="365" t="e">
        <f>INDEX(PY905Data,MATCH($A50,PY905Row,0),MATCH($C$5,PY905Col,0))</f>
        <v>#N/A</v>
      </c>
      <c r="K50" s="2011" t="s">
        <v>2643</v>
      </c>
      <c r="L50" s="2010">
        <v>12540000</v>
      </c>
    </row>
    <row r="51" spans="1:12" x14ac:dyDescent="0.2">
      <c r="A51" s="191">
        <v>1415</v>
      </c>
      <c r="B51" s="2881" t="s">
        <v>2655</v>
      </c>
      <c r="C51" s="2881"/>
      <c r="D51" s="2881"/>
      <c r="E51" s="2881"/>
      <c r="F51" s="372">
        <v>0</v>
      </c>
      <c r="G51" s="159"/>
      <c r="I51" s="365" t="e">
        <f t="shared" si="1"/>
        <v>#N/A</v>
      </c>
      <c r="L51" s="1463">
        <v>12950000</v>
      </c>
    </row>
    <row r="52" spans="1:12" x14ac:dyDescent="0.2">
      <c r="A52" s="191">
        <v>1420</v>
      </c>
      <c r="B52" s="2881" t="s">
        <v>2639</v>
      </c>
      <c r="C52" s="2881"/>
      <c r="D52" s="2881"/>
      <c r="E52" s="2881"/>
      <c r="F52" s="372">
        <v>0</v>
      </c>
      <c r="I52" s="365" t="e">
        <f t="shared" si="1"/>
        <v>#N/A</v>
      </c>
      <c r="L52" s="1463">
        <v>12910000</v>
      </c>
    </row>
    <row r="53" spans="1:12" x14ac:dyDescent="0.2">
      <c r="A53" s="191">
        <v>1270</v>
      </c>
      <c r="B53" s="2881" t="s">
        <v>2644</v>
      </c>
      <c r="C53" s="2881"/>
      <c r="D53" s="2881"/>
      <c r="E53" s="2881"/>
      <c r="F53" s="372">
        <v>0</v>
      </c>
      <c r="I53" s="365" t="e">
        <f t="shared" si="1"/>
        <v>#N/A</v>
      </c>
      <c r="L53" s="1463">
        <v>12111000</v>
      </c>
    </row>
    <row r="54" spans="1:12" x14ac:dyDescent="0.2">
      <c r="A54" s="191">
        <v>1280</v>
      </c>
      <c r="B54" s="2881" t="s">
        <v>2656</v>
      </c>
      <c r="C54" s="2881"/>
      <c r="D54" s="2881"/>
      <c r="E54" s="2881"/>
      <c r="F54" s="372">
        <v>0</v>
      </c>
      <c r="I54" s="365" t="e">
        <f t="shared" si="1"/>
        <v>#N/A</v>
      </c>
      <c r="L54" s="1463">
        <v>12122000</v>
      </c>
    </row>
    <row r="55" spans="1:12" x14ac:dyDescent="0.2">
      <c r="A55" s="191">
        <v>1410</v>
      </c>
      <c r="B55" s="2881" t="s">
        <v>2648</v>
      </c>
      <c r="C55" s="2881"/>
      <c r="D55" s="2881"/>
      <c r="E55" s="2881"/>
      <c r="F55" s="372">
        <v>0</v>
      </c>
      <c r="I55" s="365" t="e">
        <f t="shared" si="1"/>
        <v>#N/A</v>
      </c>
      <c r="L55" s="1463">
        <v>12212500</v>
      </c>
    </row>
    <row r="56" spans="1:12" hidden="1" x14ac:dyDescent="0.2">
      <c r="A56" s="191"/>
      <c r="B56" s="2881" t="s">
        <v>2657</v>
      </c>
      <c r="C56" s="2881"/>
      <c r="D56" s="2881"/>
      <c r="E56" s="2881"/>
      <c r="F56" s="236">
        <v>0</v>
      </c>
      <c r="G56" s="463"/>
      <c r="I56" s="365"/>
      <c r="L56" s="1524"/>
    </row>
    <row r="57" spans="1:12" x14ac:dyDescent="0.2">
      <c r="A57" s="666">
        <v>1395</v>
      </c>
      <c r="B57" s="2881" t="s">
        <v>2658</v>
      </c>
      <c r="C57" s="2881"/>
      <c r="D57" s="2881"/>
      <c r="E57" s="2881"/>
      <c r="F57" s="587">
        <f>'525'!H35</f>
        <v>0</v>
      </c>
      <c r="G57" t="str">
        <f>IF(F57='525'!H35, " ", "Problem: Must agree to ws 525 total  Restricted due frm St of NC Comp Unit")</f>
        <v xml:space="preserve"> </v>
      </c>
      <c r="I57" s="365" t="e">
        <f>INDEX(PY905Data,MATCH($A57,PY905Row,0),MATCH($C$5,PY905Col,0))</f>
        <v>#N/A</v>
      </c>
      <c r="L57" s="1021">
        <v>12420000</v>
      </c>
    </row>
    <row r="58" spans="1:12" x14ac:dyDescent="0.2">
      <c r="A58" s="666">
        <v>1390</v>
      </c>
      <c r="B58" s="2881" t="s">
        <v>2659</v>
      </c>
      <c r="C58" s="2881"/>
      <c r="D58" s="2881"/>
      <c r="E58" s="2881"/>
      <c r="F58" s="587">
        <f>'515'!H32</f>
        <v>0</v>
      </c>
      <c r="G58" t="str">
        <f>IF(F58='515'!H32, " ", "Problem: Must agree to ws 515 total Restricted Due from Primary Govt")</f>
        <v xml:space="preserve"> </v>
      </c>
      <c r="I58" s="365" t="e">
        <f>INDEX(PY905Data,MATCH($A58,PY905Row,0),MATCH($C$5,PY905Col,0))</f>
        <v>#N/A</v>
      </c>
      <c r="L58" s="1021">
        <v>12410000</v>
      </c>
    </row>
    <row r="59" spans="1:12" x14ac:dyDescent="0.2">
      <c r="A59" s="191">
        <v>1432</v>
      </c>
      <c r="B59" s="2881" t="s">
        <v>2649</v>
      </c>
      <c r="C59" s="2881"/>
      <c r="D59" s="2881"/>
      <c r="E59" s="2881"/>
      <c r="F59" s="372">
        <v>0</v>
      </c>
      <c r="I59" s="365" t="e">
        <f>INDEX(PY905Data,MATCH($A59,PY905Row,0),MATCH($C$5,PY905Col,0))</f>
        <v>#N/A</v>
      </c>
      <c r="L59" s="1463">
        <v>12970000</v>
      </c>
    </row>
    <row r="60" spans="1:12" x14ac:dyDescent="0.2">
      <c r="A60" s="191">
        <v>1434</v>
      </c>
      <c r="B60" s="2881" t="s">
        <v>2650</v>
      </c>
      <c r="C60" s="2881"/>
      <c r="D60" s="2881"/>
      <c r="E60" s="2881"/>
      <c r="F60" s="372">
        <v>0</v>
      </c>
      <c r="I60" s="365" t="e">
        <f>INDEX(PY905Data,MATCH($A60,PY905Row,0),MATCH($C$5,PY905Col,0))</f>
        <v>#N/A</v>
      </c>
      <c r="K60" s="1021"/>
      <c r="L60" s="1463">
        <v>12491000</v>
      </c>
    </row>
    <row r="61" spans="1:12" x14ac:dyDescent="0.2">
      <c r="A61" s="191">
        <v>1433</v>
      </c>
      <c r="B61" s="2881" t="s">
        <v>2651</v>
      </c>
      <c r="C61" s="2881"/>
      <c r="D61" s="2881"/>
      <c r="E61" s="2881"/>
      <c r="F61" s="372">
        <v>0</v>
      </c>
      <c r="I61" s="365" t="e">
        <f>INDEX(PY905Data,MATCH($A61,PY905Row,0),MATCH($C$5,PY905Col,0))</f>
        <v>#N/A</v>
      </c>
      <c r="K61" s="1021"/>
      <c r="L61" s="1463">
        <v>12978000</v>
      </c>
    </row>
    <row r="62" spans="1:12" ht="10.5" customHeight="1" x14ac:dyDescent="0.2">
      <c r="A62" s="191"/>
      <c r="B62" s="2569" t="s">
        <v>2660</v>
      </c>
      <c r="C62" s="2569"/>
      <c r="D62" s="2569"/>
      <c r="E62" s="2569"/>
      <c r="I62" s="365"/>
    </row>
    <row r="63" spans="1:12" x14ac:dyDescent="0.2">
      <c r="A63" s="666">
        <v>1480</v>
      </c>
      <c r="B63" s="2951" t="s">
        <v>2661</v>
      </c>
      <c r="C63" s="2951"/>
      <c r="D63" s="2951"/>
      <c r="E63" s="2951"/>
      <c r="F63" s="587">
        <f>'201'!T20</f>
        <v>0</v>
      </c>
      <c r="G63" s="159" t="str">
        <f>IF(F63='201'!T20," ","Problem:Must agree to worksheet 201 - complete the 201 worksheet first")</f>
        <v xml:space="preserve"> </v>
      </c>
      <c r="I63" s="365" t="e">
        <f>INDEX(PY905Data,MATCH($A63,PY905Row,0),MATCH($C$5,PY905Col,0))</f>
        <v>#N/A</v>
      </c>
    </row>
    <row r="64" spans="1:12" x14ac:dyDescent="0.2">
      <c r="A64" s="666">
        <v>1490</v>
      </c>
      <c r="B64" s="2951" t="s">
        <v>2662</v>
      </c>
      <c r="C64" s="2951"/>
      <c r="D64" s="2951"/>
      <c r="E64" s="2951"/>
      <c r="F64" s="587">
        <f>'201'!T21</f>
        <v>0</v>
      </c>
      <c r="G64" s="159" t="str">
        <f>IF(F64='201'!T21," ","Problem:Must agree to worksheet 201")</f>
        <v xml:space="preserve"> </v>
      </c>
      <c r="I64" s="365" t="e">
        <f>INDEX(PY905Data,MATCH($A64,PY905Row,0),MATCH($C$5,PY905Col,0))</f>
        <v>#N/A</v>
      </c>
    </row>
    <row r="65" spans="1:15" x14ac:dyDescent="0.2">
      <c r="A65" s="666">
        <v>1500</v>
      </c>
      <c r="B65" s="2951" t="s">
        <v>2663</v>
      </c>
      <c r="C65" s="2951"/>
      <c r="D65" s="2951"/>
      <c r="E65" s="2951"/>
      <c r="F65" s="587">
        <f>'201'!T22</f>
        <v>0</v>
      </c>
      <c r="G65" s="159" t="str">
        <f>IF(F65='201'!T22," ","Problem:Must agree to worksheet 201")</f>
        <v xml:space="preserve"> </v>
      </c>
      <c r="I65" s="365" t="e">
        <f t="shared" ref="I65:I68" si="2">INDEX(PY905Data,MATCH($A65,PY905Row,0),MATCH($C$5,PY905Col,0))</f>
        <v>#N/A</v>
      </c>
    </row>
    <row r="66" spans="1:15" x14ac:dyDescent="0.2">
      <c r="A66" s="666">
        <v>1503</v>
      </c>
      <c r="B66" s="2951" t="s">
        <v>2664</v>
      </c>
      <c r="C66" s="2951"/>
      <c r="D66" s="2951"/>
      <c r="E66" s="2951"/>
      <c r="F66" s="587">
        <f>'201'!T23</f>
        <v>0</v>
      </c>
      <c r="G66" s="159" t="str">
        <f>IF(F66='201'!T23," ","Problem:Must agree to worksheet 201")</f>
        <v xml:space="preserve"> </v>
      </c>
      <c r="I66" s="365" t="e">
        <f t="shared" si="2"/>
        <v>#N/A</v>
      </c>
    </row>
    <row r="67" spans="1:15" x14ac:dyDescent="0.2">
      <c r="A67" s="666">
        <v>1505</v>
      </c>
      <c r="B67" s="2951" t="s">
        <v>2665</v>
      </c>
      <c r="C67" s="2951"/>
      <c r="D67" s="2951"/>
      <c r="E67" s="2951"/>
      <c r="F67" s="587">
        <f>'201'!T24</f>
        <v>0</v>
      </c>
      <c r="G67" s="159" t="str">
        <f>IF(F67='201'!T24," ","Problem:Must agree to worksheet 201")</f>
        <v xml:space="preserve"> </v>
      </c>
      <c r="I67" s="365" t="e">
        <f t="shared" si="2"/>
        <v>#N/A</v>
      </c>
    </row>
    <row r="68" spans="1:15" x14ac:dyDescent="0.2">
      <c r="A68" s="666">
        <v>1506</v>
      </c>
      <c r="B68" s="2951" t="s">
        <v>2666</v>
      </c>
      <c r="C68" s="2951"/>
      <c r="D68" s="2951"/>
      <c r="E68" s="2951"/>
      <c r="F68" s="587">
        <f>'201'!T25</f>
        <v>0</v>
      </c>
      <c r="G68" s="159" t="str">
        <f>IF(F68='201'!T25," ","Problem:Must agree to worksheet 201")</f>
        <v xml:space="preserve"> </v>
      </c>
      <c r="I68" s="365" t="e">
        <f t="shared" si="2"/>
        <v>#N/A</v>
      </c>
      <c r="J68" s="159"/>
    </row>
    <row r="69" spans="1:15" ht="12" customHeight="1" x14ac:dyDescent="0.2">
      <c r="A69" s="191"/>
      <c r="B69" s="2881" t="s">
        <v>2667</v>
      </c>
      <c r="C69" s="2881"/>
      <c r="D69" s="2881"/>
      <c r="E69" s="2881"/>
      <c r="F69" s="374">
        <f>SUM(F63:F68)</f>
        <v>0</v>
      </c>
      <c r="G69" s="159"/>
      <c r="I69" s="374" t="e">
        <f>SUM(I63:I68)</f>
        <v>#N/A</v>
      </c>
      <c r="J69" s="159"/>
    </row>
    <row r="70" spans="1:15" ht="10.5" customHeight="1" x14ac:dyDescent="0.2">
      <c r="A70" s="191"/>
      <c r="B70" s="2569" t="s">
        <v>611</v>
      </c>
      <c r="C70" s="2569"/>
      <c r="D70" s="2569"/>
      <c r="E70" s="2569"/>
    </row>
    <row r="71" spans="1:15" x14ac:dyDescent="0.2">
      <c r="A71" s="666">
        <v>1520</v>
      </c>
      <c r="B71" s="2951" t="s">
        <v>2668</v>
      </c>
      <c r="C71" s="2951"/>
      <c r="D71" s="2951"/>
      <c r="E71" s="2951"/>
      <c r="F71" s="587">
        <f>'201'!T27</f>
        <v>0</v>
      </c>
      <c r="G71" s="159" t="str">
        <f>IF(F71='201'!T27," ","Problem:Must agree to worksheet 201")</f>
        <v xml:space="preserve"> </v>
      </c>
      <c r="I71" s="365" t="e">
        <f t="shared" ref="I71:I84" si="3">INDEX(PY905Data,MATCH($A71,PY905Row,0),MATCH($C$5,PY905Col,0))</f>
        <v>#N/A</v>
      </c>
    </row>
    <row r="72" spans="1:15" x14ac:dyDescent="0.2">
      <c r="A72" s="666">
        <v>1530</v>
      </c>
      <c r="B72" s="2951" t="s">
        <v>2669</v>
      </c>
      <c r="C72" s="2951"/>
      <c r="D72" s="2951"/>
      <c r="E72" s="2951"/>
      <c r="F72" s="587">
        <f>'201'!T28</f>
        <v>0</v>
      </c>
      <c r="G72" s="159" t="str">
        <f>IF(F72='201'!T28," ","Problem:Must agree to worksheet 201")</f>
        <v xml:space="preserve"> </v>
      </c>
      <c r="I72" s="365" t="e">
        <f t="shared" si="3"/>
        <v>#N/A</v>
      </c>
    </row>
    <row r="73" spans="1:15" x14ac:dyDescent="0.2">
      <c r="A73" s="666">
        <v>1540</v>
      </c>
      <c r="B73" s="2951" t="s">
        <v>2670</v>
      </c>
      <c r="C73" s="2951"/>
      <c r="D73" s="2951"/>
      <c r="E73" s="2951"/>
      <c r="F73" s="587">
        <f>'201'!T29</f>
        <v>0</v>
      </c>
      <c r="G73" s="159" t="str">
        <f>IF(F73='201'!T29," ","Problem:Must agree to worksheet 201")</f>
        <v xml:space="preserve"> </v>
      </c>
      <c r="I73" s="365" t="e">
        <f t="shared" si="3"/>
        <v>#N/A</v>
      </c>
    </row>
    <row r="74" spans="1:15" x14ac:dyDescent="0.2">
      <c r="A74" s="666">
        <v>1550</v>
      </c>
      <c r="B74" s="2951" t="s">
        <v>2671</v>
      </c>
      <c r="C74" s="2951"/>
      <c r="D74" s="2951"/>
      <c r="E74" s="2951"/>
      <c r="F74" s="587">
        <f>'201'!T30</f>
        <v>0</v>
      </c>
      <c r="G74" s="159" t="str">
        <f>IF(F74='201'!T30," ","Problem:Must agree to worksheet 201")</f>
        <v xml:space="preserve"> </v>
      </c>
      <c r="I74" s="365" t="e">
        <f t="shared" si="3"/>
        <v>#N/A</v>
      </c>
    </row>
    <row r="75" spans="1:15" x14ac:dyDescent="0.2">
      <c r="A75" s="666">
        <v>1481</v>
      </c>
      <c r="B75" s="2951" t="s">
        <v>2672</v>
      </c>
      <c r="C75" s="2951"/>
      <c r="D75" s="2951"/>
      <c r="E75" s="2951"/>
      <c r="F75" s="587">
        <f>'201'!T37</f>
        <v>0</v>
      </c>
      <c r="G75" s="159" t="str">
        <f>IF(F75='201'!T37," ","Problem:Must agree to worksheet 201")</f>
        <v xml:space="preserve"> </v>
      </c>
      <c r="I75" s="365" t="e">
        <f t="shared" si="3"/>
        <v>#N/A</v>
      </c>
      <c r="K75" s="1219"/>
    </row>
    <row r="76" spans="1:15" x14ac:dyDescent="0.2">
      <c r="A76" s="666">
        <v>1521</v>
      </c>
      <c r="B76" s="2951" t="s">
        <v>2673</v>
      </c>
      <c r="C76" s="2951"/>
      <c r="D76" s="2951"/>
      <c r="E76" s="2951"/>
      <c r="F76" s="587">
        <f>'201'!T38</f>
        <v>0</v>
      </c>
      <c r="G76" s="159" t="str">
        <f>IF(F76='201'!T38," ","Problem:Must agree to worksheet 201")</f>
        <v xml:space="preserve"> </v>
      </c>
      <c r="I76" s="365" t="e">
        <f t="shared" si="3"/>
        <v>#N/A</v>
      </c>
      <c r="K76" s="1219"/>
    </row>
    <row r="77" spans="1:15" x14ac:dyDescent="0.2">
      <c r="A77" s="666">
        <v>1531</v>
      </c>
      <c r="B77" s="2951" t="s">
        <v>2674</v>
      </c>
      <c r="C77" s="2951"/>
      <c r="D77" s="2951"/>
      <c r="E77" s="2951"/>
      <c r="F77" s="587">
        <f>'201'!T39</f>
        <v>0</v>
      </c>
      <c r="G77" s="159" t="str">
        <f>IF(F77='201'!T39," ","Problem:Must agree to worksheet 201")</f>
        <v xml:space="preserve"> </v>
      </c>
      <c r="I77" s="365" t="e">
        <f t="shared" si="3"/>
        <v>#N/A</v>
      </c>
      <c r="K77" s="1219"/>
      <c r="O77" s="159"/>
    </row>
    <row r="78" spans="1:15" x14ac:dyDescent="0.2">
      <c r="A78" s="666">
        <v>1551</v>
      </c>
      <c r="B78" s="2951" t="s">
        <v>2675</v>
      </c>
      <c r="C78" s="2951"/>
      <c r="D78" s="2951"/>
      <c r="E78" s="2951"/>
      <c r="F78" s="587">
        <f>'201'!T40</f>
        <v>0</v>
      </c>
      <c r="G78" s="159" t="str">
        <f>IF(F78='201'!T40," ","Problem:Must agree to worksheet 201")</f>
        <v xml:space="preserve"> </v>
      </c>
      <c r="I78" s="365" t="e">
        <f t="shared" si="3"/>
        <v>#N/A</v>
      </c>
      <c r="K78" s="1219"/>
      <c r="O78" s="159"/>
    </row>
    <row r="79" spans="1:15" x14ac:dyDescent="0.2">
      <c r="A79" s="666">
        <v>1553</v>
      </c>
      <c r="B79" s="2951" t="s">
        <v>2676</v>
      </c>
      <c r="C79" s="2951"/>
      <c r="D79" s="2951"/>
      <c r="E79" s="2951"/>
      <c r="F79" s="587">
        <f>'201'!T33</f>
        <v>0</v>
      </c>
      <c r="G79" s="159" t="str">
        <f>IF(F79='201'!T33," ","Problem:Must agree to worksheet 201")</f>
        <v xml:space="preserve"> </v>
      </c>
      <c r="I79" s="365" t="e">
        <f t="shared" si="3"/>
        <v>#N/A</v>
      </c>
    </row>
    <row r="80" spans="1:15" x14ac:dyDescent="0.2">
      <c r="A80" s="666">
        <v>1555</v>
      </c>
      <c r="B80" s="2951" t="s">
        <v>2677</v>
      </c>
      <c r="C80" s="2951"/>
      <c r="D80" s="2951"/>
      <c r="E80" s="2951"/>
      <c r="F80" s="587">
        <f>'201'!T34</f>
        <v>0</v>
      </c>
      <c r="G80" s="159" t="str">
        <f>IF(F80='201'!T34," ","Problem:Must agree to worksheet 201")</f>
        <v xml:space="preserve"> </v>
      </c>
      <c r="I80" s="365" t="e">
        <f t="shared" si="3"/>
        <v>#N/A</v>
      </c>
    </row>
    <row r="81" spans="1:12" x14ac:dyDescent="0.2">
      <c r="A81" s="2075">
        <v>1556</v>
      </c>
      <c r="B81" s="2950" t="s">
        <v>2678</v>
      </c>
      <c r="C81" s="2950"/>
      <c r="D81" s="2950"/>
      <c r="E81" s="2950"/>
      <c r="F81" s="587">
        <f>'201'!T42</f>
        <v>0</v>
      </c>
      <c r="G81" s="159"/>
      <c r="I81" s="365" t="e">
        <f t="shared" si="3"/>
        <v>#N/A</v>
      </c>
      <c r="K81" s="2011" t="s">
        <v>2643</v>
      </c>
      <c r="L81" s="2010"/>
    </row>
    <row r="82" spans="1:12" x14ac:dyDescent="0.2">
      <c r="A82" s="2075">
        <v>1556</v>
      </c>
      <c r="B82" s="2950" t="s">
        <v>2679</v>
      </c>
      <c r="C82" s="2950"/>
      <c r="D82" s="2950"/>
      <c r="E82" s="2950"/>
      <c r="F82" s="587">
        <f>'201'!T43</f>
        <v>0</v>
      </c>
      <c r="G82" s="159"/>
      <c r="I82" s="365" t="e">
        <f t="shared" si="3"/>
        <v>#N/A</v>
      </c>
      <c r="K82" s="2011" t="s">
        <v>2643</v>
      </c>
      <c r="L82" s="2010"/>
    </row>
    <row r="83" spans="1:12" x14ac:dyDescent="0.2">
      <c r="A83" s="666">
        <v>1560</v>
      </c>
      <c r="B83" s="2951" t="s">
        <v>2680</v>
      </c>
      <c r="C83" s="2951"/>
      <c r="D83" s="2951"/>
      <c r="E83" s="2951"/>
      <c r="F83" s="587">
        <f>'201'!T35</f>
        <v>0</v>
      </c>
      <c r="G83" s="159" t="str">
        <f>IF(F83='201'!T35," ","Problem:Must agree to worksheet 201")</f>
        <v xml:space="preserve"> </v>
      </c>
      <c r="I83" s="365" t="e">
        <f t="shared" si="3"/>
        <v>#N/A</v>
      </c>
    </row>
    <row r="84" spans="1:12" x14ac:dyDescent="0.2">
      <c r="A84" s="666">
        <v>1570</v>
      </c>
      <c r="B84" s="2881" t="s">
        <v>2681</v>
      </c>
      <c r="C84" s="2881"/>
      <c r="D84" s="2881"/>
      <c r="E84" s="2881"/>
      <c r="F84" s="599">
        <f>-'210'!Q34</f>
        <v>0</v>
      </c>
      <c r="G84" s="159" t="str">
        <f>IF(F84=-'210'!Q34," ","Problem:Must agree to total accumulated depreciation per worksheet 210 cell O25, entered here as a negative number")</f>
        <v xml:space="preserve"> </v>
      </c>
      <c r="I84" s="367" t="e">
        <f t="shared" si="3"/>
        <v>#N/A</v>
      </c>
      <c r="J84" s="159"/>
    </row>
    <row r="85" spans="1:12" x14ac:dyDescent="0.2">
      <c r="A85" s="191"/>
      <c r="B85" s="2881" t="s">
        <v>2682</v>
      </c>
      <c r="C85" s="2881"/>
      <c r="D85" s="2881"/>
      <c r="E85" s="2881"/>
      <c r="F85" s="367">
        <f>SUM(F71:F84)</f>
        <v>0</v>
      </c>
      <c r="G85" s="159"/>
      <c r="I85" s="367" t="e">
        <f>SUM(I71:I84)</f>
        <v>#N/A</v>
      </c>
    </row>
    <row r="86" spans="1:12" x14ac:dyDescent="0.2">
      <c r="A86" s="381"/>
      <c r="B86" s="2952" t="s">
        <v>2683</v>
      </c>
      <c r="C86" s="2952"/>
      <c r="D86" s="2952"/>
      <c r="E86" s="2952"/>
      <c r="F86" s="374">
        <f>SUM(F41:F85)-F69-F85</f>
        <v>0</v>
      </c>
      <c r="I86" s="374" t="e">
        <f>SUM(I41:I85)-I69-I85</f>
        <v>#N/A</v>
      </c>
    </row>
    <row r="87" spans="1:12" ht="6.75" customHeight="1" x14ac:dyDescent="0.2">
      <c r="I87" s="365"/>
    </row>
    <row r="88" spans="1:12" x14ac:dyDescent="0.2">
      <c r="B88" s="2952" t="s">
        <v>2684</v>
      </c>
      <c r="C88" s="2952"/>
      <c r="D88" s="2952"/>
      <c r="E88" s="2952"/>
      <c r="F88" s="367">
        <f>F86+F38</f>
        <v>0</v>
      </c>
      <c r="I88" s="367" t="e">
        <f>I86+I38</f>
        <v>#N/A</v>
      </c>
    </row>
    <row r="89" spans="1:12" ht="6" customHeight="1" x14ac:dyDescent="0.2"/>
    <row r="90" spans="1:12" ht="12.75" customHeight="1" x14ac:dyDescent="0.2">
      <c r="B90" s="2377" t="s">
        <v>2685</v>
      </c>
    </row>
    <row r="91" spans="1:12" ht="12.75" customHeight="1" x14ac:dyDescent="0.2">
      <c r="A91" s="865">
        <v>1234</v>
      </c>
      <c r="B91" s="2881" t="s">
        <v>2686</v>
      </c>
      <c r="C91" s="2881"/>
      <c r="D91" s="2881"/>
      <c r="E91" s="2881"/>
      <c r="F91" s="372">
        <v>0</v>
      </c>
      <c r="I91" s="365" t="e">
        <f t="shared" ref="I91:I97" si="4">INDEX(PY905Data,MATCH($A91,PY905Row,0),MATCH($C$5,PY905Col,0))</f>
        <v>#N/A</v>
      </c>
      <c r="L91" s="1463">
        <v>61100002</v>
      </c>
    </row>
    <row r="92" spans="1:12" ht="12.75" customHeight="1" x14ac:dyDescent="0.2">
      <c r="A92" s="865">
        <v>1236</v>
      </c>
      <c r="B92" s="2881" t="s">
        <v>2092</v>
      </c>
      <c r="C92" s="2881"/>
      <c r="D92" s="2881"/>
      <c r="E92" s="2881"/>
      <c r="F92" s="372">
        <v>0</v>
      </c>
      <c r="I92" s="365" t="e">
        <f t="shared" si="4"/>
        <v>#N/A</v>
      </c>
      <c r="L92" s="1463">
        <v>61100003</v>
      </c>
    </row>
    <row r="93" spans="1:12" ht="12.75" customHeight="1" x14ac:dyDescent="0.2">
      <c r="A93" s="865">
        <v>1242</v>
      </c>
      <c r="B93" s="2881" t="s">
        <v>2687</v>
      </c>
      <c r="C93" s="2881"/>
      <c r="D93" s="2881"/>
      <c r="E93" s="2881"/>
      <c r="F93" s="372">
        <v>0</v>
      </c>
      <c r="I93" s="365" t="e">
        <f t="shared" si="4"/>
        <v>#N/A</v>
      </c>
      <c r="K93" s="1021"/>
      <c r="L93" s="1463">
        <v>61100007</v>
      </c>
    </row>
    <row r="94" spans="1:12" ht="12.75" customHeight="1" x14ac:dyDescent="0.2">
      <c r="A94" s="865">
        <v>1237</v>
      </c>
      <c r="B94" s="2881" t="s">
        <v>2093</v>
      </c>
      <c r="C94" s="2881"/>
      <c r="D94" s="2881"/>
      <c r="E94" s="2881"/>
      <c r="F94" s="372">
        <v>0</v>
      </c>
      <c r="I94" s="365" t="e">
        <f t="shared" si="4"/>
        <v>#N/A</v>
      </c>
      <c r="K94" s="965"/>
      <c r="L94" s="1463">
        <v>61100008</v>
      </c>
    </row>
    <row r="95" spans="1:12" ht="12.75" customHeight="1" x14ac:dyDescent="0.2">
      <c r="A95" s="865">
        <v>1241</v>
      </c>
      <c r="B95" s="2881" t="s">
        <v>2094</v>
      </c>
      <c r="C95" s="2881"/>
      <c r="D95" s="2881"/>
      <c r="E95" s="2881"/>
      <c r="F95" s="372">
        <v>0</v>
      </c>
      <c r="I95" s="365" t="e">
        <f t="shared" si="4"/>
        <v>#N/A</v>
      </c>
      <c r="K95" s="1021"/>
      <c r="L95" s="1463">
        <v>61100009</v>
      </c>
    </row>
    <row r="96" spans="1:12" ht="12.75" customHeight="1" x14ac:dyDescent="0.2">
      <c r="A96" s="865">
        <v>1238</v>
      </c>
      <c r="B96" s="2881" t="s">
        <v>2095</v>
      </c>
      <c r="C96" s="2881"/>
      <c r="D96" s="2881"/>
      <c r="E96" s="2881"/>
      <c r="F96" s="372">
        <v>0</v>
      </c>
      <c r="I96" s="365" t="e">
        <f t="shared" si="4"/>
        <v>#N/A</v>
      </c>
      <c r="L96" s="1463">
        <v>61100006</v>
      </c>
    </row>
    <row r="97" spans="1:12" ht="12" customHeight="1" x14ac:dyDescent="0.2">
      <c r="A97" s="865">
        <v>1239</v>
      </c>
      <c r="B97" s="2881" t="s">
        <v>2096</v>
      </c>
      <c r="C97" s="2881"/>
      <c r="D97" s="2881"/>
      <c r="E97" s="2881"/>
      <c r="F97" s="373">
        <v>0</v>
      </c>
      <c r="I97" s="365" t="e">
        <f t="shared" si="4"/>
        <v>#N/A</v>
      </c>
      <c r="L97" s="1463">
        <v>61100004</v>
      </c>
    </row>
    <row r="98" spans="1:12" ht="13.5" customHeight="1" x14ac:dyDescent="0.2">
      <c r="B98" s="2952" t="s">
        <v>2688</v>
      </c>
      <c r="C98" s="2952"/>
      <c r="D98" s="2952"/>
      <c r="E98" s="2952"/>
      <c r="F98" s="374">
        <f>SUM(F90:F97)</f>
        <v>0</v>
      </c>
      <c r="I98" s="374" t="e">
        <f>SUM(I90:I97)</f>
        <v>#N/A</v>
      </c>
    </row>
    <row r="99" spans="1:12" ht="6" customHeight="1" x14ac:dyDescent="0.2">
      <c r="B99" s="2347"/>
      <c r="C99" s="2347"/>
      <c r="D99" s="2347"/>
      <c r="E99" s="2347"/>
      <c r="F99" s="372"/>
      <c r="I99" s="365"/>
    </row>
    <row r="100" spans="1:12" ht="9.75" customHeight="1" x14ac:dyDescent="0.2">
      <c r="B100" s="2377" t="s">
        <v>2689</v>
      </c>
    </row>
    <row r="101" spans="1:12" ht="10.5" customHeight="1" x14ac:dyDescent="0.2">
      <c r="B101" s="234" t="s">
        <v>2690</v>
      </c>
    </row>
    <row r="102" spans="1:12" ht="12" customHeight="1" x14ac:dyDescent="0.2">
      <c r="A102" s="191"/>
      <c r="B102" s="191" t="s">
        <v>2691</v>
      </c>
      <c r="C102" s="191"/>
    </row>
    <row r="103" spans="1:12" ht="12.75" customHeight="1" x14ac:dyDescent="0.2">
      <c r="A103" s="191">
        <v>1640</v>
      </c>
      <c r="B103" s="2951" t="s">
        <v>2692</v>
      </c>
      <c r="C103" s="2951"/>
      <c r="D103" s="2951"/>
      <c r="E103" s="2951"/>
      <c r="F103" s="372">
        <v>0</v>
      </c>
      <c r="I103" s="365" t="e">
        <f>INDEX(PY905Data,MATCH($A103,PY905Row,0),MATCH($C$5,PY905Col,0))</f>
        <v>#N/A</v>
      </c>
      <c r="L103" s="1463">
        <v>21110000</v>
      </c>
    </row>
    <row r="104" spans="1:12" x14ac:dyDescent="0.2">
      <c r="A104" s="191">
        <v>1650</v>
      </c>
      <c r="B104" s="2951" t="s">
        <v>2693</v>
      </c>
      <c r="C104" s="2951"/>
      <c r="D104" s="2951"/>
      <c r="E104" s="2951"/>
      <c r="F104" s="372">
        <v>0</v>
      </c>
      <c r="I104" s="365" t="e">
        <f>INDEX(PY905Data,MATCH($A104,PY905Row,0),MATCH($C$5,PY905Col,0))</f>
        <v>#N/A</v>
      </c>
      <c r="L104" s="1463">
        <v>21121000</v>
      </c>
    </row>
    <row r="105" spans="1:12" ht="11.25" customHeight="1" x14ac:dyDescent="0.2">
      <c r="A105" s="191">
        <v>1660</v>
      </c>
      <c r="B105" s="2951" t="s">
        <v>2694</v>
      </c>
      <c r="C105" s="2951"/>
      <c r="D105" s="2951"/>
      <c r="E105" s="2951"/>
      <c r="F105" s="372">
        <v>0</v>
      </c>
      <c r="I105" s="365" t="e">
        <f>INDEX(PY905Data,MATCH($A105,PY905Row,0),MATCH($C$5,PY905Col,0))</f>
        <v>#N/A</v>
      </c>
      <c r="L105" s="1463">
        <v>21131000</v>
      </c>
    </row>
    <row r="106" spans="1:12" x14ac:dyDescent="0.2">
      <c r="A106" s="191">
        <v>1670</v>
      </c>
      <c r="B106" s="2951" t="s">
        <v>2695</v>
      </c>
      <c r="C106" s="2951"/>
      <c r="D106" s="2951"/>
      <c r="E106" s="2951"/>
      <c r="F106" s="372">
        <v>0</v>
      </c>
      <c r="I106" s="365" t="e">
        <f>INDEX(PY905Data,MATCH($A106,PY905Row,0),MATCH($C$5,PY905Col,0))</f>
        <v>#N/A</v>
      </c>
      <c r="L106" s="1463">
        <v>21523000</v>
      </c>
    </row>
    <row r="107" spans="1:12" x14ac:dyDescent="0.2">
      <c r="A107" s="191">
        <v>1840</v>
      </c>
      <c r="B107" s="2881" t="s">
        <v>2696</v>
      </c>
      <c r="C107" s="2881"/>
      <c r="D107" s="2881"/>
      <c r="E107" s="2881"/>
      <c r="F107" s="372">
        <v>0</v>
      </c>
      <c r="I107" s="365" t="e">
        <f>INDEX(PY905Data,MATCH($A107,PY905Row,0),MATCH($C$5,PY905Col,0))</f>
        <v>#N/A</v>
      </c>
      <c r="L107" s="1463">
        <v>21621000</v>
      </c>
    </row>
    <row r="108" spans="1:12" ht="9.75" customHeight="1" x14ac:dyDescent="0.2">
      <c r="A108" s="191"/>
      <c r="B108" s="191" t="s">
        <v>2697</v>
      </c>
      <c r="C108" s="191"/>
      <c r="D108" s="191"/>
      <c r="E108" s="191"/>
      <c r="I108" s="365"/>
    </row>
    <row r="109" spans="1:12" x14ac:dyDescent="0.2">
      <c r="A109" s="666">
        <v>1788</v>
      </c>
      <c r="B109" s="2951" t="s">
        <v>2698</v>
      </c>
      <c r="C109" s="2951"/>
      <c r="D109" s="2951"/>
      <c r="E109" s="2951"/>
      <c r="F109" s="587">
        <f>'310'!M38</f>
        <v>0</v>
      </c>
      <c r="G109" t="str">
        <f>IF(F109='310'!M38," ","Problem: Must agree to ws 310 ")</f>
        <v xml:space="preserve"> </v>
      </c>
      <c r="I109" s="365" t="e">
        <f t="shared" ref="I109:I136" si="5">INDEX(PY905Data,MATCH($A109,PY905Row,0),MATCH($C$5,PY905Col,0))</f>
        <v>#N/A</v>
      </c>
    </row>
    <row r="110" spans="1:12" x14ac:dyDescent="0.2">
      <c r="A110" s="666">
        <v>1785</v>
      </c>
      <c r="B110" s="2951" t="s">
        <v>2699</v>
      </c>
      <c r="C110" s="2951"/>
      <c r="D110" s="2951"/>
      <c r="E110" s="2951"/>
      <c r="F110" s="587">
        <f>'310'!M39</f>
        <v>0</v>
      </c>
      <c r="G110" t="str">
        <f>IF(F110='310'!M39," ","Problem: Must agree to ws 310 ")</f>
        <v xml:space="preserve"> </v>
      </c>
      <c r="I110" s="365" t="e">
        <f t="shared" si="5"/>
        <v>#N/A</v>
      </c>
    </row>
    <row r="111" spans="1:12" x14ac:dyDescent="0.2">
      <c r="A111" s="1349">
        <v>1790</v>
      </c>
      <c r="B111" s="2951" t="s">
        <v>2700</v>
      </c>
      <c r="C111" s="2951"/>
      <c r="D111" s="2951"/>
      <c r="E111" s="2951"/>
      <c r="F111" s="587">
        <f>'310'!M40</f>
        <v>0</v>
      </c>
      <c r="G111" t="str">
        <f>IF(F111='310'!M40," ","Problem: Must agree to ws 310 ")</f>
        <v xml:space="preserve"> </v>
      </c>
      <c r="I111" s="365" t="e">
        <f t="shared" si="5"/>
        <v>#N/A</v>
      </c>
      <c r="K111" s="1021"/>
    </row>
    <row r="112" spans="1:12" x14ac:dyDescent="0.2">
      <c r="A112" s="1349">
        <v>1791</v>
      </c>
      <c r="B112" s="2951" t="s">
        <v>2701</v>
      </c>
      <c r="C112" s="2951"/>
      <c r="D112" s="2951"/>
      <c r="E112" s="2951"/>
      <c r="F112" s="587">
        <f>'310'!M41</f>
        <v>0</v>
      </c>
      <c r="G112" t="str">
        <f>IF(F112='310'!M41," ","Problem: Must agree to ws 310 ")</f>
        <v xml:space="preserve"> </v>
      </c>
      <c r="I112" s="365" t="e">
        <f t="shared" si="5"/>
        <v>#N/A</v>
      </c>
      <c r="K112" s="1021"/>
    </row>
    <row r="113" spans="1:13" x14ac:dyDescent="0.2">
      <c r="A113" s="666">
        <v>1787</v>
      </c>
      <c r="B113" s="2951" t="s">
        <v>2702</v>
      </c>
      <c r="C113" s="2951"/>
      <c r="D113" s="2951"/>
      <c r="E113" s="2951"/>
      <c r="F113" s="587">
        <f>'310'!M42</f>
        <v>0</v>
      </c>
      <c r="G113" t="str">
        <f>IF(F113='310'!M42," ","Problem: Must agree to ws 310 ")</f>
        <v xml:space="preserve"> </v>
      </c>
      <c r="I113" s="365" t="e">
        <f t="shared" si="5"/>
        <v>#N/A</v>
      </c>
    </row>
    <row r="114" spans="1:13" x14ac:dyDescent="0.2">
      <c r="A114" s="666">
        <v>1730</v>
      </c>
      <c r="B114" s="2881" t="s">
        <v>2703</v>
      </c>
      <c r="C114" s="2881"/>
      <c r="D114" s="2881"/>
      <c r="E114" s="2881"/>
      <c r="F114" s="587">
        <f>'530'!H32</f>
        <v>0</v>
      </c>
      <c r="G114" t="str">
        <f>IF(F114='530'!H32," ","Problem: Must agree to ws 530 Due to St of NC Comp Unit")</f>
        <v xml:space="preserve"> </v>
      </c>
      <c r="I114" s="365" t="e">
        <f t="shared" si="5"/>
        <v>#N/A</v>
      </c>
      <c r="L114" s="1021">
        <v>21260000</v>
      </c>
    </row>
    <row r="115" spans="1:13" x14ac:dyDescent="0.2">
      <c r="A115" s="666">
        <v>1735</v>
      </c>
      <c r="B115" s="2881" t="s">
        <v>2704</v>
      </c>
      <c r="C115" s="2881"/>
      <c r="D115" s="2881"/>
      <c r="E115" s="2881"/>
      <c r="F115" s="587">
        <f>'616'!D47</f>
        <v>0</v>
      </c>
      <c r="G115" s="643" t="str">
        <f>IF(F115='616'!D47, " ", "Problem: Must agree to ws 616 total Due to Agency/Institution Comp Unit")</f>
        <v xml:space="preserve"> </v>
      </c>
      <c r="I115" s="365" t="e">
        <f t="shared" si="5"/>
        <v>#N/A</v>
      </c>
      <c r="L115" s="1463">
        <v>21270000</v>
      </c>
    </row>
    <row r="116" spans="1:13" x14ac:dyDescent="0.2">
      <c r="A116" s="666">
        <v>1740</v>
      </c>
      <c r="B116" s="2881" t="s">
        <v>2705</v>
      </c>
      <c r="C116" s="2881"/>
      <c r="D116" s="2881"/>
      <c r="E116" s="2881"/>
      <c r="F116" s="587">
        <f>'520'!H32</f>
        <v>0</v>
      </c>
      <c r="G116" t="str">
        <f>IF(F116='520'!H32," ","Problem: Must agree to ws 520 Due to Primary Govt")</f>
        <v xml:space="preserve"> </v>
      </c>
      <c r="I116" s="365" t="e">
        <f t="shared" si="5"/>
        <v>#N/A</v>
      </c>
      <c r="L116" s="1021">
        <v>21250000</v>
      </c>
    </row>
    <row r="117" spans="1:13" x14ac:dyDescent="0.2">
      <c r="A117" s="191">
        <v>1890</v>
      </c>
      <c r="B117" s="2881" t="s">
        <v>2706</v>
      </c>
      <c r="C117" s="2881"/>
      <c r="D117" s="2881"/>
      <c r="E117" s="2881"/>
      <c r="F117" s="372">
        <v>0</v>
      </c>
      <c r="I117" s="365" t="e">
        <f t="shared" si="5"/>
        <v>#N/A</v>
      </c>
      <c r="L117" s="1463">
        <v>21811000</v>
      </c>
    </row>
    <row r="118" spans="1:13" ht="11.25" customHeight="1" x14ac:dyDescent="0.2">
      <c r="A118" s="191">
        <v>1750</v>
      </c>
      <c r="B118" s="2881" t="s">
        <v>2707</v>
      </c>
      <c r="C118" s="2881"/>
      <c r="D118" s="2881"/>
      <c r="E118" s="2881"/>
      <c r="F118" s="372">
        <v>0</v>
      </c>
      <c r="I118" s="365" t="e">
        <f t="shared" si="5"/>
        <v>#N/A</v>
      </c>
      <c r="L118" s="1463">
        <v>21310000</v>
      </c>
    </row>
    <row r="119" spans="1:13" ht="10.5" customHeight="1" x14ac:dyDescent="0.2">
      <c r="A119" s="191">
        <v>1760</v>
      </c>
      <c r="B119" s="2881" t="s">
        <v>2708</v>
      </c>
      <c r="C119" s="2881"/>
      <c r="D119" s="2881"/>
      <c r="E119" s="2881"/>
      <c r="F119" s="372">
        <v>0</v>
      </c>
      <c r="G119" s="1110" t="e">
        <f>IF(AND(ABS(F119)&gt;=1,$C$7="4XXX"),"Universities do not record obligations under securities lending for CAFR"," ")</f>
        <v>#N/A</v>
      </c>
      <c r="I119" s="365" t="e">
        <f t="shared" si="5"/>
        <v>#N/A</v>
      </c>
      <c r="L119" s="1463">
        <v>21315000</v>
      </c>
    </row>
    <row r="120" spans="1:13" x14ac:dyDescent="0.2">
      <c r="A120" s="191">
        <v>1870</v>
      </c>
      <c r="B120" s="2881" t="s">
        <v>2709</v>
      </c>
      <c r="C120" s="2881"/>
      <c r="D120" s="2881"/>
      <c r="E120" s="2881"/>
      <c r="F120" s="372">
        <v>0</v>
      </c>
      <c r="I120" s="365" t="e">
        <f t="shared" si="5"/>
        <v>#N/A</v>
      </c>
      <c r="L120" s="1463">
        <v>21712000</v>
      </c>
    </row>
    <row r="121" spans="1:13" x14ac:dyDescent="0.2">
      <c r="A121" s="191">
        <v>1880</v>
      </c>
      <c r="B121" s="2881" t="s">
        <v>2710</v>
      </c>
      <c r="C121" s="2881"/>
      <c r="D121" s="2881"/>
      <c r="E121" s="2881"/>
      <c r="F121" s="372">
        <v>0</v>
      </c>
      <c r="G121" s="191"/>
      <c r="I121" s="365" t="e">
        <f t="shared" si="5"/>
        <v>#N/A</v>
      </c>
      <c r="L121" s="1463">
        <v>21719000</v>
      </c>
    </row>
    <row r="122" spans="1:13" x14ac:dyDescent="0.2">
      <c r="A122" s="191">
        <v>1762</v>
      </c>
      <c r="B122" s="2881" t="s">
        <v>2711</v>
      </c>
      <c r="C122" s="2881"/>
      <c r="D122" s="2881"/>
      <c r="E122" s="2881"/>
      <c r="F122" s="372">
        <v>0</v>
      </c>
      <c r="I122" s="365" t="e">
        <f t="shared" si="5"/>
        <v>#N/A</v>
      </c>
      <c r="L122" s="1463">
        <v>21920000</v>
      </c>
    </row>
    <row r="123" spans="1:13" x14ac:dyDescent="0.2">
      <c r="A123" s="666">
        <v>1775</v>
      </c>
      <c r="B123" s="2881" t="s">
        <v>2712</v>
      </c>
      <c r="C123" s="2881"/>
      <c r="D123" s="2881"/>
      <c r="E123" s="2881"/>
      <c r="F123" s="587">
        <f>'310'!O26</f>
        <v>0</v>
      </c>
      <c r="G123" t="str">
        <f>IF(F123='310'!O26," ","Problem: Must agree to ws 310 Notes from direct borrowings Due within one year")</f>
        <v xml:space="preserve"> </v>
      </c>
      <c r="I123" s="365" t="e">
        <f t="shared" si="5"/>
        <v>#N/A</v>
      </c>
      <c r="K123" s="1021"/>
    </row>
    <row r="124" spans="1:13" x14ac:dyDescent="0.2">
      <c r="A124" s="2075">
        <v>1780</v>
      </c>
      <c r="B124" s="2946" t="s">
        <v>2713</v>
      </c>
      <c r="C124" s="2946"/>
      <c r="D124" s="2946"/>
      <c r="E124" s="2946"/>
      <c r="F124" s="587">
        <f>'310'!O27</f>
        <v>0</v>
      </c>
      <c r="G124" t="str">
        <f>IF(F124='310'!O27," ","Problem: Must agree to ws 310 Leases payable Due within one year")</f>
        <v xml:space="preserve"> </v>
      </c>
      <c r="I124" s="365" t="e">
        <f t="shared" si="5"/>
        <v>#N/A</v>
      </c>
      <c r="K124" s="2011" t="s">
        <v>2714</v>
      </c>
      <c r="L124" s="2089"/>
      <c r="M124" s="1219"/>
    </row>
    <row r="125" spans="1:13" x14ac:dyDescent="0.2">
      <c r="A125" s="2075">
        <v>1785</v>
      </c>
      <c r="B125" s="2949" t="s">
        <v>2715</v>
      </c>
      <c r="C125" s="2949"/>
      <c r="D125" s="2949"/>
      <c r="E125" s="2949"/>
      <c r="F125" s="587">
        <f>'310'!O28</f>
        <v>0</v>
      </c>
      <c r="I125" s="365" t="e">
        <f t="shared" si="5"/>
        <v>#N/A</v>
      </c>
      <c r="K125" s="2011" t="s">
        <v>2643</v>
      </c>
      <c r="L125" s="1021"/>
    </row>
    <row r="126" spans="1:13" x14ac:dyDescent="0.2">
      <c r="A126" s="666">
        <v>1800</v>
      </c>
      <c r="B126" s="2881" t="s">
        <v>2716</v>
      </c>
      <c r="C126" s="2881"/>
      <c r="D126" s="2881"/>
      <c r="E126" s="2881"/>
      <c r="F126" s="587">
        <f>SUM('310'!O17+'310'!O18+'310'!O20+'310'!O21+'310'!O19)</f>
        <v>0</v>
      </c>
      <c r="G126" t="str">
        <f>IF(F126='310'!O17+'310'!O18+'310'!O19+'310'!O20+'310'!O21," ","Problem: Must agree to ws 310 Sum of Bonds &amp; COPS payable Due within one year")</f>
        <v xml:space="preserve"> </v>
      </c>
      <c r="I126" s="365" t="e">
        <f t="shared" si="5"/>
        <v>#N/A</v>
      </c>
      <c r="K126" s="1219"/>
    </row>
    <row r="127" spans="1:13" x14ac:dyDescent="0.2">
      <c r="A127" s="666">
        <v>1850</v>
      </c>
      <c r="B127" s="2881" t="s">
        <v>2717</v>
      </c>
      <c r="C127" s="2881"/>
      <c r="D127" s="2881"/>
      <c r="E127" s="2881"/>
      <c r="F127" s="587">
        <f>'310'!O24</f>
        <v>0</v>
      </c>
      <c r="G127" t="str">
        <f>IF(F127='310'!O24," ","Problem: Must agree to ws 310 Arbitrage rebate payable Due within one year")</f>
        <v xml:space="preserve"> </v>
      </c>
      <c r="I127" s="365" t="e">
        <f t="shared" si="5"/>
        <v>#N/A</v>
      </c>
    </row>
    <row r="128" spans="1:13" x14ac:dyDescent="0.2">
      <c r="A128" s="666">
        <v>1851</v>
      </c>
      <c r="B128" s="2881" t="s">
        <v>2718</v>
      </c>
      <c r="C128" s="2881"/>
      <c r="D128" s="2881"/>
      <c r="E128" s="2881"/>
      <c r="F128" s="587">
        <f>'310'!O25</f>
        <v>0</v>
      </c>
      <c r="G128" t="str">
        <f>IF(F128='310'!O25," ","Problem: Must agree to ws 310 Workers Compensation Due within one year")</f>
        <v xml:space="preserve"> </v>
      </c>
      <c r="I128" s="365" t="e">
        <f t="shared" si="5"/>
        <v>#N/A</v>
      </c>
    </row>
    <row r="129" spans="1:12" x14ac:dyDescent="0.2">
      <c r="A129" s="666">
        <v>1786</v>
      </c>
      <c r="B129" s="2881" t="s">
        <v>2719</v>
      </c>
      <c r="C129" s="2881"/>
      <c r="D129" s="2881"/>
      <c r="E129" s="2881"/>
      <c r="F129" s="587">
        <f>'310'!O29</f>
        <v>0</v>
      </c>
      <c r="G129" t="str">
        <f>IF(F129='310'!O29," ","Problem: Must agree to ws 310 Annuity and life income payable Due within one year")</f>
        <v xml:space="preserve"> </v>
      </c>
      <c r="I129" s="365" t="e">
        <f t="shared" si="5"/>
        <v>#N/A</v>
      </c>
    </row>
    <row r="130" spans="1:12" x14ac:dyDescent="0.2">
      <c r="A130" s="666">
        <v>1855</v>
      </c>
      <c r="B130" s="2881" t="s">
        <v>2720</v>
      </c>
      <c r="C130" s="2881"/>
      <c r="D130" s="2881"/>
      <c r="E130" s="2881"/>
      <c r="F130" s="587">
        <f>'310'!O31</f>
        <v>0</v>
      </c>
      <c r="G130" t="str">
        <f>IF(F130='310'!O31," ","Problem: Must agree to ws 310 Pollution remediation payable Due within one year")</f>
        <v xml:space="preserve"> </v>
      </c>
      <c r="I130" s="365" t="e">
        <f t="shared" si="5"/>
        <v>#N/A</v>
      </c>
    </row>
    <row r="131" spans="1:12" x14ac:dyDescent="0.2">
      <c r="A131" s="666">
        <v>1857</v>
      </c>
      <c r="B131" s="2881" t="s">
        <v>2721</v>
      </c>
      <c r="C131" s="2881"/>
      <c r="D131" s="2881"/>
      <c r="E131" s="2881"/>
      <c r="F131" s="587">
        <f>'310'!O32</f>
        <v>0</v>
      </c>
      <c r="G131" t="str">
        <f>IF(F131='310'!O32," ","Problem: Must agree to ws 310 Pollution remediation payable Due within one year")</f>
        <v xml:space="preserve"> </v>
      </c>
      <c r="I131" s="365" t="e">
        <f t="shared" si="5"/>
        <v>#N/A</v>
      </c>
      <c r="K131" s="1021"/>
    </row>
    <row r="132" spans="1:12" x14ac:dyDescent="0.2">
      <c r="A132" s="666">
        <v>1860</v>
      </c>
      <c r="B132" s="2881" t="s">
        <v>2722</v>
      </c>
      <c r="C132" s="2881"/>
      <c r="D132" s="2881"/>
      <c r="E132" s="2881"/>
      <c r="F132" s="587">
        <f>'310'!O33</f>
        <v>0</v>
      </c>
      <c r="G132" t="str">
        <f>IF(F132='310'!O33," ","Problem: Must agree to ws 310 Compensated absences Due within one year")</f>
        <v xml:space="preserve"> </v>
      </c>
      <c r="I132" s="365" t="e">
        <f t="shared" si="5"/>
        <v>#N/A</v>
      </c>
    </row>
    <row r="133" spans="1:12" x14ac:dyDescent="0.2">
      <c r="A133" s="666">
        <v>1868</v>
      </c>
      <c r="B133" s="2881" t="s">
        <v>2723</v>
      </c>
      <c r="C133" s="2881"/>
      <c r="D133" s="2881"/>
      <c r="E133" s="2881"/>
      <c r="F133" s="587">
        <f>'310'!O34</f>
        <v>0</v>
      </c>
      <c r="G133" t="str">
        <f>IF(F133='310'!O34," ","Problem: Must agree to ws 310 Net Pension Liability Due within one year")</f>
        <v xml:space="preserve"> </v>
      </c>
      <c r="I133" s="365" t="e">
        <f t="shared" si="5"/>
        <v>#N/A</v>
      </c>
    </row>
    <row r="134" spans="1:12" x14ac:dyDescent="0.2">
      <c r="A134" s="666">
        <v>1869</v>
      </c>
      <c r="B134" s="2881" t="s">
        <v>2724</v>
      </c>
      <c r="C134" s="2881"/>
      <c r="D134" s="2881"/>
      <c r="E134" s="2881"/>
      <c r="F134" s="587">
        <f>'310'!O35</f>
        <v>0</v>
      </c>
      <c r="G134" t="str">
        <f>IF(F134='310'!O35," ","Problem: Must agree to ws 310 Net OPEB Liability Due within one year")</f>
        <v xml:space="preserve"> </v>
      </c>
      <c r="I134" s="365" t="e">
        <f t="shared" si="5"/>
        <v>#N/A</v>
      </c>
      <c r="K134" s="1021"/>
    </row>
    <row r="135" spans="1:12" x14ac:dyDescent="0.2">
      <c r="A135" s="666">
        <v>1865</v>
      </c>
      <c r="B135" s="2881" t="s">
        <v>2725</v>
      </c>
      <c r="C135" s="2881"/>
      <c r="D135" s="2881"/>
      <c r="E135" s="2881"/>
      <c r="F135" s="587">
        <f>'310'!O36</f>
        <v>0</v>
      </c>
      <c r="G135" t="str">
        <f>IF(F135='310'!O36," ","Problem: Must agree to ws 310 Liab Insurance Trust Fund Payable, due within one yr")</f>
        <v xml:space="preserve"> </v>
      </c>
      <c r="I135" s="365" t="e">
        <f t="shared" si="5"/>
        <v>#N/A</v>
      </c>
    </row>
    <row r="136" spans="1:12" x14ac:dyDescent="0.2">
      <c r="A136" s="666">
        <v>1866</v>
      </c>
      <c r="B136" s="2881" t="s">
        <v>2726</v>
      </c>
      <c r="C136" s="2881"/>
      <c r="D136" s="2881"/>
      <c r="E136" s="2881"/>
      <c r="F136" s="587">
        <f>'310'!O37</f>
        <v>0</v>
      </c>
      <c r="G136" t="str">
        <f>IF(F136='310'!O37," ","Problem: Must agree to ws 310 Othe LT liabilities Due within one year")</f>
        <v xml:space="preserve"> </v>
      </c>
      <c r="I136" s="365" t="e">
        <f t="shared" si="5"/>
        <v>#N/A</v>
      </c>
    </row>
    <row r="137" spans="1:12" x14ac:dyDescent="0.2">
      <c r="B137" s="2952" t="s">
        <v>2727</v>
      </c>
      <c r="C137" s="2952"/>
      <c r="D137" s="2952"/>
      <c r="E137" s="2952"/>
      <c r="F137" s="374">
        <f>SUM(F103:F136)</f>
        <v>0</v>
      </c>
      <c r="I137" s="374" t="e">
        <f>SUM(I103:I136)</f>
        <v>#N/A</v>
      </c>
    </row>
    <row r="138" spans="1:12" ht="4.5" customHeight="1" x14ac:dyDescent="0.2"/>
    <row r="139" spans="1:12" ht="11.25" customHeight="1" x14ac:dyDescent="0.2">
      <c r="B139" s="234" t="s">
        <v>2728</v>
      </c>
    </row>
    <row r="140" spans="1:12" ht="10.5" customHeight="1" x14ac:dyDescent="0.2">
      <c r="A140" s="191"/>
      <c r="B140" s="191" t="s">
        <v>2691</v>
      </c>
      <c r="C140" s="191"/>
    </row>
    <row r="141" spans="1:12" x14ac:dyDescent="0.2">
      <c r="A141" s="191">
        <v>1940</v>
      </c>
      <c r="B141" s="2951" t="s">
        <v>2729</v>
      </c>
      <c r="C141" s="2951"/>
      <c r="D141" s="2951"/>
      <c r="E141" s="2951"/>
      <c r="F141" s="372">
        <v>0</v>
      </c>
      <c r="G141" s="159"/>
      <c r="I141" s="365" t="e">
        <f t="shared" ref="I141:I162" si="6">INDEX(PY905Data,MATCH($A141,PY905Row,0),MATCH($C$5,PY905Col,0))</f>
        <v>#N/A</v>
      </c>
      <c r="L141" s="1463">
        <v>22110000</v>
      </c>
    </row>
    <row r="142" spans="1:12" ht="12" customHeight="1" x14ac:dyDescent="0.2">
      <c r="A142" s="191">
        <v>1950</v>
      </c>
      <c r="B142" s="2951" t="s">
        <v>2694</v>
      </c>
      <c r="C142" s="2951"/>
      <c r="D142" s="2951"/>
      <c r="E142" s="2951"/>
      <c r="F142" s="372">
        <v>0</v>
      </c>
      <c r="I142" s="365" t="e">
        <f t="shared" si="6"/>
        <v>#N/A</v>
      </c>
      <c r="L142" s="1463">
        <v>22132000</v>
      </c>
    </row>
    <row r="143" spans="1:12" ht="11.25" customHeight="1" x14ac:dyDescent="0.2">
      <c r="A143" s="191">
        <v>1960</v>
      </c>
      <c r="B143" s="2951" t="s">
        <v>2695</v>
      </c>
      <c r="C143" s="2951"/>
      <c r="D143" s="2951"/>
      <c r="E143" s="2951"/>
      <c r="F143" s="372">
        <v>0</v>
      </c>
      <c r="I143" s="365" t="e">
        <f t="shared" si="6"/>
        <v>#N/A</v>
      </c>
      <c r="L143" s="1463">
        <v>22529000</v>
      </c>
    </row>
    <row r="144" spans="1:12" x14ac:dyDescent="0.2">
      <c r="A144" s="666">
        <v>2020</v>
      </c>
      <c r="B144" s="2881" t="s">
        <v>2730</v>
      </c>
      <c r="C144" s="2881"/>
      <c r="D144" s="2881"/>
      <c r="E144" s="2881"/>
      <c r="F144" s="587">
        <f>'535'!H21</f>
        <v>0</v>
      </c>
      <c r="G144" t="str">
        <f>IF(F144='535'!H21," ","Problem: Must agree to ws 535 Advance from Primary Govt")</f>
        <v xml:space="preserve"> </v>
      </c>
      <c r="I144" s="365" t="e">
        <f t="shared" si="6"/>
        <v>#N/A</v>
      </c>
      <c r="L144" s="1021">
        <v>22250000</v>
      </c>
    </row>
    <row r="145" spans="1:14" x14ac:dyDescent="0.2">
      <c r="A145" s="191">
        <v>2097</v>
      </c>
      <c r="B145" s="2881" t="s">
        <v>2706</v>
      </c>
      <c r="C145" s="2881"/>
      <c r="D145" s="2881"/>
      <c r="E145" s="2881"/>
      <c r="F145" s="372">
        <v>0</v>
      </c>
      <c r="I145" s="365" t="e">
        <f t="shared" si="6"/>
        <v>#N/A</v>
      </c>
      <c r="L145" s="1463">
        <v>22811000</v>
      </c>
    </row>
    <row r="146" spans="1:14" x14ac:dyDescent="0.2">
      <c r="A146" s="191">
        <v>2070</v>
      </c>
      <c r="B146" s="2881" t="s">
        <v>2709</v>
      </c>
      <c r="C146" s="2881"/>
      <c r="D146" s="2881"/>
      <c r="E146" s="2881"/>
      <c r="F146" s="372">
        <v>0</v>
      </c>
      <c r="I146" s="365" t="e">
        <f t="shared" si="6"/>
        <v>#N/A</v>
      </c>
      <c r="L146" s="1463">
        <v>22712000</v>
      </c>
    </row>
    <row r="147" spans="1:14" x14ac:dyDescent="0.2">
      <c r="A147" s="191">
        <v>2080</v>
      </c>
      <c r="B147" s="2881" t="s">
        <v>2710</v>
      </c>
      <c r="C147" s="2881"/>
      <c r="D147" s="2881"/>
      <c r="E147" s="2881"/>
      <c r="F147" s="372">
        <v>0</v>
      </c>
      <c r="G147" s="191"/>
      <c r="I147" s="365" t="e">
        <f t="shared" si="6"/>
        <v>#N/A</v>
      </c>
      <c r="L147" s="1463">
        <v>22719000</v>
      </c>
    </row>
    <row r="148" spans="1:14" ht="12" customHeight="1" x14ac:dyDescent="0.2">
      <c r="A148" s="191">
        <v>2024</v>
      </c>
      <c r="B148" s="2881" t="s">
        <v>2711</v>
      </c>
      <c r="C148" s="2881"/>
      <c r="D148" s="2881"/>
      <c r="E148" s="2881"/>
      <c r="F148" s="372">
        <v>0</v>
      </c>
      <c r="I148" s="365" t="e">
        <f t="shared" si="6"/>
        <v>#N/A</v>
      </c>
      <c r="L148" s="1463">
        <v>22920000</v>
      </c>
    </row>
    <row r="149" spans="1:14" x14ac:dyDescent="0.2">
      <c r="A149" s="666">
        <v>2035</v>
      </c>
      <c r="B149" s="2881" t="s">
        <v>2700</v>
      </c>
      <c r="C149" s="2881"/>
      <c r="D149" s="2881"/>
      <c r="E149" s="2881"/>
      <c r="F149" s="587">
        <f>'310'!M26-'310'!O26</f>
        <v>0</v>
      </c>
      <c r="I149" s="365" t="e">
        <f t="shared" si="6"/>
        <v>#N/A</v>
      </c>
      <c r="K149" s="1021"/>
    </row>
    <row r="150" spans="1:14" x14ac:dyDescent="0.2">
      <c r="A150" s="2075">
        <v>2040</v>
      </c>
      <c r="B150" s="2946" t="s">
        <v>2731</v>
      </c>
      <c r="C150" s="2946"/>
      <c r="D150" s="2946"/>
      <c r="E150" s="2946"/>
      <c r="F150" s="587">
        <f>'310'!M27-'310'!O27</f>
        <v>0</v>
      </c>
      <c r="I150" s="365" t="e">
        <f t="shared" si="6"/>
        <v>#N/A</v>
      </c>
      <c r="K150" s="2011" t="s">
        <v>2732</v>
      </c>
      <c r="L150" s="1551"/>
      <c r="M150" s="1238"/>
      <c r="N150" s="1238"/>
    </row>
    <row r="151" spans="1:14" x14ac:dyDescent="0.2">
      <c r="A151" s="2075">
        <v>2046</v>
      </c>
      <c r="B151" s="2948" t="s">
        <v>2733</v>
      </c>
      <c r="C151" s="2948"/>
      <c r="D151" s="2948"/>
      <c r="E151" s="2948"/>
      <c r="F151" s="587">
        <f>'310'!M28-'310'!O28</f>
        <v>0</v>
      </c>
      <c r="I151" s="365" t="e">
        <f t="shared" si="6"/>
        <v>#N/A</v>
      </c>
      <c r="K151" s="2011" t="s">
        <v>2643</v>
      </c>
      <c r="L151" s="2010"/>
    </row>
    <row r="152" spans="1:14" x14ac:dyDescent="0.2">
      <c r="A152" s="666">
        <v>2050</v>
      </c>
      <c r="B152" s="2881" t="s">
        <v>2734</v>
      </c>
      <c r="C152" s="2881"/>
      <c r="D152" s="2881"/>
      <c r="E152" s="2881"/>
      <c r="F152" s="587">
        <f>'310'!M17+'310'!M18+'310'!M19+'310'!M20+'310'!M21+'310'!M22+'310'!M23 -'310'!O17-'310'!O18-'310'!O19-'310'!O20-'310'!O21</f>
        <v>0</v>
      </c>
      <c r="G152" s="159"/>
      <c r="I152" s="365" t="e">
        <f t="shared" si="6"/>
        <v>#N/A</v>
      </c>
      <c r="K152" s="1219"/>
    </row>
    <row r="153" spans="1:14" x14ac:dyDescent="0.2">
      <c r="A153" s="666">
        <v>2060</v>
      </c>
      <c r="B153" s="2881" t="s">
        <v>2735</v>
      </c>
      <c r="C153" s="2881"/>
      <c r="D153" s="2881"/>
      <c r="E153" s="2881"/>
      <c r="F153" s="587">
        <f>'310'!M24-'310'!O24</f>
        <v>0</v>
      </c>
      <c r="I153" s="365" t="e">
        <f t="shared" si="6"/>
        <v>#N/A</v>
      </c>
    </row>
    <row r="154" spans="1:14" x14ac:dyDescent="0.2">
      <c r="A154" s="666">
        <v>2061</v>
      </c>
      <c r="B154" s="2881" t="s">
        <v>2736</v>
      </c>
      <c r="C154" s="2881"/>
      <c r="D154" s="2881"/>
      <c r="E154" s="2881"/>
      <c r="F154" s="587">
        <f>'310'!M25-'310'!O25</f>
        <v>0</v>
      </c>
      <c r="I154" s="365" t="e">
        <f t="shared" si="6"/>
        <v>#N/A</v>
      </c>
    </row>
    <row r="155" spans="1:14" x14ac:dyDescent="0.2">
      <c r="A155" s="666">
        <v>2045</v>
      </c>
      <c r="B155" s="2881" t="s">
        <v>2737</v>
      </c>
      <c r="C155" s="2881"/>
      <c r="D155" s="2881"/>
      <c r="E155" s="2881"/>
      <c r="F155" s="587">
        <f>'310'!M29-'310'!O29</f>
        <v>0</v>
      </c>
      <c r="G155" s="159"/>
      <c r="I155" s="365" t="e">
        <f t="shared" si="6"/>
        <v>#N/A</v>
      </c>
    </row>
    <row r="156" spans="1:14" x14ac:dyDescent="0.2">
      <c r="A156" s="666">
        <v>2085</v>
      </c>
      <c r="B156" s="2881" t="s">
        <v>2738</v>
      </c>
      <c r="C156" s="2881"/>
      <c r="D156" s="2881"/>
      <c r="E156" s="2881"/>
      <c r="F156" s="587">
        <f>'310'!M31-'310'!O31</f>
        <v>0</v>
      </c>
      <c r="I156" s="365" t="e">
        <f t="shared" si="6"/>
        <v>#N/A</v>
      </c>
    </row>
    <row r="157" spans="1:14" x14ac:dyDescent="0.2">
      <c r="A157" s="666">
        <v>2087</v>
      </c>
      <c r="B157" s="2881" t="s">
        <v>2739</v>
      </c>
      <c r="C157" s="2881"/>
      <c r="D157" s="2881"/>
      <c r="E157" s="2881"/>
      <c r="F157" s="587">
        <f>'310'!M32-'310'!O32</f>
        <v>0</v>
      </c>
      <c r="I157" s="365" t="e">
        <f t="shared" si="6"/>
        <v>#N/A</v>
      </c>
      <c r="K157" s="1021"/>
    </row>
    <row r="158" spans="1:14" x14ac:dyDescent="0.2">
      <c r="A158" s="666">
        <v>2090</v>
      </c>
      <c r="B158" s="2881" t="s">
        <v>2740</v>
      </c>
      <c r="C158" s="2881"/>
      <c r="D158" s="2881"/>
      <c r="E158" s="2881"/>
      <c r="F158" s="587">
        <f>'310'!M33-'310'!O33</f>
        <v>0</v>
      </c>
      <c r="I158" s="365" t="e">
        <f t="shared" si="6"/>
        <v>#N/A</v>
      </c>
    </row>
    <row r="159" spans="1:14" x14ac:dyDescent="0.2">
      <c r="A159" s="666">
        <v>2098</v>
      </c>
      <c r="B159" s="2881" t="s">
        <v>2741</v>
      </c>
      <c r="C159" s="2881"/>
      <c r="D159" s="2881"/>
      <c r="E159" s="2881"/>
      <c r="F159" s="587">
        <f>'310'!M34-'310'!O34</f>
        <v>0</v>
      </c>
      <c r="I159" s="365" t="e">
        <f t="shared" si="6"/>
        <v>#N/A</v>
      </c>
      <c r="K159" s="965"/>
    </row>
    <row r="160" spans="1:14" x14ac:dyDescent="0.2">
      <c r="A160" s="666">
        <v>2099</v>
      </c>
      <c r="B160" s="2881" t="s">
        <v>2742</v>
      </c>
      <c r="C160" s="2881"/>
      <c r="D160" s="2881"/>
      <c r="E160" s="2881"/>
      <c r="F160" s="587">
        <f>'310'!M35-'310'!O35</f>
        <v>0</v>
      </c>
      <c r="I160" s="365" t="e">
        <f t="shared" si="6"/>
        <v>#N/A</v>
      </c>
      <c r="K160" s="1021"/>
    </row>
    <row r="161" spans="1:12" x14ac:dyDescent="0.2">
      <c r="A161" s="666">
        <v>2095</v>
      </c>
      <c r="B161" s="2881" t="s">
        <v>2743</v>
      </c>
      <c r="C161" s="2881"/>
      <c r="D161" s="2881"/>
      <c r="E161" s="2881"/>
      <c r="F161" s="587">
        <f>'310'!M36-'310'!O36</f>
        <v>0</v>
      </c>
      <c r="I161" s="365" t="e">
        <f t="shared" si="6"/>
        <v>#N/A</v>
      </c>
    </row>
    <row r="162" spans="1:12" x14ac:dyDescent="0.2">
      <c r="A162" s="666">
        <v>2096</v>
      </c>
      <c r="B162" s="2881" t="s">
        <v>2744</v>
      </c>
      <c r="C162" s="2881"/>
      <c r="D162" s="2881"/>
      <c r="E162" s="2881"/>
      <c r="F162" s="587">
        <f>'310'!M37-'310'!O37</f>
        <v>0</v>
      </c>
      <c r="G162" s="159"/>
      <c r="I162" s="365" t="e">
        <f t="shared" si="6"/>
        <v>#N/A</v>
      </c>
    </row>
    <row r="163" spans="1:12" ht="12" customHeight="1" x14ac:dyDescent="0.2">
      <c r="B163" s="2952" t="s">
        <v>2745</v>
      </c>
      <c r="C163" s="2952"/>
      <c r="D163" s="2952"/>
      <c r="E163" s="2952"/>
      <c r="F163" s="374">
        <f>SUM(F141:F162)</f>
        <v>0</v>
      </c>
      <c r="I163" s="374" t="e">
        <f>SUM(I141:I162)</f>
        <v>#N/A</v>
      </c>
    </row>
    <row r="164" spans="1:12" ht="3" customHeight="1" x14ac:dyDescent="0.2">
      <c r="I164" s="365"/>
    </row>
    <row r="165" spans="1:12" x14ac:dyDescent="0.2">
      <c r="B165" s="2952" t="s">
        <v>2746</v>
      </c>
      <c r="C165" s="2952"/>
      <c r="D165" s="2952"/>
      <c r="E165" s="2952"/>
      <c r="F165" s="367">
        <f>F137+F163</f>
        <v>0</v>
      </c>
      <c r="I165" s="367" t="e">
        <f>I137+I163</f>
        <v>#N/A</v>
      </c>
    </row>
    <row r="166" spans="1:12" ht="3.75" customHeight="1" x14ac:dyDescent="0.2"/>
    <row r="167" spans="1:12" ht="11.25" customHeight="1" x14ac:dyDescent="0.2">
      <c r="B167" s="2377" t="s">
        <v>2747</v>
      </c>
    </row>
    <row r="168" spans="1:12" ht="11.25" customHeight="1" x14ac:dyDescent="0.2">
      <c r="A168" s="191">
        <v>1764</v>
      </c>
      <c r="B168" s="2881" t="s">
        <v>2748</v>
      </c>
      <c r="C168" s="2881"/>
      <c r="D168" s="2881"/>
      <c r="E168" s="2881"/>
      <c r="F168" s="372">
        <v>0</v>
      </c>
      <c r="I168" s="365" t="e">
        <f t="shared" ref="I168:I177" si="7">INDEX(PY905Data,MATCH($A168,PY905Row,0),MATCH($C$5,PY905Col,0))</f>
        <v>#N/A</v>
      </c>
      <c r="L168" s="1463">
        <v>71100003</v>
      </c>
    </row>
    <row r="169" spans="1:12" ht="11.25" customHeight="1" x14ac:dyDescent="0.2">
      <c r="A169" s="2069">
        <v>2026</v>
      </c>
      <c r="B169" s="2946" t="s">
        <v>2749</v>
      </c>
      <c r="C169" s="2946"/>
      <c r="D169" s="2946"/>
      <c r="E169" s="2946"/>
      <c r="F169" s="372">
        <v>0</v>
      </c>
      <c r="I169" s="365" t="e">
        <f t="shared" si="7"/>
        <v>#N/A</v>
      </c>
      <c r="K169" s="2011" t="s">
        <v>2714</v>
      </c>
      <c r="L169" s="1463">
        <v>71100004</v>
      </c>
    </row>
    <row r="170" spans="1:12" ht="11.25" customHeight="1" x14ac:dyDescent="0.2">
      <c r="A170" s="191">
        <v>1766</v>
      </c>
      <c r="B170" s="2881" t="s">
        <v>2750</v>
      </c>
      <c r="C170" s="2881"/>
      <c r="D170" s="2881"/>
      <c r="E170" s="2881"/>
      <c r="F170" s="372">
        <v>0</v>
      </c>
      <c r="I170" s="365" t="e">
        <f t="shared" si="7"/>
        <v>#N/A</v>
      </c>
      <c r="L170" s="1463">
        <v>71100005</v>
      </c>
    </row>
    <row r="171" spans="1:12" ht="11.25" customHeight="1" x14ac:dyDescent="0.2">
      <c r="A171" s="191">
        <v>1768</v>
      </c>
      <c r="B171" s="2881" t="s">
        <v>2107</v>
      </c>
      <c r="C171" s="2881"/>
      <c r="D171" s="2881"/>
      <c r="E171" s="2881"/>
      <c r="F171" s="372">
        <v>0</v>
      </c>
      <c r="I171" s="365" t="e">
        <f t="shared" si="7"/>
        <v>#N/A</v>
      </c>
      <c r="L171" s="1463">
        <v>71100006</v>
      </c>
    </row>
    <row r="172" spans="1:12" ht="11.25" customHeight="1" x14ac:dyDescent="0.2">
      <c r="A172" s="191">
        <v>1765</v>
      </c>
      <c r="B172" s="2881" t="s">
        <v>2108</v>
      </c>
      <c r="C172" s="2881"/>
      <c r="D172" s="2881"/>
      <c r="E172" s="2881"/>
      <c r="F172" s="372">
        <v>0</v>
      </c>
      <c r="I172" s="365" t="e">
        <f t="shared" si="7"/>
        <v>#N/A</v>
      </c>
      <c r="L172" s="1463">
        <v>71100008</v>
      </c>
    </row>
    <row r="173" spans="1:12" ht="11.25" customHeight="1" x14ac:dyDescent="0.2">
      <c r="A173" s="191">
        <v>1772</v>
      </c>
      <c r="B173" s="2881" t="s">
        <v>2751</v>
      </c>
      <c r="C173" s="2881"/>
      <c r="D173" s="2881"/>
      <c r="E173" s="2881"/>
      <c r="F173" s="372">
        <v>0</v>
      </c>
      <c r="I173" s="365" t="e">
        <f t="shared" si="7"/>
        <v>#N/A</v>
      </c>
      <c r="K173" s="1021"/>
      <c r="L173" s="1463">
        <v>71100009</v>
      </c>
    </row>
    <row r="174" spans="1:12" ht="11.25" customHeight="1" x14ac:dyDescent="0.2">
      <c r="A174" s="191">
        <v>1767</v>
      </c>
      <c r="B174" s="2881" t="s">
        <v>2109</v>
      </c>
      <c r="C174" s="2881"/>
      <c r="D174" s="2881"/>
      <c r="E174" s="2881"/>
      <c r="F174" s="372">
        <v>0</v>
      </c>
      <c r="I174" s="365" t="e">
        <f t="shared" si="7"/>
        <v>#N/A</v>
      </c>
      <c r="K174" s="965"/>
      <c r="L174" s="1463">
        <v>71100010</v>
      </c>
    </row>
    <row r="175" spans="1:12" ht="11.25" customHeight="1" x14ac:dyDescent="0.2">
      <c r="A175" s="191">
        <v>1771</v>
      </c>
      <c r="B175" s="2881" t="s">
        <v>2110</v>
      </c>
      <c r="C175" s="2881"/>
      <c r="D175" s="2881"/>
      <c r="E175" s="2881"/>
      <c r="F175" s="372">
        <v>0</v>
      </c>
      <c r="I175" s="365" t="e">
        <f t="shared" si="7"/>
        <v>#N/A</v>
      </c>
      <c r="K175" s="1021"/>
      <c r="L175" s="1463">
        <v>71100011</v>
      </c>
    </row>
    <row r="176" spans="1:12" ht="11.25" customHeight="1" x14ac:dyDescent="0.2">
      <c r="A176" s="191">
        <v>1773</v>
      </c>
      <c r="B176" s="2881" t="s">
        <v>2752</v>
      </c>
      <c r="C176" s="2881"/>
      <c r="D176" s="2881"/>
      <c r="E176" s="2881"/>
      <c r="F176" s="372">
        <v>0</v>
      </c>
      <c r="I176" s="365" t="e">
        <f t="shared" si="7"/>
        <v>#N/A</v>
      </c>
      <c r="K176" s="1219"/>
      <c r="L176" s="1463">
        <v>71100012</v>
      </c>
    </row>
    <row r="177" spans="1:13" ht="11.25" customHeight="1" x14ac:dyDescent="0.2">
      <c r="A177" s="191">
        <v>1769</v>
      </c>
      <c r="B177" s="2881" t="s">
        <v>2112</v>
      </c>
      <c r="C177" s="2881"/>
      <c r="D177" s="2881"/>
      <c r="E177" s="2881"/>
      <c r="F177" s="372">
        <v>0</v>
      </c>
      <c r="I177" s="365" t="e">
        <f t="shared" si="7"/>
        <v>#N/A</v>
      </c>
      <c r="L177" s="1463">
        <v>71100007</v>
      </c>
    </row>
    <row r="178" spans="1:13" ht="11.25" customHeight="1" x14ac:dyDescent="0.2">
      <c r="B178" s="2952" t="s">
        <v>2753</v>
      </c>
      <c r="C178" s="2952"/>
      <c r="D178" s="2952"/>
      <c r="E178" s="2952"/>
      <c r="F178" s="374">
        <f>SUM(F167:F177)</f>
        <v>0</v>
      </c>
      <c r="I178" s="374" t="e">
        <f>SUM(I167:I177)</f>
        <v>#N/A</v>
      </c>
    </row>
    <row r="179" spans="1:13" ht="3" customHeight="1" x14ac:dyDescent="0.2"/>
    <row r="180" spans="1:13" x14ac:dyDescent="0.2">
      <c r="B180" s="234" t="s">
        <v>2114</v>
      </c>
    </row>
    <row r="181" spans="1:13" x14ac:dyDescent="0.2">
      <c r="A181" s="191">
        <v>2130</v>
      </c>
      <c r="B181" s="2881" t="s">
        <v>1810</v>
      </c>
      <c r="C181" s="2881"/>
      <c r="D181" s="2881"/>
      <c r="E181" s="2881"/>
      <c r="F181" s="372">
        <v>0</v>
      </c>
      <c r="G181" t="str">
        <f>IF((F181&lt;=F69+F85)," ","Problem: Must be less than or equal to capital assets, depreciable and nondeprec, net")</f>
        <v xml:space="preserve"> </v>
      </c>
      <c r="I181" s="365" t="e">
        <f>INDEX(PY905Data,MATCH($A181,PY905Row,0),MATCH($C$5,PY905Col,0))</f>
        <v>#N/A</v>
      </c>
      <c r="L181" s="1463" t="s">
        <v>1668</v>
      </c>
      <c r="M181" s="1463" t="s">
        <v>1645</v>
      </c>
    </row>
    <row r="182" spans="1:13" ht="10.5" customHeight="1" x14ac:dyDescent="0.2">
      <c r="A182" s="187"/>
      <c r="B182" s="191" t="s">
        <v>2754</v>
      </c>
      <c r="C182" s="191"/>
      <c r="D182" s="191"/>
      <c r="E182" s="191"/>
      <c r="G182" s="743" t="str">
        <f>IF(AND(SUM(F69+F85)&gt;=1,$F$181=0),"Need to calculate and key Net investment in capital assets"," ")</f>
        <v xml:space="preserve"> </v>
      </c>
      <c r="M182" s="1463"/>
    </row>
    <row r="183" spans="1:13" x14ac:dyDescent="0.2">
      <c r="A183" s="191">
        <v>2140</v>
      </c>
      <c r="B183" s="2951" t="s">
        <v>2755</v>
      </c>
      <c r="C183" s="2951"/>
      <c r="D183" s="2951"/>
      <c r="E183" s="2951"/>
      <c r="F183" s="372">
        <v>0</v>
      </c>
      <c r="G183" t="str">
        <f>IF(F183&lt;0,"Problem: Restricted net assets cannot be negative - see Net Assets Policy in Instructions"," ")</f>
        <v xml:space="preserve"> </v>
      </c>
      <c r="I183" s="365" t="e">
        <f>INDEX(PY905Data,MATCH($A183,PY905Row,0),MATCH($C$5,PY905Col,0))</f>
        <v>#N/A</v>
      </c>
      <c r="L183" s="1463" t="s">
        <v>2756</v>
      </c>
      <c r="M183" s="1463" t="s">
        <v>849</v>
      </c>
    </row>
    <row r="184" spans="1:13" ht="11.25" customHeight="1" x14ac:dyDescent="0.2">
      <c r="A184" s="191">
        <v>2141</v>
      </c>
      <c r="B184" s="2951" t="s">
        <v>1638</v>
      </c>
      <c r="C184" s="2951"/>
      <c r="D184" s="2951"/>
      <c r="E184" s="2951"/>
      <c r="F184" s="372">
        <v>0</v>
      </c>
      <c r="G184" t="str">
        <f t="shared" ref="G184:G190" si="8">IF(F184&lt;0,"Problem: Restricted net assets cannot be negative - see Net Assets Policy in Instructions"," ")</f>
        <v xml:space="preserve"> </v>
      </c>
      <c r="I184" s="365" t="e">
        <f>INDEX(PY905Data,MATCH($A184,PY905Row,0),MATCH($C$5,PY905Col,0))</f>
        <v>#N/A</v>
      </c>
      <c r="L184" s="1463" t="s">
        <v>2756</v>
      </c>
      <c r="M184" s="1463" t="s">
        <v>763</v>
      </c>
    </row>
    <row r="185" spans="1:13" ht="12" customHeight="1" x14ac:dyDescent="0.2">
      <c r="A185" s="191">
        <v>2142</v>
      </c>
      <c r="B185" s="2951" t="s">
        <v>2757</v>
      </c>
      <c r="C185" s="2951"/>
      <c r="D185" s="2951"/>
      <c r="E185" s="2951"/>
      <c r="F185" s="372">
        <v>0</v>
      </c>
      <c r="G185" t="str">
        <f t="shared" si="8"/>
        <v xml:space="preserve"> </v>
      </c>
      <c r="I185" s="365" t="e">
        <f>INDEX(PY905Data,MATCH($A185,PY905Row,0),MATCH($C$5,PY905Col,0))</f>
        <v>#N/A</v>
      </c>
      <c r="L185" s="1463" t="s">
        <v>2756</v>
      </c>
      <c r="M185" s="1463" t="s">
        <v>2758</v>
      </c>
    </row>
    <row r="186" spans="1:13" ht="11.25" customHeight="1" x14ac:dyDescent="0.2">
      <c r="A186" s="187"/>
      <c r="B186" s="191" t="s">
        <v>2759</v>
      </c>
      <c r="M186" s="1463"/>
    </row>
    <row r="187" spans="1:13" x14ac:dyDescent="0.2">
      <c r="A187" s="191">
        <v>2150</v>
      </c>
      <c r="B187" s="2951" t="s">
        <v>2755</v>
      </c>
      <c r="C187" s="2951"/>
      <c r="D187" s="2951"/>
      <c r="E187" s="2951"/>
      <c r="F187" s="372">
        <v>0</v>
      </c>
      <c r="G187" t="str">
        <f t="shared" si="8"/>
        <v xml:space="preserve"> </v>
      </c>
      <c r="I187" s="365" t="e">
        <f>INDEX(PY905Data,MATCH($A187,PY905Row,0),MATCH($C$5,PY905Col,0))</f>
        <v>#N/A</v>
      </c>
      <c r="L187" s="1463" t="s">
        <v>1670</v>
      </c>
      <c r="M187" s="1463" t="s">
        <v>849</v>
      </c>
    </row>
    <row r="188" spans="1:13" x14ac:dyDescent="0.2">
      <c r="A188" s="191">
        <v>2151</v>
      </c>
      <c r="B188" s="2951" t="s">
        <v>1638</v>
      </c>
      <c r="C188" s="2951"/>
      <c r="D188" s="2951"/>
      <c r="E188" s="2951"/>
      <c r="F188" s="372">
        <v>0</v>
      </c>
      <c r="G188" t="str">
        <f t="shared" si="8"/>
        <v xml:space="preserve"> </v>
      </c>
      <c r="I188" s="365" t="e">
        <f>INDEX(PY905Data,MATCH($A188,PY905Row,0),MATCH($C$5,PY905Col,0))</f>
        <v>#N/A</v>
      </c>
      <c r="L188" s="1463" t="s">
        <v>1670</v>
      </c>
      <c r="M188" s="1463" t="s">
        <v>763</v>
      </c>
    </row>
    <row r="189" spans="1:13" x14ac:dyDescent="0.2">
      <c r="A189" s="191">
        <v>2152</v>
      </c>
      <c r="B189" s="2951" t="s">
        <v>2757</v>
      </c>
      <c r="C189" s="2951"/>
      <c r="D189" s="2951"/>
      <c r="E189" s="2951"/>
      <c r="F189" s="372">
        <v>0</v>
      </c>
      <c r="G189" t="str">
        <f t="shared" si="8"/>
        <v xml:space="preserve"> </v>
      </c>
      <c r="I189" s="365" t="e">
        <f>INDEX(PY905Data,MATCH($A189,PY905Row,0),MATCH($C$5,PY905Col,0))</f>
        <v>#N/A</v>
      </c>
      <c r="L189" s="1463" t="s">
        <v>1670</v>
      </c>
      <c r="M189" s="1463" t="s">
        <v>2758</v>
      </c>
    </row>
    <row r="190" spans="1:13" x14ac:dyDescent="0.2">
      <c r="A190" s="191"/>
      <c r="B190" s="2951" t="s">
        <v>2760</v>
      </c>
      <c r="C190" s="2951"/>
      <c r="D190" s="2951"/>
      <c r="E190" s="2951"/>
      <c r="F190" s="372">
        <v>0</v>
      </c>
      <c r="G190" t="str">
        <f t="shared" si="8"/>
        <v xml:space="preserve"> </v>
      </c>
      <c r="I190" s="365" t="e">
        <f>INDEX(PY905Data,MATCH($A190,PY905Row,0),MATCH($C$5,PY905Col,0))</f>
        <v>#N/A</v>
      </c>
      <c r="K190" s="1219" t="s">
        <v>2761</v>
      </c>
      <c r="L190" s="1463" t="s">
        <v>1670</v>
      </c>
      <c r="M190" s="1463" t="s">
        <v>1649</v>
      </c>
    </row>
    <row r="191" spans="1:13" x14ac:dyDescent="0.2">
      <c r="A191" s="191">
        <v>2180</v>
      </c>
      <c r="B191" s="2881" t="s">
        <v>1629</v>
      </c>
      <c r="C191" s="2881"/>
      <c r="D191" s="2881"/>
      <c r="E191" s="2881"/>
      <c r="F191" s="373">
        <v>0</v>
      </c>
      <c r="I191" s="365" t="e">
        <f>INDEX(PY905Data,MATCH($A191,PY905Row,0),MATCH($C$5,PY905Col,0))</f>
        <v>#N/A</v>
      </c>
      <c r="L191" s="1463" t="s">
        <v>1672</v>
      </c>
      <c r="M191" s="1463" t="s">
        <v>673</v>
      </c>
    </row>
    <row r="192" spans="1:13" ht="12" customHeight="1" thickBot="1" x14ac:dyDescent="0.25">
      <c r="B192" s="2952" t="s">
        <v>2762</v>
      </c>
      <c r="C192" s="2952"/>
      <c r="D192" s="2952"/>
      <c r="E192" s="2952"/>
      <c r="F192" s="453">
        <f>SUM(F181:F191)</f>
        <v>0</v>
      </c>
      <c r="I192" s="453" t="e">
        <f>SUM(I181:I191)</f>
        <v>#N/A</v>
      </c>
    </row>
    <row r="193" spans="1:12" ht="4.5" customHeight="1" thickTop="1" x14ac:dyDescent="0.2">
      <c r="I193" s="365"/>
    </row>
    <row r="194" spans="1:12" ht="12.75" customHeight="1" x14ac:dyDescent="0.2">
      <c r="B194" s="191" t="s">
        <v>2763</v>
      </c>
      <c r="C194" s="191"/>
      <c r="D194" s="191"/>
      <c r="E194" s="191"/>
      <c r="F194" s="454" t="str">
        <f>IF(ROUND(F88+F98-F165-F178,2)=F192, "In Bal.","Out of Bal.")</f>
        <v>In Bal.</v>
      </c>
      <c r="I194" s="454" t="e">
        <f>IF(ROUND(I88+I98-I165-I178,2)=I192, "In Bal.","Out of Bal.")</f>
        <v>#N/A</v>
      </c>
    </row>
    <row r="195" spans="1:12" ht="12.75" customHeight="1" thickBot="1" x14ac:dyDescent="0.25">
      <c r="B195" s="191"/>
      <c r="C195" s="191"/>
      <c r="D195" s="191"/>
      <c r="E195" s="191"/>
      <c r="F195" s="454"/>
      <c r="I195" s="454"/>
    </row>
    <row r="196" spans="1:12" ht="12.75" customHeight="1" thickBot="1" x14ac:dyDescent="0.25">
      <c r="B196" s="191"/>
      <c r="C196" s="191"/>
      <c r="D196" s="1969"/>
      <c r="E196" s="1025" t="s">
        <v>2764</v>
      </c>
      <c r="F196" s="1026" t="str">
        <f>IF(ROUND(F88+F98-F165-F178,2)=F192, "0",((F88+F98-F165-F178)-F192))</f>
        <v>0</v>
      </c>
      <c r="G196" s="1026"/>
      <c r="H196" s="1026"/>
      <c r="I196" s="1027" t="e">
        <f>IF(ROUND(I88+I98-I165-I178,2)=I192, "0",((I88+I98-I165-I178)-I192))</f>
        <v>#N/A</v>
      </c>
    </row>
    <row r="197" spans="1:12" ht="7.5" customHeight="1" x14ac:dyDescent="0.2"/>
    <row r="198" spans="1:12" x14ac:dyDescent="0.2">
      <c r="B198" s="2962" t="s">
        <v>2765</v>
      </c>
      <c r="C198" s="2962"/>
      <c r="D198" s="2962"/>
      <c r="E198" s="2962"/>
      <c r="F198" s="2353" t="str">
        <f>CONCATENATE("FYE ",+TEXT(Data!$A$2,"mmmm d,yyyy"))</f>
        <v>FYE June 30,2023</v>
      </c>
      <c r="I198" s="2353" t="str">
        <f>CONCATENATE("FYE ",+TEXT(Data!$A$4,"mmmm d,yyyy"))</f>
        <v>FYE June 30,2022</v>
      </c>
    </row>
    <row r="199" spans="1:12" x14ac:dyDescent="0.2">
      <c r="B199" s="2377" t="s">
        <v>2766</v>
      </c>
      <c r="C199" s="2377"/>
    </row>
    <row r="200" spans="1:12" x14ac:dyDescent="0.2">
      <c r="A200" s="191">
        <v>2310</v>
      </c>
      <c r="B200" s="2947" t="s">
        <v>2767</v>
      </c>
      <c r="C200" s="2947"/>
      <c r="D200" s="2947"/>
      <c r="E200" s="2947"/>
      <c r="F200" s="371">
        <v>0</v>
      </c>
      <c r="I200" s="371" t="e">
        <f t="shared" ref="I200:I210" si="9">INDEX(PY905Data,MATCH($A200,PY905Row,0),MATCH($C$5,PY905Col,0))</f>
        <v>#N/A</v>
      </c>
      <c r="L200" s="1463">
        <v>44101000</v>
      </c>
    </row>
    <row r="201" spans="1:12" x14ac:dyDescent="0.2">
      <c r="A201" s="191">
        <v>2320</v>
      </c>
      <c r="B201" s="2947" t="s">
        <v>2768</v>
      </c>
      <c r="C201" s="2947"/>
      <c r="D201" s="2947"/>
      <c r="E201" s="2947"/>
      <c r="F201" s="372">
        <v>0</v>
      </c>
      <c r="G201" s="159"/>
      <c r="I201" s="365" t="e">
        <f t="shared" si="9"/>
        <v>#N/A</v>
      </c>
      <c r="L201" s="1463">
        <v>45800000</v>
      </c>
    </row>
    <row r="202" spans="1:12" x14ac:dyDescent="0.2">
      <c r="A202" s="191">
        <v>2330</v>
      </c>
      <c r="B202" s="2947" t="s">
        <v>2769</v>
      </c>
      <c r="C202" s="2947"/>
      <c r="D202" s="2947"/>
      <c r="E202" s="2947"/>
      <c r="F202" s="372">
        <v>0</v>
      </c>
      <c r="G202" s="159"/>
      <c r="I202" s="365" t="e">
        <f t="shared" si="9"/>
        <v>#N/A</v>
      </c>
      <c r="L202" s="1463">
        <v>44200000</v>
      </c>
    </row>
    <row r="203" spans="1:12" x14ac:dyDescent="0.2">
      <c r="A203" s="191">
        <v>2350</v>
      </c>
      <c r="B203" s="2947" t="s">
        <v>2770</v>
      </c>
      <c r="C203" s="2947"/>
      <c r="D203" s="2947"/>
      <c r="E203" s="2947"/>
      <c r="F203" s="372">
        <v>0</v>
      </c>
      <c r="G203" s="159"/>
      <c r="I203" s="365" t="e">
        <f t="shared" si="9"/>
        <v>#N/A</v>
      </c>
      <c r="L203" s="1463">
        <v>42997000</v>
      </c>
    </row>
    <row r="204" spans="1:12" x14ac:dyDescent="0.2">
      <c r="A204" s="191">
        <v>2370</v>
      </c>
      <c r="B204" s="2947" t="s">
        <v>2771</v>
      </c>
      <c r="C204" s="2947"/>
      <c r="D204" s="2947"/>
      <c r="E204" s="2947"/>
      <c r="F204" s="372">
        <v>0</v>
      </c>
      <c r="I204" s="365" t="e">
        <f t="shared" si="9"/>
        <v>#N/A</v>
      </c>
      <c r="L204" s="1525" t="s">
        <v>2772</v>
      </c>
    </row>
    <row r="205" spans="1:12" x14ac:dyDescent="0.2">
      <c r="A205" s="191">
        <v>2390</v>
      </c>
      <c r="B205" s="2955" t="s">
        <v>2773</v>
      </c>
      <c r="C205" s="2955"/>
      <c r="D205" s="2955"/>
      <c r="E205" s="2955"/>
      <c r="F205" s="372">
        <v>0</v>
      </c>
      <c r="I205" s="365" t="e">
        <f t="shared" si="9"/>
        <v>#N/A</v>
      </c>
      <c r="L205" s="1525" t="s">
        <v>2774</v>
      </c>
    </row>
    <row r="206" spans="1:12" x14ac:dyDescent="0.2">
      <c r="A206" s="191">
        <v>2400</v>
      </c>
      <c r="B206" s="2881" t="s">
        <v>2775</v>
      </c>
      <c r="C206" s="2881"/>
      <c r="D206" s="2881"/>
      <c r="E206" s="2881"/>
      <c r="F206" s="372">
        <v>0</v>
      </c>
      <c r="I206" s="365" t="e">
        <f t="shared" si="9"/>
        <v>#N/A</v>
      </c>
      <c r="L206" s="1525" t="s">
        <v>2776</v>
      </c>
    </row>
    <row r="207" spans="1:12" x14ac:dyDescent="0.2">
      <c r="A207" s="191">
        <v>2410</v>
      </c>
      <c r="B207" s="2881" t="s">
        <v>1234</v>
      </c>
      <c r="C207" s="2881"/>
      <c r="D207" s="2881"/>
      <c r="E207" s="2881"/>
      <c r="F207" s="372">
        <v>0</v>
      </c>
      <c r="I207" s="365" t="e">
        <f t="shared" si="9"/>
        <v>#N/A</v>
      </c>
      <c r="L207" s="1463">
        <v>43200000</v>
      </c>
    </row>
    <row r="208" spans="1:12" x14ac:dyDescent="0.2">
      <c r="A208" s="191">
        <v>2420</v>
      </c>
      <c r="B208" s="2881" t="s">
        <v>2777</v>
      </c>
      <c r="C208" s="2881"/>
      <c r="D208" s="2881"/>
      <c r="E208" s="2881"/>
      <c r="F208" s="372">
        <v>0</v>
      </c>
      <c r="I208" s="365" t="e">
        <f t="shared" si="9"/>
        <v>#N/A</v>
      </c>
      <c r="L208" s="1463">
        <v>44410000</v>
      </c>
    </row>
    <row r="209" spans="1:12" x14ac:dyDescent="0.2">
      <c r="A209" s="191">
        <v>2430</v>
      </c>
      <c r="B209" s="2881" t="s">
        <v>1226</v>
      </c>
      <c r="C209" s="2881"/>
      <c r="D209" s="2881"/>
      <c r="E209" s="2881"/>
      <c r="F209" s="372">
        <v>0</v>
      </c>
      <c r="I209" s="365" t="e">
        <f t="shared" si="9"/>
        <v>#N/A</v>
      </c>
      <c r="L209" s="1463">
        <v>47993000</v>
      </c>
    </row>
    <row r="210" spans="1:12" x14ac:dyDescent="0.2">
      <c r="A210" s="191">
        <v>2450</v>
      </c>
      <c r="B210" s="2881" t="s">
        <v>1775</v>
      </c>
      <c r="C210" s="2881"/>
      <c r="D210" s="2881"/>
      <c r="E210" s="2881"/>
      <c r="F210" s="373">
        <v>0</v>
      </c>
      <c r="I210" s="365" t="e">
        <f t="shared" si="9"/>
        <v>#N/A</v>
      </c>
      <c r="L210" s="1463">
        <v>47111000</v>
      </c>
    </row>
    <row r="211" spans="1:12" x14ac:dyDescent="0.2">
      <c r="A211" s="191"/>
      <c r="B211" s="2952" t="s">
        <v>2778</v>
      </c>
      <c r="C211" s="2952"/>
      <c r="D211" s="2952"/>
      <c r="E211" s="2952"/>
      <c r="F211" s="374">
        <f>SUM(F200:F210)</f>
        <v>0</v>
      </c>
      <c r="I211" s="374" t="e">
        <f>SUM(I200:I210)</f>
        <v>#N/A</v>
      </c>
    </row>
    <row r="212" spans="1:12" ht="5.25" customHeight="1" x14ac:dyDescent="0.2"/>
    <row r="213" spans="1:12" ht="13.5" customHeight="1" x14ac:dyDescent="0.2">
      <c r="B213" s="2377" t="s">
        <v>2779</v>
      </c>
    </row>
    <row r="214" spans="1:12" x14ac:dyDescent="0.2">
      <c r="A214" s="191">
        <v>2490</v>
      </c>
      <c r="B214" s="2947" t="s">
        <v>2780</v>
      </c>
      <c r="C214" s="2947"/>
      <c r="D214" s="2947"/>
      <c r="E214" s="2947"/>
      <c r="F214" s="372">
        <v>0</v>
      </c>
      <c r="I214" s="365" t="e">
        <f t="shared" ref="I214:I221" si="10">INDEX(PY905Data,MATCH($A214,PY905Row,0),MATCH($C$5,PY905Col,0))</f>
        <v>#N/A</v>
      </c>
      <c r="K214" s="159"/>
      <c r="L214" s="1463">
        <v>51110000</v>
      </c>
    </row>
    <row r="215" spans="1:12" x14ac:dyDescent="0.2">
      <c r="A215" s="191">
        <v>2510</v>
      </c>
      <c r="B215" s="2947" t="s">
        <v>2781</v>
      </c>
      <c r="C215" s="2947"/>
      <c r="D215" s="2947"/>
      <c r="E215" s="2947"/>
      <c r="F215" s="372">
        <v>0</v>
      </c>
      <c r="I215" s="365" t="e">
        <f t="shared" si="10"/>
        <v>#N/A</v>
      </c>
      <c r="L215" s="1463">
        <v>53110000</v>
      </c>
    </row>
    <row r="216" spans="1:12" x14ac:dyDescent="0.2">
      <c r="A216" s="191">
        <v>2520</v>
      </c>
      <c r="B216" s="2955" t="s">
        <v>2782</v>
      </c>
      <c r="C216" s="2955"/>
      <c r="D216" s="2955"/>
      <c r="E216" s="2955"/>
      <c r="F216" s="372">
        <v>0</v>
      </c>
      <c r="I216" s="365" t="e">
        <f t="shared" si="10"/>
        <v>#N/A</v>
      </c>
      <c r="L216" s="1463">
        <v>52110000</v>
      </c>
    </row>
    <row r="217" spans="1:12" x14ac:dyDescent="0.2">
      <c r="A217" s="191">
        <v>2550</v>
      </c>
      <c r="B217" s="2881" t="s">
        <v>2783</v>
      </c>
      <c r="C217" s="2881"/>
      <c r="D217" s="2881"/>
      <c r="E217" s="2881"/>
      <c r="F217" s="372">
        <v>0</v>
      </c>
      <c r="I217" s="365" t="e">
        <f t="shared" si="10"/>
        <v>#N/A</v>
      </c>
      <c r="L217" s="1463">
        <v>53800000</v>
      </c>
    </row>
    <row r="218" spans="1:12" x14ac:dyDescent="0.2">
      <c r="A218" s="191">
        <v>2540</v>
      </c>
      <c r="B218" s="2881" t="s">
        <v>2784</v>
      </c>
      <c r="C218" s="2881"/>
      <c r="D218" s="2881"/>
      <c r="E218" s="2881"/>
      <c r="F218" s="372">
        <v>0</v>
      </c>
      <c r="I218" s="365" t="e">
        <f t="shared" si="10"/>
        <v>#N/A</v>
      </c>
      <c r="L218" s="1463">
        <v>55210000</v>
      </c>
    </row>
    <row r="219" spans="1:12" x14ac:dyDescent="0.2">
      <c r="A219" s="191">
        <v>2560</v>
      </c>
      <c r="B219" s="2881" t="s">
        <v>676</v>
      </c>
      <c r="C219" s="2881"/>
      <c r="D219" s="2881"/>
      <c r="E219" s="2881"/>
      <c r="F219" s="372">
        <v>0</v>
      </c>
      <c r="G219" s="159" t="str">
        <f>IF(F219='210'!M34," ","Should agree to total accumulated depreciation increases per ws 210, cell K25; provide explanation for difference on ws 210")</f>
        <v xml:space="preserve"> </v>
      </c>
      <c r="I219" s="365" t="e">
        <f t="shared" si="10"/>
        <v>#N/A</v>
      </c>
      <c r="L219" s="1463">
        <v>55430000</v>
      </c>
    </row>
    <row r="220" spans="1:12" x14ac:dyDescent="0.2">
      <c r="A220" s="191">
        <v>2570</v>
      </c>
      <c r="B220" s="2881" t="s">
        <v>2785</v>
      </c>
      <c r="C220" s="2881"/>
      <c r="D220" s="2881"/>
      <c r="E220" s="2881"/>
      <c r="F220" s="372">
        <v>0</v>
      </c>
      <c r="I220" s="365" t="e">
        <f t="shared" si="10"/>
        <v>#N/A</v>
      </c>
      <c r="L220" s="1463">
        <v>52911000</v>
      </c>
    </row>
    <row r="221" spans="1:12" x14ac:dyDescent="0.2">
      <c r="A221" s="191">
        <v>2590</v>
      </c>
      <c r="B221" s="2881" t="s">
        <v>2786</v>
      </c>
      <c r="C221" s="2881"/>
      <c r="D221" s="2881"/>
      <c r="E221" s="2881"/>
      <c r="F221" s="372">
        <v>0</v>
      </c>
      <c r="G221" s="159"/>
      <c r="I221" s="365" t="e">
        <f t="shared" si="10"/>
        <v>#N/A</v>
      </c>
      <c r="L221" s="1463">
        <v>56810000</v>
      </c>
    </row>
    <row r="222" spans="1:12" x14ac:dyDescent="0.2">
      <c r="A222" s="191"/>
      <c r="B222" s="191" t="s">
        <v>1361</v>
      </c>
      <c r="C222" s="890"/>
      <c r="D222" s="890"/>
      <c r="E222" s="890"/>
      <c r="F222" s="890"/>
      <c r="G222" s="159"/>
      <c r="I222" s="365"/>
    </row>
    <row r="223" spans="1:12" x14ac:dyDescent="0.2">
      <c r="A223" s="191">
        <v>2610</v>
      </c>
      <c r="B223" s="2951" t="s">
        <v>2787</v>
      </c>
      <c r="C223" s="2951"/>
      <c r="D223" s="2951"/>
      <c r="E223" s="2951"/>
      <c r="F223" s="372">
        <v>0</v>
      </c>
      <c r="G223" s="159"/>
      <c r="I223" s="365" t="e">
        <f>INDEX(PY905Data,MATCH($A223,PY905Row,0),MATCH($C$5,PY905Col,0))</f>
        <v>#N/A</v>
      </c>
      <c r="L223" s="1463">
        <v>52410000</v>
      </c>
    </row>
    <row r="224" spans="1:12" x14ac:dyDescent="0.2">
      <c r="A224" s="191">
        <v>2625</v>
      </c>
      <c r="B224" s="2951" t="s">
        <v>2788</v>
      </c>
      <c r="C224" s="2951"/>
      <c r="D224" s="2951"/>
      <c r="E224" s="2951"/>
      <c r="F224" s="372">
        <v>0</v>
      </c>
      <c r="G224" s="159"/>
      <c r="I224" s="365" t="e">
        <f>INDEX(PY905Data,MATCH($A224,PY905Row,0),MATCH($C$5,PY905Col,0))</f>
        <v>#N/A</v>
      </c>
      <c r="L224" s="1525">
        <v>56900000</v>
      </c>
    </row>
    <row r="225" spans="1:12" x14ac:dyDescent="0.2">
      <c r="A225" s="191">
        <v>2630</v>
      </c>
      <c r="B225" s="2951" t="s">
        <v>2789</v>
      </c>
      <c r="C225" s="2951"/>
      <c r="D225" s="2951"/>
      <c r="E225" s="2951"/>
      <c r="F225" s="373">
        <v>0</v>
      </c>
      <c r="G225" s="159"/>
      <c r="I225" s="365" t="e">
        <f>INDEX(PY905Data,MATCH($A225,PY905Row,0),MATCH($C$5,PY905Col,0))</f>
        <v>#N/A</v>
      </c>
      <c r="L225" s="1463">
        <v>52511000</v>
      </c>
    </row>
    <row r="226" spans="1:12" x14ac:dyDescent="0.2">
      <c r="B226" s="2952" t="s">
        <v>2790</v>
      </c>
      <c r="C226" s="2952"/>
      <c r="D226" s="2952"/>
      <c r="E226" s="2952"/>
      <c r="F226" s="403">
        <f>SUM(F214:F225)</f>
        <v>0</v>
      </c>
      <c r="I226" s="403" t="e">
        <f>SUM(I214:I225)</f>
        <v>#N/A</v>
      </c>
    </row>
    <row r="227" spans="1:12" x14ac:dyDescent="0.2">
      <c r="B227" s="2952" t="s">
        <v>2791</v>
      </c>
      <c r="C227" s="2952"/>
      <c r="D227" s="2952"/>
      <c r="E227" s="2952"/>
      <c r="F227" s="403">
        <f>F211-F226</f>
        <v>0</v>
      </c>
      <c r="I227" s="403" t="e">
        <f>I211-I226</f>
        <v>#N/A</v>
      </c>
    </row>
    <row r="228" spans="1:12" ht="3.75" customHeight="1" x14ac:dyDescent="0.2">
      <c r="B228" s="2367"/>
      <c r="C228" s="2367"/>
      <c r="D228" s="2367"/>
      <c r="E228" s="2367"/>
    </row>
    <row r="229" spans="1:12" x14ac:dyDescent="0.2">
      <c r="B229" s="2377" t="s">
        <v>2792</v>
      </c>
    </row>
    <row r="230" spans="1:12" x14ac:dyDescent="0.2">
      <c r="A230" s="191">
        <v>2690</v>
      </c>
      <c r="B230" s="2947" t="s">
        <v>2793</v>
      </c>
      <c r="C230" s="2947"/>
      <c r="D230" s="2947"/>
      <c r="E230" s="2947"/>
      <c r="F230" s="372">
        <v>0</v>
      </c>
      <c r="G230" s="528"/>
      <c r="I230" s="365" t="e">
        <f t="shared" ref="I230:I248" si="11">INDEX(PY905Data,MATCH($A230,PY905Row,0),MATCH($C$5,PY905Col,0))</f>
        <v>#N/A</v>
      </c>
      <c r="L230" s="1463">
        <v>49100000</v>
      </c>
    </row>
    <row r="231" spans="1:12" x14ac:dyDescent="0.2">
      <c r="A231" s="191">
        <v>2691</v>
      </c>
      <c r="B231" s="2947" t="s">
        <v>2794</v>
      </c>
      <c r="C231" s="2947"/>
      <c r="D231" s="2947"/>
      <c r="E231" s="2947"/>
      <c r="F231" s="372">
        <v>0</v>
      </c>
      <c r="G231" s="621"/>
      <c r="I231" s="365" t="e">
        <f t="shared" si="11"/>
        <v>#N/A</v>
      </c>
      <c r="L231" s="1463">
        <v>42908000</v>
      </c>
    </row>
    <row r="232" spans="1:12" x14ac:dyDescent="0.2">
      <c r="A232" s="191">
        <v>2692</v>
      </c>
      <c r="B232" s="2947" t="s">
        <v>2795</v>
      </c>
      <c r="C232" s="2947"/>
      <c r="D232" s="2947"/>
      <c r="E232" s="2947"/>
      <c r="F232" s="372">
        <v>0</v>
      </c>
      <c r="G232" s="528"/>
      <c r="I232" s="365" t="e">
        <f t="shared" si="11"/>
        <v>#N/A</v>
      </c>
      <c r="L232" s="1463">
        <v>42990000</v>
      </c>
    </row>
    <row r="233" spans="1:12" x14ac:dyDescent="0.2">
      <c r="A233" s="191">
        <v>2693</v>
      </c>
      <c r="B233" s="2947" t="s">
        <v>2796</v>
      </c>
      <c r="C233" s="2947"/>
      <c r="D233" s="2947"/>
      <c r="E233" s="2947"/>
      <c r="F233" s="372">
        <v>0</v>
      </c>
      <c r="G233" s="528"/>
      <c r="I233" s="365" t="e">
        <f t="shared" si="11"/>
        <v>#N/A</v>
      </c>
      <c r="K233" s="1021" t="s">
        <v>2797</v>
      </c>
      <c r="L233" s="1525">
        <v>42905000</v>
      </c>
    </row>
    <row r="234" spans="1:12" x14ac:dyDescent="0.2">
      <c r="A234" s="191">
        <v>2700</v>
      </c>
      <c r="B234" s="2947" t="s">
        <v>2798</v>
      </c>
      <c r="C234" s="2947"/>
      <c r="D234" s="2947"/>
      <c r="E234" s="2947"/>
      <c r="F234" s="372">
        <v>0</v>
      </c>
      <c r="I234" s="365" t="e">
        <f t="shared" si="11"/>
        <v>#N/A</v>
      </c>
      <c r="L234" s="1525" t="s">
        <v>2799</v>
      </c>
    </row>
    <row r="235" spans="1:12" x14ac:dyDescent="0.2">
      <c r="A235" s="191">
        <v>2701</v>
      </c>
      <c r="B235" s="2947" t="s">
        <v>2800</v>
      </c>
      <c r="C235" s="2947"/>
      <c r="D235" s="2947"/>
      <c r="E235" s="2947"/>
      <c r="F235" s="372">
        <v>0</v>
      </c>
      <c r="I235" s="365" t="e">
        <f t="shared" si="11"/>
        <v>#N/A</v>
      </c>
      <c r="K235" s="1021" t="s">
        <v>2797</v>
      </c>
      <c r="L235" s="1525" t="s">
        <v>2801</v>
      </c>
    </row>
    <row r="236" spans="1:12" x14ac:dyDescent="0.2">
      <c r="A236" s="191">
        <v>2710</v>
      </c>
      <c r="B236" s="2955" t="s">
        <v>2802</v>
      </c>
      <c r="C236" s="2955"/>
      <c r="D236" s="2955"/>
      <c r="E236" s="2955"/>
      <c r="F236" s="372">
        <v>0</v>
      </c>
      <c r="I236" s="365" t="e">
        <f t="shared" si="11"/>
        <v>#N/A</v>
      </c>
      <c r="L236" s="1463">
        <v>46200000</v>
      </c>
    </row>
    <row r="237" spans="1:12" x14ac:dyDescent="0.2">
      <c r="A237" s="191">
        <v>2711</v>
      </c>
      <c r="B237" s="2955" t="s">
        <v>2803</v>
      </c>
      <c r="C237" s="2955"/>
      <c r="D237" s="2955"/>
      <c r="E237" s="2955"/>
      <c r="F237" s="372">
        <v>0</v>
      </c>
      <c r="I237" s="365" t="e">
        <f t="shared" si="11"/>
        <v>#N/A</v>
      </c>
      <c r="K237" s="1021" t="s">
        <v>2797</v>
      </c>
      <c r="L237" s="1463">
        <v>46207000</v>
      </c>
    </row>
    <row r="238" spans="1:12" x14ac:dyDescent="0.2">
      <c r="A238" s="191">
        <v>2720</v>
      </c>
      <c r="B238" s="2881" t="s">
        <v>2804</v>
      </c>
      <c r="C238" s="2881"/>
      <c r="D238" s="2881"/>
      <c r="E238" s="2881"/>
      <c r="F238" s="1970">
        <v>0</v>
      </c>
      <c r="G238" s="628" t="str">
        <f>IF(F238&gt;0, "Problem: Expense must be entered as negative number"," ")</f>
        <v xml:space="preserve"> </v>
      </c>
      <c r="I238" s="365" t="e">
        <f t="shared" si="11"/>
        <v>#N/A</v>
      </c>
      <c r="K238" s="1021" t="s">
        <v>2797</v>
      </c>
      <c r="L238" s="1463">
        <v>55321000</v>
      </c>
    </row>
    <row r="239" spans="1:12" x14ac:dyDescent="0.2">
      <c r="A239" s="191">
        <v>2740</v>
      </c>
      <c r="B239" s="2881" t="s">
        <v>2805</v>
      </c>
      <c r="C239" s="2881"/>
      <c r="D239" s="2881"/>
      <c r="E239" s="2881"/>
      <c r="F239" s="1970">
        <v>0</v>
      </c>
      <c r="G239" s="628" t="str">
        <f>IF(F239&lt;0, "Problem: Gain must be entered as positive number; if loss, please key to loss caption below instead"," ")</f>
        <v xml:space="preserve"> </v>
      </c>
      <c r="I239" s="365" t="e">
        <f t="shared" si="11"/>
        <v>#N/A</v>
      </c>
      <c r="L239" s="1463">
        <v>44330000</v>
      </c>
    </row>
    <row r="240" spans="1:12" x14ac:dyDescent="0.2">
      <c r="A240" s="191">
        <v>2750</v>
      </c>
      <c r="B240" s="2881" t="s">
        <v>2806</v>
      </c>
      <c r="C240" s="2881"/>
      <c r="D240" s="2881"/>
      <c r="E240" s="2881"/>
      <c r="F240" s="1970">
        <v>0</v>
      </c>
      <c r="G240" s="628" t="str">
        <f>IF(F240&gt;0, "Problem: Expense/Loss must be entered as negative number; if gain, please key to gain caption above instead"," ")</f>
        <v xml:space="preserve"> </v>
      </c>
      <c r="I240" s="365" t="e">
        <f t="shared" si="11"/>
        <v>#N/A</v>
      </c>
      <c r="L240" s="1463">
        <v>55650000</v>
      </c>
    </row>
    <row r="241" spans="1:12" x14ac:dyDescent="0.2">
      <c r="A241" s="191">
        <v>2755</v>
      </c>
      <c r="B241" s="2881" t="s">
        <v>2807</v>
      </c>
      <c r="C241" s="2881"/>
      <c r="D241" s="2881"/>
      <c r="E241" s="2881"/>
      <c r="F241" s="372">
        <v>0</v>
      </c>
      <c r="I241" s="365" t="e">
        <f t="shared" si="11"/>
        <v>#N/A</v>
      </c>
      <c r="K241" s="1021"/>
      <c r="L241" s="1463">
        <v>55341000</v>
      </c>
    </row>
    <row r="242" spans="1:12" x14ac:dyDescent="0.2">
      <c r="A242" s="191">
        <v>2760</v>
      </c>
      <c r="B242" s="2881" t="s">
        <v>1228</v>
      </c>
      <c r="C242" s="2881"/>
      <c r="D242" s="2881"/>
      <c r="E242" s="2881"/>
      <c r="F242" s="372">
        <v>0</v>
      </c>
      <c r="I242" s="365" t="e">
        <f t="shared" si="11"/>
        <v>#N/A</v>
      </c>
      <c r="L242" s="1463">
        <v>43111000</v>
      </c>
    </row>
    <row r="243" spans="1:12" x14ac:dyDescent="0.2">
      <c r="A243" s="191">
        <v>2770</v>
      </c>
      <c r="B243" s="2881" t="s">
        <v>2808</v>
      </c>
      <c r="C243" s="2881"/>
      <c r="D243" s="2881"/>
      <c r="E243" s="2881"/>
      <c r="F243" s="372">
        <v>0</v>
      </c>
      <c r="I243" s="365" t="e">
        <f t="shared" si="11"/>
        <v>#N/A</v>
      </c>
      <c r="L243" s="1463">
        <v>47116000</v>
      </c>
    </row>
    <row r="244" spans="1:12" x14ac:dyDescent="0.2">
      <c r="A244" s="191">
        <v>2780</v>
      </c>
      <c r="B244" s="2881" t="s">
        <v>2809</v>
      </c>
      <c r="C244" s="2881"/>
      <c r="D244" s="2881"/>
      <c r="E244" s="2881"/>
      <c r="F244" s="1970">
        <v>0</v>
      </c>
      <c r="G244" s="628" t="str">
        <f>IF(F244&gt;0, "Problem: Nonoperating expense must be entered as negative number; if grant revenue, please see captions above"," ")</f>
        <v xml:space="preserve"> </v>
      </c>
      <c r="I244" s="365" t="e">
        <f t="shared" si="11"/>
        <v>#N/A</v>
      </c>
      <c r="L244" s="1525" t="s">
        <v>2810</v>
      </c>
    </row>
    <row r="245" spans="1:12" x14ac:dyDescent="0.2">
      <c r="A245" s="191">
        <v>2785</v>
      </c>
      <c r="B245" s="2881" t="s">
        <v>1232</v>
      </c>
      <c r="C245" s="2881"/>
      <c r="D245" s="2881"/>
      <c r="E245" s="2881"/>
      <c r="F245" s="372">
        <v>0</v>
      </c>
      <c r="G245" s="159"/>
      <c r="I245" s="365" t="e">
        <f t="shared" si="11"/>
        <v>#N/A</v>
      </c>
      <c r="L245" s="1463">
        <v>42907000</v>
      </c>
    </row>
    <row r="246" spans="1:12" x14ac:dyDescent="0.2">
      <c r="A246" s="191">
        <v>2786</v>
      </c>
      <c r="B246" s="2881" t="s">
        <v>2811</v>
      </c>
      <c r="C246" s="2881"/>
      <c r="D246" s="2881"/>
      <c r="E246" s="2881"/>
      <c r="F246" s="372">
        <v>0</v>
      </c>
      <c r="G246" s="159"/>
      <c r="I246" s="365" t="e">
        <f t="shared" si="11"/>
        <v>#N/A</v>
      </c>
      <c r="K246" s="1219"/>
      <c r="L246" s="1463">
        <v>47128000</v>
      </c>
    </row>
    <row r="247" spans="1:12" x14ac:dyDescent="0.2">
      <c r="A247" s="191">
        <v>2800</v>
      </c>
      <c r="B247" s="2881" t="s">
        <v>2812</v>
      </c>
      <c r="C247" s="2881"/>
      <c r="D247" s="2881"/>
      <c r="E247" s="2881"/>
      <c r="F247" s="1970">
        <v>0</v>
      </c>
      <c r="G247" s="628" t="str">
        <f>IF(F247&lt;0, "Problem: Misc nonperating revenue must be entered as positive number; if expense key to nonoperating expense caption below"," ")</f>
        <v xml:space="preserve"> </v>
      </c>
      <c r="I247" s="365" t="e">
        <f t="shared" si="11"/>
        <v>#N/A</v>
      </c>
      <c r="L247" s="1463">
        <v>44321000</v>
      </c>
    </row>
    <row r="248" spans="1:12" x14ac:dyDescent="0.2">
      <c r="A248" s="191">
        <v>2810</v>
      </c>
      <c r="B248" s="2881" t="s">
        <v>2813</v>
      </c>
      <c r="C248" s="2881"/>
      <c r="D248" s="2881"/>
      <c r="E248" s="2881"/>
      <c r="F248" s="1970">
        <v>0</v>
      </c>
      <c r="G248" s="628" t="str">
        <f>IF(F248&gt;0, "Problem: Misc nonoperating expense must be entered as negative number; if revenue, key to nonoperating revenue caption above."," ")</f>
        <v xml:space="preserve"> </v>
      </c>
      <c r="I248" s="365" t="e">
        <f t="shared" si="11"/>
        <v>#N/A</v>
      </c>
      <c r="L248" s="1463">
        <v>55332000</v>
      </c>
    </row>
    <row r="249" spans="1:12" x14ac:dyDescent="0.2">
      <c r="B249" s="2952" t="s">
        <v>2814</v>
      </c>
      <c r="C249" s="2952"/>
      <c r="D249" s="2952"/>
      <c r="E249" s="2952"/>
      <c r="F249" s="374">
        <f>SUM(F230:F248)</f>
        <v>0</v>
      </c>
      <c r="I249" s="374" t="e">
        <f>SUM(I230:I248)</f>
        <v>#N/A</v>
      </c>
    </row>
    <row r="250" spans="1:12" x14ac:dyDescent="0.2">
      <c r="B250" s="2952" t="s">
        <v>2815</v>
      </c>
      <c r="C250" s="2952"/>
      <c r="D250" s="2952"/>
      <c r="E250" s="2952"/>
      <c r="F250" s="374">
        <f>F227+F249</f>
        <v>0</v>
      </c>
      <c r="I250" s="374" t="e">
        <f>I227+I249</f>
        <v>#N/A</v>
      </c>
      <c r="L250" s="1525"/>
    </row>
    <row r="251" spans="1:12" x14ac:dyDescent="0.2">
      <c r="A251" s="527">
        <v>2870</v>
      </c>
      <c r="B251" s="2947" t="s">
        <v>2816</v>
      </c>
      <c r="C251" s="2947"/>
      <c r="D251" s="2947"/>
      <c r="E251" s="2947"/>
      <c r="F251" s="372">
        <v>0</v>
      </c>
      <c r="G251" s="528"/>
      <c r="I251" s="365" t="e">
        <f t="shared" ref="I251:I257" si="12">INDEX(PY905Data,MATCH($A251,PY905Row,0),MATCH($C$5,PY905Col,0))</f>
        <v>#N/A</v>
      </c>
      <c r="L251" s="1463">
        <v>42901000</v>
      </c>
    </row>
    <row r="252" spans="1:12" x14ac:dyDescent="0.2">
      <c r="A252" s="191">
        <v>2880</v>
      </c>
      <c r="B252" s="2947" t="s">
        <v>2817</v>
      </c>
      <c r="C252" s="2947"/>
      <c r="D252" s="2947"/>
      <c r="E252" s="2947"/>
      <c r="F252" s="372">
        <v>0</v>
      </c>
      <c r="I252" s="365" t="e">
        <f t="shared" si="12"/>
        <v>#N/A</v>
      </c>
      <c r="L252" s="1525" t="s">
        <v>2818</v>
      </c>
    </row>
    <row r="253" spans="1:12" x14ac:dyDescent="0.2">
      <c r="A253" s="191">
        <v>2890</v>
      </c>
      <c r="B253" s="2947" t="s">
        <v>2819</v>
      </c>
      <c r="C253" s="2947"/>
      <c r="D253" s="2947"/>
      <c r="E253" s="2947"/>
      <c r="F253" s="372">
        <v>0</v>
      </c>
      <c r="I253" s="365" t="e">
        <f t="shared" si="12"/>
        <v>#N/A</v>
      </c>
      <c r="L253" s="1463">
        <v>46203000</v>
      </c>
    </row>
    <row r="254" spans="1:12" x14ac:dyDescent="0.2">
      <c r="A254" s="191">
        <v>2900</v>
      </c>
      <c r="B254" s="2947" t="s">
        <v>2820</v>
      </c>
      <c r="C254" s="2947"/>
      <c r="D254" s="2947"/>
      <c r="E254" s="2947"/>
      <c r="F254" s="372">
        <v>0</v>
      </c>
      <c r="G254" s="159"/>
      <c r="I254" s="365" t="e">
        <f t="shared" si="12"/>
        <v>#N/A</v>
      </c>
      <c r="L254" s="1463">
        <v>46205000</v>
      </c>
    </row>
    <row r="255" spans="1:12" x14ac:dyDescent="0.2">
      <c r="A255" s="666">
        <v>2940</v>
      </c>
      <c r="B255" s="2947" t="s">
        <v>2821</v>
      </c>
      <c r="C255" s="2947"/>
      <c r="D255" s="2947"/>
      <c r="E255" s="2947"/>
      <c r="F255" s="587">
        <f>'565'!H29</f>
        <v>0</v>
      </c>
      <c r="G255" t="str">
        <f>IF(F255='565'!H29," ","Problem: Must agree to ws 565 total Interinstitutional transfers")</f>
        <v xml:space="preserve"> </v>
      </c>
      <c r="I255" s="365" t="e">
        <f t="shared" si="12"/>
        <v>#N/A</v>
      </c>
      <c r="L255" s="1463">
        <v>48700000</v>
      </c>
    </row>
    <row r="256" spans="1:12" x14ac:dyDescent="0.2">
      <c r="A256" s="191">
        <v>2950</v>
      </c>
      <c r="B256" s="2947" t="s">
        <v>2822</v>
      </c>
      <c r="C256" s="2947"/>
      <c r="D256" s="2947"/>
      <c r="E256" s="2947"/>
      <c r="F256" s="1970">
        <v>0</v>
      </c>
      <c r="G256" s="486" t="str">
        <f>IF(AND(ABS(F256)&gt;=1,ABS(F256)&lt;10000000),"Problem: Under $10 million threshold - reclassify to another rev or exp"," ")</f>
        <v xml:space="preserve"> </v>
      </c>
      <c r="I256" s="365" t="e">
        <f t="shared" si="12"/>
        <v>#N/A</v>
      </c>
      <c r="L256" s="1463">
        <v>47750000</v>
      </c>
    </row>
    <row r="257" spans="1:12" x14ac:dyDescent="0.2">
      <c r="A257" s="191">
        <v>2960</v>
      </c>
      <c r="B257" s="2947" t="s">
        <v>2823</v>
      </c>
      <c r="C257" s="2947"/>
      <c r="D257" s="2947"/>
      <c r="E257" s="2947"/>
      <c r="F257" s="1971">
        <v>0</v>
      </c>
      <c r="G257" s="486" t="str">
        <f>IF(AND(ABS(F257)&gt;=1,ABS(F257)&lt;10000000),"Problem: Under $10 million threshold - reclassify to another rev or exp"," ")</f>
        <v xml:space="preserve"> </v>
      </c>
      <c r="I257" s="367" t="e">
        <f t="shared" si="12"/>
        <v>#N/A</v>
      </c>
      <c r="L257" s="1463">
        <v>47700000</v>
      </c>
    </row>
    <row r="258" spans="1:12" x14ac:dyDescent="0.2">
      <c r="B258" s="2952" t="s">
        <v>2824</v>
      </c>
      <c r="C258" s="2952"/>
      <c r="D258" s="2952"/>
      <c r="E258" s="2952"/>
      <c r="F258" s="365">
        <f>SUM(F250:F257)</f>
        <v>0</v>
      </c>
      <c r="I258" s="365" t="e">
        <f>SUM(I250:I257)</f>
        <v>#N/A</v>
      </c>
    </row>
    <row r="259" spans="1:12" x14ac:dyDescent="0.2">
      <c r="A259" s="191">
        <v>2980</v>
      </c>
      <c r="B259" s="2947" t="s">
        <v>2825</v>
      </c>
      <c r="C259" s="2947"/>
      <c r="D259" s="2947"/>
      <c r="E259" s="2947"/>
      <c r="F259" s="587" t="e">
        <f>INDEX(NetAssetsData,MATCH('905'!$C$5,NetAssetsDataRow,0),3)</f>
        <v>#N/A</v>
      </c>
      <c r="I259" s="365" t="e">
        <f>INDEX(PY905Data,MATCH($A259,PY905Row,0),MATCH($C$5,PY905Col,0))</f>
        <v>#N/A</v>
      </c>
    </row>
    <row r="260" spans="1:12" x14ac:dyDescent="0.2">
      <c r="A260" s="191">
        <v>2990</v>
      </c>
      <c r="B260" s="2947" t="s">
        <v>1737</v>
      </c>
      <c r="C260" s="2947"/>
      <c r="D260" s="2947"/>
      <c r="E260" s="2947"/>
      <c r="F260" s="587" cm="1">
        <f t="array" ref="F260:G260">+'430BTA'!C40:D40</f>
        <v>0</v>
      </c>
      <c r="G260">
        <v>0</v>
      </c>
      <c r="I260" s="365" t="e">
        <f>INDEX(PY905Data,MATCH($A260,PY905Row,0),MATCH($C$5,PY905Col,0))</f>
        <v>#N/A</v>
      </c>
      <c r="L260" s="1463">
        <v>33000100</v>
      </c>
    </row>
    <row r="261" spans="1:12" ht="13.5" thickBot="1" x14ac:dyDescent="0.25">
      <c r="A261" s="191"/>
      <c r="B261" s="2947" t="s">
        <v>2826</v>
      </c>
      <c r="C261" s="2947"/>
      <c r="D261" s="2947"/>
      <c r="E261" s="2947"/>
      <c r="F261" s="453" t="e">
        <f>SUM(F258:F260)</f>
        <v>#N/A</v>
      </c>
      <c r="I261" s="453" t="e">
        <f>SUM(I258:I260)</f>
        <v>#N/A</v>
      </c>
    </row>
    <row r="262" spans="1:12" ht="9.75" customHeight="1" thickTop="1" x14ac:dyDescent="0.2">
      <c r="I262" s="365"/>
    </row>
    <row r="263" spans="1:12" x14ac:dyDescent="0.2">
      <c r="B263" s="191" t="s">
        <v>2827</v>
      </c>
      <c r="F263" s="454">
        <f>IFERROR((IF(ROUND(F192-F261,2)=0,"OK","Error")),0)</f>
        <v>0</v>
      </c>
      <c r="I263" s="454" t="e">
        <f>IF(ROUND(I192-I261,2)=0, "OK", "Error")</f>
        <v>#N/A</v>
      </c>
    </row>
    <row r="264" spans="1:12" ht="13.5" thickBot="1" x14ac:dyDescent="0.25"/>
    <row r="265" spans="1:12" x14ac:dyDescent="0.2">
      <c r="A265" s="976" t="s">
        <v>2828</v>
      </c>
      <c r="B265" s="573"/>
      <c r="C265" s="573"/>
      <c r="D265" s="573"/>
      <c r="E265" s="573"/>
      <c r="F265" s="574"/>
      <c r="G265" s="575"/>
    </row>
    <row r="266" spans="1:12" x14ac:dyDescent="0.2">
      <c r="A266" s="975" t="s">
        <v>2829</v>
      </c>
      <c r="B266" s="577"/>
      <c r="C266" s="577"/>
      <c r="D266" s="577"/>
      <c r="E266" s="577"/>
      <c r="F266" s="578"/>
      <c r="G266" s="579"/>
    </row>
    <row r="267" spans="1:12" x14ac:dyDescent="0.2">
      <c r="A267" s="975" t="s">
        <v>2830</v>
      </c>
      <c r="B267" s="577"/>
      <c r="C267" s="577"/>
      <c r="D267" s="577"/>
      <c r="E267" s="577"/>
      <c r="F267" s="578"/>
      <c r="G267" s="579"/>
    </row>
    <row r="268" spans="1:12" x14ac:dyDescent="0.2">
      <c r="A268" s="975" t="s">
        <v>2831</v>
      </c>
      <c r="B268" s="577"/>
      <c r="C268" s="577"/>
      <c r="D268" s="577"/>
      <c r="E268" s="577"/>
      <c r="F268" s="578"/>
      <c r="G268" s="579"/>
    </row>
    <row r="269" spans="1:12" x14ac:dyDescent="0.2">
      <c r="A269" s="975" t="s">
        <v>2832</v>
      </c>
      <c r="B269" s="577"/>
      <c r="C269" s="577"/>
      <c r="D269" s="577"/>
      <c r="E269" s="577"/>
      <c r="F269" s="578"/>
      <c r="G269" s="579"/>
    </row>
    <row r="270" spans="1:12" x14ac:dyDescent="0.2">
      <c r="A270" s="975" t="s">
        <v>2833</v>
      </c>
      <c r="B270" s="577"/>
      <c r="C270" s="577"/>
      <c r="D270" s="577"/>
      <c r="E270" s="577"/>
      <c r="F270" s="578"/>
      <c r="G270" s="580"/>
    </row>
    <row r="271" spans="1:12" x14ac:dyDescent="0.2">
      <c r="A271" s="576"/>
      <c r="B271" s="577"/>
      <c r="C271" s="577"/>
      <c r="D271" s="577"/>
      <c r="E271" s="577"/>
      <c r="F271" s="578"/>
      <c r="G271" s="580"/>
    </row>
    <row r="272" spans="1:12" x14ac:dyDescent="0.2">
      <c r="A272" s="2963"/>
      <c r="B272" s="2964"/>
      <c r="C272" s="2964"/>
      <c r="D272" s="2964"/>
      <c r="E272" s="577"/>
      <c r="F272" s="2140"/>
      <c r="G272" s="2141"/>
    </row>
    <row r="273" spans="1:7" x14ac:dyDescent="0.2">
      <c r="A273" s="576" t="s">
        <v>2834</v>
      </c>
      <c r="B273" s="577"/>
      <c r="C273" s="577"/>
      <c r="D273" s="577"/>
      <c r="E273" s="577"/>
      <c r="F273" s="578" t="s">
        <v>670</v>
      </c>
      <c r="G273" s="579"/>
    </row>
    <row r="274" spans="1:7" ht="13.5" thickBot="1" x14ac:dyDescent="0.25">
      <c r="A274" s="581"/>
      <c r="B274" s="582"/>
      <c r="C274" s="582"/>
      <c r="D274" s="582"/>
      <c r="E274" s="582"/>
      <c r="F274" s="583"/>
      <c r="G274" s="584"/>
    </row>
    <row r="278" spans="1:7" x14ac:dyDescent="0.2">
      <c r="A278" s="159" t="s">
        <v>2835</v>
      </c>
    </row>
  </sheetData>
  <sheetProtection algorithmName="SHA-512" hashValue="vAvFY8+aIvpDBBNaj1IwH72Pq996tqC1yd8LsnOx1b9J3rDcRjoWpGHcP7vBbDh21FkSnoG2qLa5YG2vjVzmHQ==" saltValue="Gtr01rfgJl1nod9H0Fw3SQ==" spinCount="100000" sheet="1" autoFilter="0"/>
  <customSheetViews>
    <customSheetView guid="{9FCFC836-1CA5-48BF-958D-24D2EA94B219}" topLeftCell="A49">
      <selection activeCell="F45" sqref="F45"/>
      <rowBreaks count="4" manualBreakCount="4">
        <brk id="54" max="16383" man="1"/>
        <brk id="97" max="16383" man="1"/>
        <brk id="146" max="16383" man="1"/>
        <brk id="180" max="16383" man="1"/>
      </rowBreaks>
      <pageMargins left="0" right="0" top="0" bottom="0" header="0" footer="0"/>
      <printOptions gridLines="1"/>
      <pageSetup scale="95" fitToHeight="3" orientation="portrait" r:id="rId1"/>
      <headerFooter alignWithMargins="0">
        <oddFooter>&amp;R&amp;A (&amp;P of &amp;N)</oddFooter>
      </headerFooter>
    </customSheetView>
    <customSheetView guid="{B08879A4-635B-4C39-9937-AC7883D562FC}" topLeftCell="A49">
      <selection activeCell="F45" sqref="F45"/>
      <rowBreaks count="4" manualBreakCount="4">
        <brk id="54" max="16383" man="1"/>
        <brk id="97" max="16383" man="1"/>
        <brk id="146" max="16383" man="1"/>
        <brk id="180" max="16383" man="1"/>
      </rowBreaks>
      <pageMargins left="0" right="0" top="0" bottom="0" header="0" footer="0"/>
      <printOptions gridLines="1"/>
      <pageSetup scale="95" fitToHeight="3" orientation="portrait" r:id="rId2"/>
      <headerFooter alignWithMargins="0">
        <oddFooter>&amp;R&amp;A (&amp;P of &amp;N)</oddFooter>
      </headerFooter>
    </customSheetView>
  </customSheetViews>
  <mergeCells count="226">
    <mergeCell ref="B241:E241"/>
    <mergeCell ref="B226:E226"/>
    <mergeCell ref="B251:E251"/>
    <mergeCell ref="B233:E233"/>
    <mergeCell ref="B235:E235"/>
    <mergeCell ref="A272:D272"/>
    <mergeCell ref="B252:E252"/>
    <mergeCell ref="B242:E242"/>
    <mergeCell ref="B248:E248"/>
    <mergeCell ref="B243:E243"/>
    <mergeCell ref="B245:E245"/>
    <mergeCell ref="B258:E258"/>
    <mergeCell ref="B260:E260"/>
    <mergeCell ref="B259:E259"/>
    <mergeCell ref="B254:E254"/>
    <mergeCell ref="B236:E236"/>
    <mergeCell ref="B238:E238"/>
    <mergeCell ref="B246:E246"/>
    <mergeCell ref="B261:E261"/>
    <mergeCell ref="B253:E253"/>
    <mergeCell ref="B256:E256"/>
    <mergeCell ref="B257:E257"/>
    <mergeCell ref="B149:E149"/>
    <mergeCell ref="B115:E115"/>
    <mergeCell ref="B255:E255"/>
    <mergeCell ref="B250:E250"/>
    <mergeCell ref="B217:E217"/>
    <mergeCell ref="B189:E189"/>
    <mergeCell ref="B206:E206"/>
    <mergeCell ref="B192:E192"/>
    <mergeCell ref="B211:E211"/>
    <mergeCell ref="B249:E249"/>
    <mergeCell ref="B239:E239"/>
    <mergeCell ref="B247:E247"/>
    <mergeCell ref="B218:E218"/>
    <mergeCell ref="B231:E231"/>
    <mergeCell ref="B227:E227"/>
    <mergeCell ref="B234:E234"/>
    <mergeCell ref="B230:E230"/>
    <mergeCell ref="B205:E205"/>
    <mergeCell ref="B244:E244"/>
    <mergeCell ref="B240:E240"/>
    <mergeCell ref="B172:E172"/>
    <mergeCell ref="B216:E216"/>
    <mergeCell ref="B224:E224"/>
    <mergeCell ref="B232:E232"/>
    <mergeCell ref="B184:E184"/>
    <mergeCell ref="B185:E185"/>
    <mergeCell ref="B202:E202"/>
    <mergeCell ref="B203:E203"/>
    <mergeCell ref="B201:E201"/>
    <mergeCell ref="B214:E214"/>
    <mergeCell ref="B237:E237"/>
    <mergeCell ref="B209:E209"/>
    <mergeCell ref="B223:E223"/>
    <mergeCell ref="B225:E225"/>
    <mergeCell ref="B200:E200"/>
    <mergeCell ref="B208:E208"/>
    <mergeCell ref="B198:E198"/>
    <mergeCell ref="B188:E188"/>
    <mergeCell ref="B207:E207"/>
    <mergeCell ref="B191:E191"/>
    <mergeCell ref="B187:E187"/>
    <mergeCell ref="B204:E204"/>
    <mergeCell ref="B210:E210"/>
    <mergeCell ref="B220:E220"/>
    <mergeCell ref="B221:E221"/>
    <mergeCell ref="B146:E146"/>
    <mergeCell ref="B156:E156"/>
    <mergeCell ref="B170:E170"/>
    <mergeCell ref="B159:E159"/>
    <mergeCell ref="B67:E67"/>
    <mergeCell ref="B70:E70"/>
    <mergeCell ref="B88:E88"/>
    <mergeCell ref="B98:E98"/>
    <mergeCell ref="B68:E68"/>
    <mergeCell ref="B86:E86"/>
    <mergeCell ref="B107:E107"/>
    <mergeCell ref="B97:E97"/>
    <mergeCell ref="B105:E105"/>
    <mergeCell ref="B79:E79"/>
    <mergeCell ref="B80:E80"/>
    <mergeCell ref="B85:E85"/>
    <mergeCell ref="B83:E83"/>
    <mergeCell ref="B72:E72"/>
    <mergeCell ref="B74:E74"/>
    <mergeCell ref="B69:E69"/>
    <mergeCell ref="B147:E147"/>
    <mergeCell ref="B110:E110"/>
    <mergeCell ref="B93:E93"/>
    <mergeCell ref="B103:E103"/>
    <mergeCell ref="B84:E84"/>
    <mergeCell ref="B92:E92"/>
    <mergeCell ref="B91:E91"/>
    <mergeCell ref="B44:E44"/>
    <mergeCell ref="B45:E45"/>
    <mergeCell ref="B46:E46"/>
    <mergeCell ref="B57:E57"/>
    <mergeCell ref="B55:E55"/>
    <mergeCell ref="B59:E59"/>
    <mergeCell ref="B60:E60"/>
    <mergeCell ref="B54:E54"/>
    <mergeCell ref="B65:E65"/>
    <mergeCell ref="B62:E62"/>
    <mergeCell ref="B73:E73"/>
    <mergeCell ref="B52:E52"/>
    <mergeCell ref="B53:E53"/>
    <mergeCell ref="B66:E66"/>
    <mergeCell ref="B64:E64"/>
    <mergeCell ref="B142:E142"/>
    <mergeCell ref="B133:E133"/>
    <mergeCell ref="B94:E94"/>
    <mergeCell ref="B106:E106"/>
    <mergeCell ref="B95:E95"/>
    <mergeCell ref="B111:E111"/>
    <mergeCell ref="B112:E112"/>
    <mergeCell ref="B104:E104"/>
    <mergeCell ref="B109:E109"/>
    <mergeCell ref="B113:E113"/>
    <mergeCell ref="B96:E96"/>
    <mergeCell ref="B114:E114"/>
    <mergeCell ref="B116:E116"/>
    <mergeCell ref="B121:E121"/>
    <mergeCell ref="B129:E129"/>
    <mergeCell ref="B135:E135"/>
    <mergeCell ref="B137:E137"/>
    <mergeCell ref="B134:E134"/>
    <mergeCell ref="B131:E131"/>
    <mergeCell ref="B123:E123"/>
    <mergeCell ref="B120:E120"/>
    <mergeCell ref="A1:G1"/>
    <mergeCell ref="A4:I4"/>
    <mergeCell ref="F5:G5"/>
    <mergeCell ref="F6:G6"/>
    <mergeCell ref="B14:E14"/>
    <mergeCell ref="A8:I8"/>
    <mergeCell ref="B71:E71"/>
    <mergeCell ref="B30:E30"/>
    <mergeCell ref="B49:E49"/>
    <mergeCell ref="B21:E21"/>
    <mergeCell ref="B13:E13"/>
    <mergeCell ref="C6:D6"/>
    <mergeCell ref="B42:E42"/>
    <mergeCell ref="B51:E51"/>
    <mergeCell ref="B38:E38"/>
    <mergeCell ref="B36:E36"/>
    <mergeCell ref="B35:E35"/>
    <mergeCell ref="B23:E23"/>
    <mergeCell ref="B22:E22"/>
    <mergeCell ref="B24:E24"/>
    <mergeCell ref="B56:E56"/>
    <mergeCell ref="B48:E48"/>
    <mergeCell ref="B15:E15"/>
    <mergeCell ref="B19:E19"/>
    <mergeCell ref="B20:E20"/>
    <mergeCell ref="A3:G3"/>
    <mergeCell ref="B10:E10"/>
    <mergeCell ref="B16:E16"/>
    <mergeCell ref="A2:G2"/>
    <mergeCell ref="B175:E175"/>
    <mergeCell ref="B157:E157"/>
    <mergeCell ref="B61:E61"/>
    <mergeCell ref="B58:E58"/>
    <mergeCell ref="B63:E63"/>
    <mergeCell ref="B17:E17"/>
    <mergeCell ref="B34:E34"/>
    <mergeCell ref="B41:E41"/>
    <mergeCell ref="B25:E25"/>
    <mergeCell ref="B47:E47"/>
    <mergeCell ref="B148:E148"/>
    <mergeCell ref="B145:E145"/>
    <mergeCell ref="B26:E26"/>
    <mergeCell ref="B27:E27"/>
    <mergeCell ref="B29:E29"/>
    <mergeCell ref="B37:E37"/>
    <mergeCell ref="B33:E33"/>
    <mergeCell ref="B28:E28"/>
    <mergeCell ref="B32:E32"/>
    <mergeCell ref="B168:E168"/>
    <mergeCell ref="B128:E128"/>
    <mergeCell ref="B75:E75"/>
    <mergeCell ref="B76:E76"/>
    <mergeCell ref="B77:E77"/>
    <mergeCell ref="B78:E78"/>
    <mergeCell ref="B176:E176"/>
    <mergeCell ref="B150:E150"/>
    <mergeCell ref="B144:E144"/>
    <mergeCell ref="B143:E143"/>
    <mergeCell ref="B136:E136"/>
    <mergeCell ref="B119:E119"/>
    <mergeCell ref="B130:E130"/>
    <mergeCell ref="B124:E124"/>
    <mergeCell ref="B132:E132"/>
    <mergeCell ref="B127:E127"/>
    <mergeCell ref="B117:E117"/>
    <mergeCell ref="B118:E118"/>
    <mergeCell ref="B141:E141"/>
    <mergeCell ref="B171:E171"/>
    <mergeCell ref="B152:E152"/>
    <mergeCell ref="B154:E154"/>
    <mergeCell ref="B163:E163"/>
    <mergeCell ref="B161:E161"/>
    <mergeCell ref="B31:E31"/>
    <mergeCell ref="B50:E50"/>
    <mergeCell ref="B126:E126"/>
    <mergeCell ref="B122:E122"/>
    <mergeCell ref="B219:E219"/>
    <mergeCell ref="B215:E215"/>
    <mergeCell ref="B151:E151"/>
    <mergeCell ref="B125:E125"/>
    <mergeCell ref="B81:E81"/>
    <mergeCell ref="B82:E82"/>
    <mergeCell ref="B190:E190"/>
    <mergeCell ref="B183:E183"/>
    <mergeCell ref="B181:E181"/>
    <mergeCell ref="B160:E160"/>
    <mergeCell ref="B174:E174"/>
    <mergeCell ref="B173:E173"/>
    <mergeCell ref="B158:E158"/>
    <mergeCell ref="B177:E177"/>
    <mergeCell ref="B169:E169"/>
    <mergeCell ref="B178:E178"/>
    <mergeCell ref="B155:E155"/>
    <mergeCell ref="B153:E153"/>
    <mergeCell ref="B162:E162"/>
    <mergeCell ref="B165:E165"/>
  </mergeCells>
  <phoneticPr fontId="16" type="noConversion"/>
  <hyperlinks>
    <hyperlink ref="B1:G1" location="Index!A1" display="Index!A1" xr:uid="{00000000-0004-0000-4A00-000000000000}"/>
  </hyperlinks>
  <pageMargins left="0.6" right="0.6" top="0.5" bottom="0.5" header="0.3" footer="0.3"/>
  <pageSetup scale="77" fitToHeight="5" orientation="portrait" r:id="rId3"/>
  <rowBreaks count="4" manualBreakCount="4">
    <brk id="61" max="8" man="1"/>
    <brk id="116" max="8" man="1"/>
    <brk id="179" max="8" man="1"/>
    <brk id="228" max="8" man="1"/>
  </rowBreaks>
  <legacyDrawing r:id="rId4"/>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52">
    <tabColor rgb="FFFFFF00"/>
  </sheetPr>
  <dimension ref="A1:G1637"/>
  <sheetViews>
    <sheetView zoomScaleNormal="100" workbookViewId="0">
      <pane ySplit="1" topLeftCell="A2" activePane="bottomLeft" state="frozen"/>
      <selection sqref="A1:E1"/>
      <selection pane="bottomLeft" activeCell="C654" sqref="C654"/>
    </sheetView>
  </sheetViews>
  <sheetFormatPr defaultRowHeight="12.75" x14ac:dyDescent="0.2"/>
  <cols>
    <col min="1" max="1" width="63.42578125" customWidth="1"/>
    <col min="2" max="2" width="48.5703125" style="464" customWidth="1"/>
    <col min="3" max="3" width="10.5703125" style="166" customWidth="1"/>
  </cols>
  <sheetData>
    <row r="1" spans="1:3" ht="17.25" customHeight="1" thickBot="1" x14ac:dyDescent="0.3">
      <c r="A1" s="642" t="s">
        <v>2836</v>
      </c>
      <c r="B1" s="1020" t="s">
        <v>2837</v>
      </c>
    </row>
    <row r="2" spans="1:3" ht="18.75" thickBot="1" x14ac:dyDescent="0.3">
      <c r="A2" s="810" t="s">
        <v>2838</v>
      </c>
      <c r="B2" s="923"/>
    </row>
    <row r="3" spans="1:3" x14ac:dyDescent="0.2">
      <c r="A3" s="813" t="s">
        <v>2618</v>
      </c>
      <c r="B3" s="1437" t="s">
        <v>2839</v>
      </c>
      <c r="C3" s="2231" t="s">
        <v>2840</v>
      </c>
    </row>
    <row r="4" spans="1:3" x14ac:dyDescent="0.2">
      <c r="A4" s="1" t="s">
        <v>2621</v>
      </c>
      <c r="B4" s="1972" t="s">
        <v>2841</v>
      </c>
    </row>
    <row r="5" spans="1:3" ht="42" customHeight="1" thickBot="1" x14ac:dyDescent="0.25">
      <c r="A5" s="943" t="s">
        <v>2623</v>
      </c>
      <c r="B5" s="1093" t="s">
        <v>2842</v>
      </c>
    </row>
    <row r="6" spans="1:3" x14ac:dyDescent="0.2">
      <c r="A6" s="809" t="s">
        <v>1526</v>
      </c>
      <c r="B6" s="948" t="s">
        <v>2843</v>
      </c>
      <c r="C6" s="166">
        <v>1000</v>
      </c>
    </row>
    <row r="7" spans="1:3" x14ac:dyDescent="0.2">
      <c r="A7" t="s">
        <v>2844</v>
      </c>
      <c r="B7" s="2263"/>
    </row>
    <row r="8" spans="1:3" x14ac:dyDescent="0.2">
      <c r="A8" t="s">
        <v>2845</v>
      </c>
      <c r="B8" s="2263"/>
    </row>
    <row r="9" spans="1:3" x14ac:dyDescent="0.2">
      <c r="A9" t="s">
        <v>2846</v>
      </c>
      <c r="B9" s="2263"/>
    </row>
    <row r="10" spans="1:3" x14ac:dyDescent="0.2">
      <c r="A10" t="s">
        <v>2847</v>
      </c>
      <c r="B10" s="2263"/>
    </row>
    <row r="11" spans="1:3" x14ac:dyDescent="0.2">
      <c r="A11" t="s">
        <v>2848</v>
      </c>
      <c r="B11" s="2263"/>
    </row>
    <row r="12" spans="1:3" x14ac:dyDescent="0.2">
      <c r="A12" t="s">
        <v>2849</v>
      </c>
      <c r="B12" s="2263"/>
    </row>
    <row r="13" spans="1:3" x14ac:dyDescent="0.2">
      <c r="A13" s="809" t="s">
        <v>1527</v>
      </c>
      <c r="B13" s="948" t="s">
        <v>2843</v>
      </c>
      <c r="C13" s="166">
        <v>1010</v>
      </c>
    </row>
    <row r="14" spans="1:3" x14ac:dyDescent="0.2">
      <c r="A14" t="s">
        <v>2850</v>
      </c>
      <c r="B14" s="2263"/>
    </row>
    <row r="15" spans="1:3" x14ac:dyDescent="0.2">
      <c r="A15" t="s">
        <v>2851</v>
      </c>
      <c r="B15" s="2263"/>
    </row>
    <row r="16" spans="1:3" x14ac:dyDescent="0.2">
      <c r="A16" t="s">
        <v>2852</v>
      </c>
      <c r="B16" s="2263"/>
    </row>
    <row r="17" spans="1:3" x14ac:dyDescent="0.2">
      <c r="A17" t="s">
        <v>2853</v>
      </c>
      <c r="B17" s="2263"/>
    </row>
    <row r="18" spans="1:3" x14ac:dyDescent="0.2">
      <c r="A18" t="s">
        <v>2854</v>
      </c>
      <c r="B18" s="2263"/>
    </row>
    <row r="19" spans="1:3" x14ac:dyDescent="0.2">
      <c r="A19" t="s">
        <v>2855</v>
      </c>
      <c r="B19" s="2263"/>
    </row>
    <row r="20" spans="1:3" x14ac:dyDescent="0.2">
      <c r="A20" t="s">
        <v>2856</v>
      </c>
      <c r="B20" s="2263"/>
    </row>
    <row r="21" spans="1:3" x14ac:dyDescent="0.2">
      <c r="A21" t="s">
        <v>2857</v>
      </c>
      <c r="B21" s="2263"/>
    </row>
    <row r="22" spans="1:3" x14ac:dyDescent="0.2">
      <c r="A22" t="s">
        <v>2858</v>
      </c>
      <c r="B22" s="2263"/>
    </row>
    <row r="23" spans="1:3" x14ac:dyDescent="0.2">
      <c r="A23" t="s">
        <v>2859</v>
      </c>
      <c r="B23" s="2263"/>
    </row>
    <row r="24" spans="1:3" x14ac:dyDescent="0.2">
      <c r="A24" t="s">
        <v>2860</v>
      </c>
      <c r="B24" s="2263"/>
    </row>
    <row r="25" spans="1:3" x14ac:dyDescent="0.2">
      <c r="A25" t="s">
        <v>2861</v>
      </c>
      <c r="B25" s="2263"/>
    </row>
    <row r="26" spans="1:3" x14ac:dyDescent="0.2">
      <c r="A26" s="809" t="s">
        <v>2862</v>
      </c>
      <c r="B26" s="948" t="s">
        <v>2843</v>
      </c>
      <c r="C26" s="166">
        <v>1020</v>
      </c>
    </row>
    <row r="27" spans="1:3" x14ac:dyDescent="0.2">
      <c r="A27" t="s">
        <v>2863</v>
      </c>
      <c r="B27" s="2263"/>
    </row>
    <row r="28" spans="1:3" x14ac:dyDescent="0.2">
      <c r="A28" t="s">
        <v>2864</v>
      </c>
      <c r="B28" s="2263"/>
    </row>
    <row r="29" spans="1:3" x14ac:dyDescent="0.2">
      <c r="A29" t="s">
        <v>2865</v>
      </c>
      <c r="B29" s="2263"/>
    </row>
    <row r="30" spans="1:3" x14ac:dyDescent="0.2">
      <c r="A30" t="s">
        <v>2866</v>
      </c>
      <c r="B30" s="2263"/>
    </row>
    <row r="31" spans="1:3" x14ac:dyDescent="0.2">
      <c r="A31" t="s">
        <v>2867</v>
      </c>
      <c r="B31" s="2263"/>
    </row>
    <row r="32" spans="1:3" x14ac:dyDescent="0.2">
      <c r="A32" s="809" t="s">
        <v>2646</v>
      </c>
      <c r="B32" s="948" t="s">
        <v>2843</v>
      </c>
      <c r="C32" s="166">
        <v>1030</v>
      </c>
    </row>
    <row r="33" spans="1:3" x14ac:dyDescent="0.2">
      <c r="A33" t="s">
        <v>2868</v>
      </c>
      <c r="B33" s="2263"/>
    </row>
    <row r="34" spans="1:3" x14ac:dyDescent="0.2">
      <c r="A34" t="s">
        <v>2869</v>
      </c>
      <c r="B34" s="2263"/>
    </row>
    <row r="35" spans="1:3" x14ac:dyDescent="0.2">
      <c r="A35" t="s">
        <v>2870</v>
      </c>
      <c r="B35" s="2263"/>
    </row>
    <row r="36" spans="1:3" x14ac:dyDescent="0.2">
      <c r="A36" t="s">
        <v>2871</v>
      </c>
      <c r="B36" s="2263"/>
    </row>
    <row r="37" spans="1:3" x14ac:dyDescent="0.2">
      <c r="A37" t="s">
        <v>2872</v>
      </c>
      <c r="B37" s="2263"/>
    </row>
    <row r="38" spans="1:3" x14ac:dyDescent="0.2">
      <c r="A38" s="809" t="s">
        <v>1528</v>
      </c>
      <c r="B38" s="948" t="s">
        <v>2843</v>
      </c>
      <c r="C38" s="166">
        <v>1050</v>
      </c>
    </row>
    <row r="39" spans="1:3" x14ac:dyDescent="0.2">
      <c r="A39" t="s">
        <v>2873</v>
      </c>
      <c r="B39" s="2263"/>
    </row>
    <row r="40" spans="1:3" x14ac:dyDescent="0.2">
      <c r="A40" t="s">
        <v>2874</v>
      </c>
      <c r="B40" s="2263"/>
    </row>
    <row r="41" spans="1:3" x14ac:dyDescent="0.2">
      <c r="A41" t="s">
        <v>2875</v>
      </c>
      <c r="B41" s="2263"/>
    </row>
    <row r="42" spans="1:3" x14ac:dyDescent="0.2">
      <c r="A42" t="s">
        <v>2876</v>
      </c>
      <c r="B42" s="2263"/>
    </row>
    <row r="43" spans="1:3" x14ac:dyDescent="0.2">
      <c r="A43" t="s">
        <v>2877</v>
      </c>
      <c r="B43" s="2263"/>
    </row>
    <row r="44" spans="1:3" x14ac:dyDescent="0.2">
      <c r="A44" t="s">
        <v>2878</v>
      </c>
      <c r="B44" s="2263"/>
    </row>
    <row r="45" spans="1:3" x14ac:dyDescent="0.2">
      <c r="A45" t="s">
        <v>2879</v>
      </c>
      <c r="B45" s="2263"/>
    </row>
    <row r="46" spans="1:3" x14ac:dyDescent="0.2">
      <c r="A46" t="s">
        <v>2880</v>
      </c>
      <c r="B46" s="2263"/>
    </row>
    <row r="47" spans="1:3" x14ac:dyDescent="0.2">
      <c r="A47" t="s">
        <v>2881</v>
      </c>
      <c r="B47" s="2263"/>
    </row>
    <row r="48" spans="1:3" x14ac:dyDescent="0.2">
      <c r="A48" t="s">
        <v>2882</v>
      </c>
      <c r="B48" s="2263"/>
    </row>
    <row r="49" spans="1:2" x14ac:dyDescent="0.2">
      <c r="A49" t="s">
        <v>2883</v>
      </c>
      <c r="B49" s="2263"/>
    </row>
    <row r="50" spans="1:2" x14ac:dyDescent="0.2">
      <c r="A50" t="s">
        <v>2884</v>
      </c>
      <c r="B50" s="2263"/>
    </row>
    <row r="51" spans="1:2" x14ac:dyDescent="0.2">
      <c r="A51" t="s">
        <v>2885</v>
      </c>
      <c r="B51" s="2263"/>
    </row>
    <row r="52" spans="1:2" x14ac:dyDescent="0.2">
      <c r="A52" t="s">
        <v>2886</v>
      </c>
      <c r="B52" s="2263"/>
    </row>
    <row r="53" spans="1:2" x14ac:dyDescent="0.2">
      <c r="A53" t="s">
        <v>2887</v>
      </c>
      <c r="B53" s="2263"/>
    </row>
    <row r="54" spans="1:2" x14ac:dyDescent="0.2">
      <c r="A54" t="s">
        <v>2888</v>
      </c>
      <c r="B54" s="2263"/>
    </row>
    <row r="55" spans="1:2" x14ac:dyDescent="0.2">
      <c r="A55" t="s">
        <v>2889</v>
      </c>
      <c r="B55" s="2263"/>
    </row>
    <row r="56" spans="1:2" x14ac:dyDescent="0.2">
      <c r="A56" t="s">
        <v>2890</v>
      </c>
      <c r="B56" s="2263"/>
    </row>
    <row r="57" spans="1:2" x14ac:dyDescent="0.2">
      <c r="A57" t="s">
        <v>2891</v>
      </c>
      <c r="B57" s="2263"/>
    </row>
    <row r="58" spans="1:2" x14ac:dyDescent="0.2">
      <c r="A58" t="s">
        <v>2892</v>
      </c>
      <c r="B58" s="2263"/>
    </row>
    <row r="59" spans="1:2" x14ac:dyDescent="0.2">
      <c r="A59" t="s">
        <v>2893</v>
      </c>
      <c r="B59" s="2263"/>
    </row>
    <row r="60" spans="1:2" x14ac:dyDescent="0.2">
      <c r="A60" t="s">
        <v>2894</v>
      </c>
      <c r="B60" s="2263"/>
    </row>
    <row r="61" spans="1:2" x14ac:dyDescent="0.2">
      <c r="A61" t="s">
        <v>2895</v>
      </c>
      <c r="B61" s="2263"/>
    </row>
    <row r="62" spans="1:2" x14ac:dyDescent="0.2">
      <c r="A62" t="s">
        <v>2896</v>
      </c>
      <c r="B62" s="2263"/>
    </row>
    <row r="63" spans="1:2" x14ac:dyDescent="0.2">
      <c r="A63" t="s">
        <v>2897</v>
      </c>
      <c r="B63" s="2263"/>
    </row>
    <row r="64" spans="1:2" x14ac:dyDescent="0.2">
      <c r="A64" t="s">
        <v>2898</v>
      </c>
      <c r="B64" s="2263"/>
    </row>
    <row r="65" spans="1:3" x14ac:dyDescent="0.2">
      <c r="A65" t="s">
        <v>2899</v>
      </c>
      <c r="B65" s="2263" t="s">
        <v>2900</v>
      </c>
    </row>
    <row r="66" spans="1:3" x14ac:dyDescent="0.2">
      <c r="A66" s="809" t="s">
        <v>2276</v>
      </c>
      <c r="B66" s="950" t="s">
        <v>2843</v>
      </c>
      <c r="C66" s="166">
        <v>1060</v>
      </c>
    </row>
    <row r="67" spans="1:3" x14ac:dyDescent="0.2">
      <c r="A67" t="s">
        <v>2901</v>
      </c>
      <c r="B67" s="2263"/>
    </row>
    <row r="68" spans="1:3" x14ac:dyDescent="0.2">
      <c r="A68" t="s">
        <v>2902</v>
      </c>
      <c r="B68" s="2263"/>
    </row>
    <row r="69" spans="1:3" x14ac:dyDescent="0.2">
      <c r="A69" s="159" t="s">
        <v>2903</v>
      </c>
      <c r="B69" s="2263" t="s">
        <v>2904</v>
      </c>
    </row>
    <row r="70" spans="1:3" x14ac:dyDescent="0.2">
      <c r="A70" s="159" t="s">
        <v>2905</v>
      </c>
      <c r="B70" s="2263" t="s">
        <v>2906</v>
      </c>
    </row>
    <row r="71" spans="1:3" x14ac:dyDescent="0.2">
      <c r="A71" t="s">
        <v>2907</v>
      </c>
      <c r="B71" s="2263"/>
    </row>
    <row r="72" spans="1:3" x14ac:dyDescent="0.2">
      <c r="A72" t="s">
        <v>2908</v>
      </c>
      <c r="B72" s="2263"/>
    </row>
    <row r="73" spans="1:3" x14ac:dyDescent="0.2">
      <c r="A73" t="s">
        <v>2909</v>
      </c>
      <c r="B73" s="2263"/>
    </row>
    <row r="74" spans="1:3" x14ac:dyDescent="0.2">
      <c r="A74" s="159" t="s">
        <v>2910</v>
      </c>
      <c r="B74" s="2263" t="s">
        <v>2911</v>
      </c>
    </row>
    <row r="75" spans="1:3" x14ac:dyDescent="0.2">
      <c r="A75" s="159" t="s">
        <v>2912</v>
      </c>
      <c r="B75" s="159" t="s">
        <v>2913</v>
      </c>
    </row>
    <row r="76" spans="1:3" x14ac:dyDescent="0.2">
      <c r="A76" s="159" t="s">
        <v>2914</v>
      </c>
      <c r="B76" s="2263" t="s">
        <v>2911</v>
      </c>
    </row>
    <row r="77" spans="1:3" x14ac:dyDescent="0.2">
      <c r="A77" t="s">
        <v>2915</v>
      </c>
      <c r="B77" s="2263"/>
    </row>
    <row r="78" spans="1:3" x14ac:dyDescent="0.2">
      <c r="A78" t="s">
        <v>2916</v>
      </c>
      <c r="B78" s="2263"/>
    </row>
    <row r="79" spans="1:3" x14ac:dyDescent="0.2">
      <c r="A79" t="s">
        <v>2917</v>
      </c>
      <c r="B79" s="2263"/>
    </row>
    <row r="80" spans="1:3" x14ac:dyDescent="0.2">
      <c r="A80" t="s">
        <v>2918</v>
      </c>
      <c r="B80" s="2263"/>
    </row>
    <row r="81" spans="1:3" x14ac:dyDescent="0.2">
      <c r="A81" t="s">
        <v>2919</v>
      </c>
      <c r="B81" s="2263"/>
    </row>
    <row r="82" spans="1:3" x14ac:dyDescent="0.2">
      <c r="A82" t="s">
        <v>2920</v>
      </c>
      <c r="B82" s="2263" t="s">
        <v>2921</v>
      </c>
    </row>
    <row r="83" spans="1:3" x14ac:dyDescent="0.2">
      <c r="A83" s="159" t="s">
        <v>2922</v>
      </c>
      <c r="B83" s="2263" t="s">
        <v>2911</v>
      </c>
    </row>
    <row r="84" spans="1:3" x14ac:dyDescent="0.2">
      <c r="A84" s="159" t="s">
        <v>2923</v>
      </c>
      <c r="B84" s="2263" t="s">
        <v>2911</v>
      </c>
    </row>
    <row r="85" spans="1:3" x14ac:dyDescent="0.2">
      <c r="A85" s="159" t="s">
        <v>2924</v>
      </c>
      <c r="B85" s="159" t="s">
        <v>2913</v>
      </c>
    </row>
    <row r="86" spans="1:3" x14ac:dyDescent="0.2">
      <c r="A86" s="159" t="s">
        <v>2925</v>
      </c>
      <c r="B86" s="159" t="s">
        <v>2904</v>
      </c>
    </row>
    <row r="87" spans="1:3" x14ac:dyDescent="0.2">
      <c r="A87" s="159" t="s">
        <v>2926</v>
      </c>
      <c r="B87" s="2263" t="s">
        <v>2906</v>
      </c>
    </row>
    <row r="88" spans="1:3" x14ac:dyDescent="0.2">
      <c r="A88" s="809" t="s">
        <v>1530</v>
      </c>
      <c r="B88" s="950" t="s">
        <v>2843</v>
      </c>
      <c r="C88" s="166">
        <v>1070</v>
      </c>
    </row>
    <row r="89" spans="1:3" x14ac:dyDescent="0.2">
      <c r="A89" t="s">
        <v>2927</v>
      </c>
      <c r="B89" s="2263"/>
    </row>
    <row r="90" spans="1:3" x14ac:dyDescent="0.2">
      <c r="A90" t="s">
        <v>2928</v>
      </c>
      <c r="B90" s="2263"/>
    </row>
    <row r="91" spans="1:3" x14ac:dyDescent="0.2">
      <c r="A91" t="s">
        <v>2929</v>
      </c>
      <c r="B91" s="2263"/>
    </row>
    <row r="92" spans="1:3" x14ac:dyDescent="0.2">
      <c r="A92" s="809" t="s">
        <v>2930</v>
      </c>
      <c r="B92" s="948" t="s">
        <v>2843</v>
      </c>
      <c r="C92" s="166">
        <v>1090</v>
      </c>
    </row>
    <row r="93" spans="1:3" x14ac:dyDescent="0.2">
      <c r="A93" t="s">
        <v>2931</v>
      </c>
      <c r="B93" s="2263"/>
    </row>
    <row r="94" spans="1:3" x14ac:dyDescent="0.2">
      <c r="A94" s="809" t="s">
        <v>2932</v>
      </c>
      <c r="B94" s="955"/>
    </row>
    <row r="95" spans="1:3" x14ac:dyDescent="0.2">
      <c r="A95" s="809" t="s">
        <v>2933</v>
      </c>
      <c r="B95" s="948" t="s">
        <v>2843</v>
      </c>
      <c r="C95" s="166">
        <v>1110</v>
      </c>
    </row>
    <row r="96" spans="1:3" x14ac:dyDescent="0.2">
      <c r="A96" t="s">
        <v>2934</v>
      </c>
      <c r="B96" s="2263"/>
    </row>
    <row r="97" spans="1:3" x14ac:dyDescent="0.2">
      <c r="A97" t="s">
        <v>2935</v>
      </c>
      <c r="B97" s="2263"/>
    </row>
    <row r="98" spans="1:3" x14ac:dyDescent="0.2">
      <c r="A98" t="s">
        <v>2936</v>
      </c>
      <c r="B98" s="2263"/>
    </row>
    <row r="99" spans="1:3" x14ac:dyDescent="0.2">
      <c r="A99" t="s">
        <v>2937</v>
      </c>
      <c r="B99" s="2263" t="s">
        <v>2938</v>
      </c>
    </row>
    <row r="100" spans="1:3" x14ac:dyDescent="0.2">
      <c r="A100" t="s">
        <v>2939</v>
      </c>
      <c r="B100" s="2263" t="s">
        <v>2938</v>
      </c>
    </row>
    <row r="101" spans="1:3" x14ac:dyDescent="0.2">
      <c r="A101" t="s">
        <v>2940</v>
      </c>
      <c r="B101" s="2263" t="s">
        <v>2938</v>
      </c>
    </row>
    <row r="102" spans="1:3" x14ac:dyDescent="0.2">
      <c r="A102" t="s">
        <v>2941</v>
      </c>
      <c r="B102" s="2263"/>
    </row>
    <row r="103" spans="1:3" x14ac:dyDescent="0.2">
      <c r="A103" t="s">
        <v>2942</v>
      </c>
      <c r="B103" s="2263"/>
    </row>
    <row r="104" spans="1:3" x14ac:dyDescent="0.2">
      <c r="A104" t="s">
        <v>2943</v>
      </c>
      <c r="B104" s="2263"/>
    </row>
    <row r="105" spans="1:3" x14ac:dyDescent="0.2">
      <c r="A105" s="809" t="s">
        <v>2944</v>
      </c>
      <c r="B105" s="948" t="s">
        <v>2843</v>
      </c>
      <c r="C105" s="166">
        <v>1120</v>
      </c>
    </row>
    <row r="106" spans="1:3" x14ac:dyDescent="0.2">
      <c r="A106" t="s">
        <v>2945</v>
      </c>
      <c r="B106" s="2263"/>
    </row>
    <row r="107" spans="1:3" x14ac:dyDescent="0.2">
      <c r="A107" t="s">
        <v>2946</v>
      </c>
      <c r="B107" s="2263"/>
    </row>
    <row r="108" spans="1:3" x14ac:dyDescent="0.2">
      <c r="A108" t="s">
        <v>2947</v>
      </c>
      <c r="B108" s="2263" t="s">
        <v>2948</v>
      </c>
    </row>
    <row r="109" spans="1:3" x14ac:dyDescent="0.2">
      <c r="A109" s="159" t="s">
        <v>2949</v>
      </c>
      <c r="B109" s="2263" t="s">
        <v>2950</v>
      </c>
    </row>
    <row r="110" spans="1:3" x14ac:dyDescent="0.2">
      <c r="A110" s="809" t="s">
        <v>2951</v>
      </c>
      <c r="B110" s="948" t="s">
        <v>2843</v>
      </c>
      <c r="C110" s="166">
        <v>1130</v>
      </c>
    </row>
    <row r="111" spans="1:3" x14ac:dyDescent="0.2">
      <c r="A111" t="s">
        <v>2952</v>
      </c>
      <c r="B111" s="2263"/>
    </row>
    <row r="112" spans="1:3" x14ac:dyDescent="0.2">
      <c r="A112" t="s">
        <v>2953</v>
      </c>
      <c r="B112" s="2263"/>
    </row>
    <row r="113" spans="1:3" x14ac:dyDescent="0.2">
      <c r="A113" s="809" t="s">
        <v>2954</v>
      </c>
      <c r="B113" s="948" t="s">
        <v>2843</v>
      </c>
      <c r="C113" s="2246" t="s">
        <v>2402</v>
      </c>
    </row>
    <row r="114" spans="1:3" x14ac:dyDescent="0.2">
      <c r="A114" t="s">
        <v>2955</v>
      </c>
      <c r="B114" s="2263"/>
    </row>
    <row r="115" spans="1:3" x14ac:dyDescent="0.2">
      <c r="A115" s="809" t="s">
        <v>2956</v>
      </c>
      <c r="B115" s="948" t="s">
        <v>2843</v>
      </c>
      <c r="C115" s="2246" t="s">
        <v>2402</v>
      </c>
    </row>
    <row r="116" spans="1:3" x14ac:dyDescent="0.2">
      <c r="A116" t="s">
        <v>2957</v>
      </c>
      <c r="B116" s="2263"/>
    </row>
    <row r="117" spans="1:3" x14ac:dyDescent="0.2">
      <c r="A117" t="s">
        <v>2958</v>
      </c>
      <c r="B117" s="2263"/>
    </row>
    <row r="118" spans="1:3" x14ac:dyDescent="0.2">
      <c r="A118" s="809" t="s">
        <v>2959</v>
      </c>
      <c r="B118" s="948" t="s">
        <v>2843</v>
      </c>
      <c r="C118" s="166">
        <v>1160</v>
      </c>
    </row>
    <row r="119" spans="1:3" x14ac:dyDescent="0.2">
      <c r="A119" t="s">
        <v>2960</v>
      </c>
      <c r="B119" s="2263"/>
    </row>
    <row r="120" spans="1:3" x14ac:dyDescent="0.2">
      <c r="A120" t="s">
        <v>2961</v>
      </c>
      <c r="B120" s="2263"/>
    </row>
    <row r="121" spans="1:3" x14ac:dyDescent="0.2">
      <c r="A121" t="s">
        <v>2962</v>
      </c>
      <c r="B121" s="2263"/>
    </row>
    <row r="122" spans="1:3" x14ac:dyDescent="0.2">
      <c r="A122" t="s">
        <v>2963</v>
      </c>
      <c r="B122" s="2263"/>
    </row>
    <row r="123" spans="1:3" x14ac:dyDescent="0.2">
      <c r="A123" s="809" t="s">
        <v>2964</v>
      </c>
      <c r="B123" s="948" t="s">
        <v>2843</v>
      </c>
      <c r="C123" s="2246" t="s">
        <v>2402</v>
      </c>
    </row>
    <row r="124" spans="1:3" x14ac:dyDescent="0.2">
      <c r="A124" t="s">
        <v>2965</v>
      </c>
      <c r="B124" s="2263"/>
    </row>
    <row r="125" spans="1:3" x14ac:dyDescent="0.2">
      <c r="A125" t="s">
        <v>2966</v>
      </c>
      <c r="B125" s="2263"/>
    </row>
    <row r="126" spans="1:3" x14ac:dyDescent="0.2">
      <c r="A126" t="s">
        <v>2967</v>
      </c>
      <c r="B126" s="2263"/>
    </row>
    <row r="127" spans="1:3" x14ac:dyDescent="0.2">
      <c r="A127" t="s">
        <v>2968</v>
      </c>
      <c r="B127" s="2263"/>
    </row>
    <row r="128" spans="1:3" x14ac:dyDescent="0.2">
      <c r="A128" t="s">
        <v>2969</v>
      </c>
      <c r="B128" s="2263"/>
    </row>
    <row r="129" spans="1:3" x14ac:dyDescent="0.2">
      <c r="A129" t="s">
        <v>2970</v>
      </c>
      <c r="B129" s="2263"/>
    </row>
    <row r="130" spans="1:3" x14ac:dyDescent="0.2">
      <c r="A130" s="809" t="s">
        <v>2084</v>
      </c>
      <c r="B130" s="948" t="s">
        <v>2843</v>
      </c>
      <c r="C130" s="2246" t="s">
        <v>2402</v>
      </c>
    </row>
    <row r="131" spans="1:3" x14ac:dyDescent="0.2">
      <c r="A131" t="s">
        <v>2971</v>
      </c>
      <c r="B131" s="2263"/>
    </row>
    <row r="132" spans="1:3" x14ac:dyDescent="0.2">
      <c r="A132" t="s">
        <v>2972</v>
      </c>
      <c r="B132" s="2263"/>
    </row>
    <row r="133" spans="1:3" x14ac:dyDescent="0.2">
      <c r="A133" t="s">
        <v>2973</v>
      </c>
      <c r="B133" s="2263"/>
    </row>
    <row r="134" spans="1:3" x14ac:dyDescent="0.2">
      <c r="A134" t="s">
        <v>2974</v>
      </c>
      <c r="B134" s="2263"/>
    </row>
    <row r="135" spans="1:3" x14ac:dyDescent="0.2">
      <c r="A135" t="s">
        <v>2975</v>
      </c>
      <c r="B135" s="2263"/>
    </row>
    <row r="136" spans="1:3" x14ac:dyDescent="0.2">
      <c r="A136" t="s">
        <v>2976</v>
      </c>
      <c r="B136" s="2263"/>
    </row>
    <row r="137" spans="1:3" x14ac:dyDescent="0.2">
      <c r="A137" t="s">
        <v>2977</v>
      </c>
      <c r="B137" s="2263"/>
    </row>
    <row r="138" spans="1:3" x14ac:dyDescent="0.2">
      <c r="A138" t="s">
        <v>2978</v>
      </c>
      <c r="B138" s="2263"/>
    </row>
    <row r="139" spans="1:3" x14ac:dyDescent="0.2">
      <c r="A139" t="s">
        <v>2979</v>
      </c>
      <c r="B139" s="2263"/>
    </row>
    <row r="140" spans="1:3" x14ac:dyDescent="0.2">
      <c r="A140" t="s">
        <v>2980</v>
      </c>
      <c r="B140" s="2263"/>
    </row>
    <row r="141" spans="1:3" x14ac:dyDescent="0.2">
      <c r="A141" t="s">
        <v>2981</v>
      </c>
      <c r="B141" s="2263"/>
    </row>
    <row r="142" spans="1:3" x14ac:dyDescent="0.2">
      <c r="A142" t="s">
        <v>2982</v>
      </c>
      <c r="B142" s="2263"/>
    </row>
    <row r="143" spans="1:3" x14ac:dyDescent="0.2">
      <c r="A143" t="s">
        <v>2983</v>
      </c>
      <c r="B143" s="2263"/>
    </row>
    <row r="144" spans="1:3" x14ac:dyDescent="0.2">
      <c r="A144" s="809" t="s">
        <v>2984</v>
      </c>
      <c r="B144" s="948" t="s">
        <v>2985</v>
      </c>
      <c r="C144" s="166">
        <v>1175</v>
      </c>
    </row>
    <row r="145" spans="1:3" x14ac:dyDescent="0.2">
      <c r="A145" s="1552" t="s">
        <v>2986</v>
      </c>
      <c r="B145" s="948"/>
    </row>
    <row r="146" spans="1:3" x14ac:dyDescent="0.2">
      <c r="A146" s="809" t="s">
        <v>2987</v>
      </c>
      <c r="B146" s="948" t="s">
        <v>2843</v>
      </c>
      <c r="C146" s="166">
        <v>1190</v>
      </c>
    </row>
    <row r="147" spans="1:3" x14ac:dyDescent="0.2">
      <c r="A147" t="s">
        <v>2988</v>
      </c>
      <c r="B147" s="2263"/>
    </row>
    <row r="148" spans="1:3" x14ac:dyDescent="0.2">
      <c r="A148" s="809" t="s">
        <v>2989</v>
      </c>
      <c r="B148" s="948" t="s">
        <v>2843</v>
      </c>
      <c r="C148" s="166">
        <v>1195</v>
      </c>
    </row>
    <row r="149" spans="1:3" x14ac:dyDescent="0.2">
      <c r="A149" t="s">
        <v>2990</v>
      </c>
      <c r="B149" s="2263" t="s">
        <v>2991</v>
      </c>
    </row>
    <row r="150" spans="1:3" x14ac:dyDescent="0.2">
      <c r="A150" s="809" t="s">
        <v>2992</v>
      </c>
      <c r="B150" s="948" t="s">
        <v>2843</v>
      </c>
      <c r="C150" s="166">
        <v>1200</v>
      </c>
    </row>
    <row r="151" spans="1:3" x14ac:dyDescent="0.2">
      <c r="A151" t="s">
        <v>2993</v>
      </c>
      <c r="B151" s="2263"/>
    </row>
    <row r="152" spans="1:3" x14ac:dyDescent="0.2">
      <c r="A152" s="809" t="s">
        <v>2640</v>
      </c>
      <c r="B152" s="948" t="s">
        <v>2843</v>
      </c>
      <c r="C152" s="166">
        <v>1230</v>
      </c>
    </row>
    <row r="153" spans="1:3" x14ac:dyDescent="0.2">
      <c r="A153" t="s">
        <v>2994</v>
      </c>
      <c r="B153" s="2263"/>
    </row>
    <row r="154" spans="1:3" x14ac:dyDescent="0.2">
      <c r="A154" t="s">
        <v>2995</v>
      </c>
      <c r="B154" s="2263"/>
    </row>
    <row r="155" spans="1:3" x14ac:dyDescent="0.2">
      <c r="A155" t="s">
        <v>2996</v>
      </c>
      <c r="B155" s="2263"/>
    </row>
    <row r="156" spans="1:3" x14ac:dyDescent="0.2">
      <c r="A156" t="s">
        <v>2997</v>
      </c>
      <c r="B156" s="2263"/>
    </row>
    <row r="157" spans="1:3" x14ac:dyDescent="0.2">
      <c r="A157" t="s">
        <v>2998</v>
      </c>
      <c r="B157" s="2263"/>
    </row>
    <row r="158" spans="1:3" x14ac:dyDescent="0.2">
      <c r="A158" t="s">
        <v>2999</v>
      </c>
      <c r="B158" s="2263"/>
    </row>
    <row r="159" spans="1:3" x14ac:dyDescent="0.2">
      <c r="A159" s="809" t="s">
        <v>3000</v>
      </c>
      <c r="B159"/>
      <c r="C159" s="166">
        <v>1211</v>
      </c>
    </row>
    <row r="160" spans="1:3" x14ac:dyDescent="0.2">
      <c r="A160" s="159" t="s">
        <v>3001</v>
      </c>
      <c r="B160" s="2263" t="s">
        <v>3002</v>
      </c>
    </row>
    <row r="161" spans="1:3" x14ac:dyDescent="0.2">
      <c r="A161" s="2071" t="s">
        <v>3003</v>
      </c>
      <c r="B161" s="2263"/>
      <c r="C161" s="166">
        <v>1214</v>
      </c>
    </row>
    <row r="162" spans="1:3" x14ac:dyDescent="0.2">
      <c r="A162" s="2010" t="s">
        <v>3004</v>
      </c>
      <c r="B162" s="2070" t="s">
        <v>3005</v>
      </c>
    </row>
    <row r="163" spans="1:3" x14ac:dyDescent="0.2">
      <c r="A163" s="809" t="s">
        <v>2638</v>
      </c>
      <c r="B163" s="2073" t="s">
        <v>3006</v>
      </c>
      <c r="C163" s="166">
        <v>1220</v>
      </c>
    </row>
    <row r="164" spans="1:3" x14ac:dyDescent="0.2">
      <c r="A164" t="s">
        <v>3007</v>
      </c>
      <c r="B164" s="2263"/>
    </row>
    <row r="165" spans="1:3" x14ac:dyDescent="0.2">
      <c r="A165" t="s">
        <v>3008</v>
      </c>
      <c r="B165" s="2263"/>
    </row>
    <row r="166" spans="1:3" x14ac:dyDescent="0.2">
      <c r="A166" t="s">
        <v>3009</v>
      </c>
      <c r="B166" s="2263"/>
    </row>
    <row r="167" spans="1:3" x14ac:dyDescent="0.2">
      <c r="A167" t="s">
        <v>3010</v>
      </c>
      <c r="B167" s="2263"/>
    </row>
    <row r="168" spans="1:3" x14ac:dyDescent="0.2">
      <c r="A168" t="s">
        <v>3011</v>
      </c>
      <c r="B168" s="2263"/>
    </row>
    <row r="169" spans="1:3" x14ac:dyDescent="0.2">
      <c r="A169" t="s">
        <v>3012</v>
      </c>
      <c r="B169" s="2263"/>
    </row>
    <row r="170" spans="1:3" x14ac:dyDescent="0.2">
      <c r="A170" t="s">
        <v>3013</v>
      </c>
      <c r="B170" s="2263"/>
    </row>
    <row r="171" spans="1:3" x14ac:dyDescent="0.2">
      <c r="A171" t="s">
        <v>3014</v>
      </c>
      <c r="B171" s="2263"/>
    </row>
    <row r="172" spans="1:3" x14ac:dyDescent="0.2">
      <c r="A172" t="s">
        <v>3015</v>
      </c>
      <c r="B172" s="2263"/>
    </row>
    <row r="173" spans="1:3" x14ac:dyDescent="0.2">
      <c r="A173" t="s">
        <v>3016</v>
      </c>
      <c r="B173" s="2263"/>
    </row>
    <row r="174" spans="1:3" x14ac:dyDescent="0.2">
      <c r="A174" t="s">
        <v>3017</v>
      </c>
      <c r="B174" s="2263"/>
    </row>
    <row r="175" spans="1:3" x14ac:dyDescent="0.2">
      <c r="A175" t="s">
        <v>3018</v>
      </c>
      <c r="B175" s="2263"/>
    </row>
    <row r="176" spans="1:3" x14ac:dyDescent="0.2">
      <c r="A176" t="s">
        <v>3019</v>
      </c>
      <c r="B176" s="2263"/>
    </row>
    <row r="177" spans="1:3" x14ac:dyDescent="0.2">
      <c r="A177" t="s">
        <v>3020</v>
      </c>
      <c r="B177" s="2263"/>
    </row>
    <row r="178" spans="1:3" x14ac:dyDescent="0.2">
      <c r="A178" t="s">
        <v>3021</v>
      </c>
      <c r="B178" s="2263"/>
    </row>
    <row r="179" spans="1:3" x14ac:dyDescent="0.2">
      <c r="A179" t="s">
        <v>3022</v>
      </c>
      <c r="B179" s="2263"/>
    </row>
    <row r="180" spans="1:3" x14ac:dyDescent="0.2">
      <c r="A180" t="s">
        <v>3023</v>
      </c>
      <c r="B180" s="2263"/>
    </row>
    <row r="181" spans="1:3" x14ac:dyDescent="0.2">
      <c r="A181" t="s">
        <v>3024</v>
      </c>
      <c r="B181" s="2263"/>
    </row>
    <row r="182" spans="1:3" x14ac:dyDescent="0.2">
      <c r="A182" t="s">
        <v>3025</v>
      </c>
      <c r="B182" s="2263"/>
    </row>
    <row r="183" spans="1:3" x14ac:dyDescent="0.2">
      <c r="A183" t="s">
        <v>3026</v>
      </c>
      <c r="B183" s="2263"/>
    </row>
    <row r="184" spans="1:3" x14ac:dyDescent="0.2">
      <c r="A184" t="s">
        <v>3027</v>
      </c>
      <c r="B184" s="2263"/>
    </row>
    <row r="185" spans="1:3" x14ac:dyDescent="0.2">
      <c r="A185" s="809" t="s">
        <v>3028</v>
      </c>
      <c r="B185" s="948" t="s">
        <v>2843</v>
      </c>
      <c r="C185" s="2246" t="s">
        <v>2402</v>
      </c>
    </row>
    <row r="186" spans="1:3" x14ac:dyDescent="0.2">
      <c r="A186" t="s">
        <v>3029</v>
      </c>
      <c r="B186" s="2263"/>
    </row>
    <row r="187" spans="1:3" x14ac:dyDescent="0.2">
      <c r="A187" s="809" t="s">
        <v>2639</v>
      </c>
      <c r="B187" s="948" t="s">
        <v>2843</v>
      </c>
      <c r="C187" s="166">
        <v>1230</v>
      </c>
    </row>
    <row r="188" spans="1:3" x14ac:dyDescent="0.2">
      <c r="A188" t="s">
        <v>3030</v>
      </c>
      <c r="B188" s="2263"/>
    </row>
    <row r="189" spans="1:3" x14ac:dyDescent="0.2">
      <c r="A189" s="809" t="s">
        <v>3031</v>
      </c>
      <c r="B189" s="948" t="s">
        <v>2843</v>
      </c>
      <c r="C189" s="2246" t="s">
        <v>2402</v>
      </c>
    </row>
    <row r="190" spans="1:3" x14ac:dyDescent="0.2">
      <c r="A190" t="s">
        <v>3032</v>
      </c>
      <c r="B190" s="2263"/>
    </row>
    <row r="191" spans="1:3" x14ac:dyDescent="0.2">
      <c r="A191" s="809" t="s">
        <v>3033</v>
      </c>
      <c r="B191" s="948" t="s">
        <v>2843</v>
      </c>
      <c r="C191" s="166">
        <v>1232</v>
      </c>
    </row>
    <row r="192" spans="1:3" x14ac:dyDescent="0.2">
      <c r="A192" s="159" t="s">
        <v>3034</v>
      </c>
      <c r="B192" s="2263"/>
    </row>
    <row r="193" spans="1:3" x14ac:dyDescent="0.2">
      <c r="A193" s="942" t="s">
        <v>3035</v>
      </c>
      <c r="B193" s="948" t="s">
        <v>2843</v>
      </c>
      <c r="C193" s="166">
        <v>1234</v>
      </c>
    </row>
    <row r="194" spans="1:3" x14ac:dyDescent="0.2">
      <c r="A194" s="159" t="s">
        <v>3036</v>
      </c>
      <c r="B194" s="2263" t="s">
        <v>3037</v>
      </c>
    </row>
    <row r="195" spans="1:3" x14ac:dyDescent="0.2">
      <c r="A195" s="809" t="s">
        <v>3038</v>
      </c>
      <c r="B195" s="948" t="s">
        <v>2843</v>
      </c>
      <c r="C195" s="166">
        <v>1233</v>
      </c>
    </row>
    <row r="196" spans="1:3" x14ac:dyDescent="0.2">
      <c r="A196" s="159" t="s">
        <v>3039</v>
      </c>
      <c r="B196" s="2263" t="s">
        <v>3037</v>
      </c>
    </row>
    <row r="197" spans="1:3" x14ac:dyDescent="0.2">
      <c r="A197" s="809" t="s">
        <v>3040</v>
      </c>
      <c r="B197" s="956"/>
    </row>
    <row r="198" spans="1:3" x14ac:dyDescent="0.2">
      <c r="A198" s="809" t="s">
        <v>3041</v>
      </c>
      <c r="B198" s="955"/>
    </row>
    <row r="199" spans="1:3" x14ac:dyDescent="0.2">
      <c r="A199" s="809" t="s">
        <v>3042</v>
      </c>
      <c r="B199" s="948" t="s">
        <v>2843</v>
      </c>
      <c r="C199" s="166">
        <v>1270</v>
      </c>
    </row>
    <row r="200" spans="1:3" x14ac:dyDescent="0.2">
      <c r="A200" t="s">
        <v>3043</v>
      </c>
      <c r="B200" s="2263"/>
    </row>
    <row r="201" spans="1:3" x14ac:dyDescent="0.2">
      <c r="A201" t="s">
        <v>3044</v>
      </c>
      <c r="B201" s="2263" t="s">
        <v>3045</v>
      </c>
    </row>
    <row r="202" spans="1:3" x14ac:dyDescent="0.2">
      <c r="A202" t="s">
        <v>3046</v>
      </c>
      <c r="B202" s="2263" t="s">
        <v>3045</v>
      </c>
    </row>
    <row r="203" spans="1:3" x14ac:dyDescent="0.2">
      <c r="A203" t="s">
        <v>3047</v>
      </c>
      <c r="B203" s="2263" t="s">
        <v>3045</v>
      </c>
    </row>
    <row r="204" spans="1:3" x14ac:dyDescent="0.2">
      <c r="A204" t="s">
        <v>3048</v>
      </c>
      <c r="B204" s="2263" t="s">
        <v>3045</v>
      </c>
    </row>
    <row r="205" spans="1:3" x14ac:dyDescent="0.2">
      <c r="A205" t="s">
        <v>3049</v>
      </c>
      <c r="B205" s="2263" t="s">
        <v>3045</v>
      </c>
    </row>
    <row r="206" spans="1:3" x14ac:dyDescent="0.2">
      <c r="A206" s="809" t="s">
        <v>3050</v>
      </c>
      <c r="B206" s="948" t="s">
        <v>2843</v>
      </c>
      <c r="C206" s="166">
        <v>1280</v>
      </c>
    </row>
    <row r="207" spans="1:3" x14ac:dyDescent="0.2">
      <c r="A207" s="159" t="s">
        <v>3051</v>
      </c>
      <c r="B207" s="2263"/>
    </row>
    <row r="208" spans="1:3" x14ac:dyDescent="0.2">
      <c r="A208" s="159" t="s">
        <v>3052</v>
      </c>
      <c r="B208" s="2263"/>
    </row>
    <row r="209" spans="1:3" x14ac:dyDescent="0.2">
      <c r="A209" s="159" t="s">
        <v>3053</v>
      </c>
      <c r="B209" s="2263"/>
    </row>
    <row r="210" spans="1:3" x14ac:dyDescent="0.2">
      <c r="A210" s="159" t="s">
        <v>3054</v>
      </c>
      <c r="B210" s="2263"/>
    </row>
    <row r="211" spans="1:3" x14ac:dyDescent="0.2">
      <c r="A211" s="2253" t="s">
        <v>3055</v>
      </c>
      <c r="B211" s="2263"/>
    </row>
    <row r="212" spans="1:3" x14ac:dyDescent="0.2">
      <c r="A212" s="941" t="s">
        <v>1528</v>
      </c>
      <c r="B212" s="948" t="s">
        <v>2843</v>
      </c>
      <c r="C212" s="166">
        <v>1300</v>
      </c>
    </row>
    <row r="213" spans="1:3" x14ac:dyDescent="0.2">
      <c r="A213" t="s">
        <v>3056</v>
      </c>
      <c r="B213" s="2263" t="s">
        <v>3045</v>
      </c>
    </row>
    <row r="214" spans="1:3" x14ac:dyDescent="0.2">
      <c r="A214" t="s">
        <v>3057</v>
      </c>
      <c r="B214" s="2263" t="s">
        <v>3045</v>
      </c>
    </row>
    <row r="215" spans="1:3" x14ac:dyDescent="0.2">
      <c r="A215" t="s">
        <v>3058</v>
      </c>
      <c r="B215" s="2263" t="s">
        <v>3045</v>
      </c>
    </row>
    <row r="216" spans="1:3" x14ac:dyDescent="0.2">
      <c r="A216" t="s">
        <v>3059</v>
      </c>
      <c r="B216" s="2263"/>
    </row>
    <row r="217" spans="1:3" x14ac:dyDescent="0.2">
      <c r="A217" t="s">
        <v>3060</v>
      </c>
      <c r="B217" s="2263" t="s">
        <v>3045</v>
      </c>
    </row>
    <row r="218" spans="1:3" x14ac:dyDescent="0.2">
      <c r="A218" t="s">
        <v>3061</v>
      </c>
      <c r="B218" s="2263" t="s">
        <v>3045</v>
      </c>
    </row>
    <row r="219" spans="1:3" x14ac:dyDescent="0.2">
      <c r="A219" t="s">
        <v>3062</v>
      </c>
      <c r="B219" s="2263" t="s">
        <v>3045</v>
      </c>
    </row>
    <row r="220" spans="1:3" x14ac:dyDescent="0.2">
      <c r="A220" t="s">
        <v>3063</v>
      </c>
      <c r="B220" s="2263"/>
    </row>
    <row r="221" spans="1:3" x14ac:dyDescent="0.2">
      <c r="A221" t="s">
        <v>3064</v>
      </c>
      <c r="B221" s="2263" t="s">
        <v>3045</v>
      </c>
    </row>
    <row r="222" spans="1:3" x14ac:dyDescent="0.2">
      <c r="A222" t="s">
        <v>3065</v>
      </c>
      <c r="B222" s="2263" t="s">
        <v>3045</v>
      </c>
    </row>
    <row r="223" spans="1:3" x14ac:dyDescent="0.2">
      <c r="A223" t="s">
        <v>3066</v>
      </c>
      <c r="B223" s="2263" t="s">
        <v>3045</v>
      </c>
    </row>
    <row r="224" spans="1:3" x14ac:dyDescent="0.2">
      <c r="A224" t="s">
        <v>3067</v>
      </c>
      <c r="B224" s="2263" t="s">
        <v>3045</v>
      </c>
    </row>
    <row r="225" spans="1:3" x14ac:dyDescent="0.2">
      <c r="A225" t="s">
        <v>3068</v>
      </c>
      <c r="B225" s="2263" t="s">
        <v>3045</v>
      </c>
    </row>
    <row r="226" spans="1:3" x14ac:dyDescent="0.2">
      <c r="A226" t="s">
        <v>3069</v>
      </c>
      <c r="B226" s="2263" t="s">
        <v>3045</v>
      </c>
    </row>
    <row r="227" spans="1:3" x14ac:dyDescent="0.2">
      <c r="A227" t="s">
        <v>3070</v>
      </c>
      <c r="B227" s="2263" t="s">
        <v>3045</v>
      </c>
    </row>
    <row r="228" spans="1:3" x14ac:dyDescent="0.2">
      <c r="A228" t="s">
        <v>3071</v>
      </c>
      <c r="B228" s="2263" t="s">
        <v>3045</v>
      </c>
    </row>
    <row r="229" spans="1:3" x14ac:dyDescent="0.2">
      <c r="A229" t="s">
        <v>3072</v>
      </c>
      <c r="B229" s="2263" t="s">
        <v>3045</v>
      </c>
    </row>
    <row r="230" spans="1:3" x14ac:dyDescent="0.2">
      <c r="A230" t="s">
        <v>3073</v>
      </c>
      <c r="B230" s="2263" t="s">
        <v>3045</v>
      </c>
    </row>
    <row r="231" spans="1:3" x14ac:dyDescent="0.2">
      <c r="A231" t="s">
        <v>3074</v>
      </c>
      <c r="B231" s="2263"/>
    </row>
    <row r="232" spans="1:3" x14ac:dyDescent="0.2">
      <c r="A232" t="s">
        <v>3075</v>
      </c>
      <c r="B232" s="2263" t="s">
        <v>3045</v>
      </c>
    </row>
    <row r="233" spans="1:3" x14ac:dyDescent="0.2">
      <c r="A233" t="s">
        <v>3076</v>
      </c>
      <c r="B233" s="2263"/>
    </row>
    <row r="234" spans="1:3" x14ac:dyDescent="0.2">
      <c r="A234" t="s">
        <v>3077</v>
      </c>
      <c r="B234" s="2263" t="s">
        <v>3045</v>
      </c>
    </row>
    <row r="235" spans="1:3" x14ac:dyDescent="0.2">
      <c r="A235" t="s">
        <v>3078</v>
      </c>
      <c r="B235" s="2263" t="s">
        <v>3045</v>
      </c>
    </row>
    <row r="236" spans="1:3" x14ac:dyDescent="0.2">
      <c r="A236" t="s">
        <v>3079</v>
      </c>
      <c r="B236" s="2263"/>
    </row>
    <row r="237" spans="1:3" x14ac:dyDescent="0.2">
      <c r="A237" t="s">
        <v>3080</v>
      </c>
      <c r="B237" s="2263"/>
    </row>
    <row r="238" spans="1:3" x14ac:dyDescent="0.2">
      <c r="A238" t="s">
        <v>3081</v>
      </c>
      <c r="B238" s="2263"/>
    </row>
    <row r="239" spans="1:3" x14ac:dyDescent="0.2">
      <c r="A239" s="159" t="s">
        <v>3082</v>
      </c>
      <c r="B239" s="2263" t="s">
        <v>2900</v>
      </c>
    </row>
    <row r="240" spans="1:3" x14ac:dyDescent="0.2">
      <c r="A240" s="809" t="s">
        <v>2276</v>
      </c>
      <c r="B240" s="948" t="s">
        <v>2843</v>
      </c>
      <c r="C240" s="166">
        <v>1310</v>
      </c>
    </row>
    <row r="241" spans="1:3" x14ac:dyDescent="0.2">
      <c r="A241" t="s">
        <v>3083</v>
      </c>
      <c r="B241" s="2263" t="s">
        <v>3084</v>
      </c>
    </row>
    <row r="242" spans="1:3" x14ac:dyDescent="0.2">
      <c r="A242" t="s">
        <v>3085</v>
      </c>
      <c r="B242" s="2263" t="s">
        <v>3084</v>
      </c>
    </row>
    <row r="243" spans="1:3" x14ac:dyDescent="0.2">
      <c r="A243" s="809" t="s">
        <v>1530</v>
      </c>
      <c r="B243" s="948" t="s">
        <v>2843</v>
      </c>
      <c r="C243" s="166">
        <v>1410</v>
      </c>
    </row>
    <row r="244" spans="1:3" ht="25.5" x14ac:dyDescent="0.2">
      <c r="A244" t="s">
        <v>3086</v>
      </c>
      <c r="B244" s="2263" t="s">
        <v>3087</v>
      </c>
    </row>
    <row r="245" spans="1:3" x14ac:dyDescent="0.2">
      <c r="A245" t="s">
        <v>3088</v>
      </c>
      <c r="B245" s="2263" t="s">
        <v>3084</v>
      </c>
    </row>
    <row r="246" spans="1:3" ht="25.5" x14ac:dyDescent="0.2">
      <c r="A246" t="s">
        <v>3089</v>
      </c>
      <c r="B246" s="2263" t="s">
        <v>3087</v>
      </c>
    </row>
    <row r="247" spans="1:3" x14ac:dyDescent="0.2">
      <c r="A247" t="s">
        <v>3090</v>
      </c>
      <c r="B247" s="2263" t="s">
        <v>3084</v>
      </c>
    </row>
    <row r="248" spans="1:3" x14ac:dyDescent="0.2">
      <c r="A248" s="809" t="s">
        <v>3091</v>
      </c>
      <c r="B248" s="948" t="s">
        <v>2843</v>
      </c>
      <c r="C248" s="166">
        <v>1340</v>
      </c>
    </row>
    <row r="249" spans="1:3" x14ac:dyDescent="0.2">
      <c r="A249" t="s">
        <v>3092</v>
      </c>
      <c r="B249" s="2263"/>
    </row>
    <row r="250" spans="1:3" x14ac:dyDescent="0.2">
      <c r="A250" t="s">
        <v>3093</v>
      </c>
      <c r="B250" s="2263"/>
    </row>
    <row r="251" spans="1:3" x14ac:dyDescent="0.2">
      <c r="A251" t="s">
        <v>3094</v>
      </c>
      <c r="B251" s="2263"/>
    </row>
    <row r="252" spans="1:3" x14ac:dyDescent="0.2">
      <c r="A252" t="s">
        <v>3095</v>
      </c>
      <c r="B252" s="2263"/>
    </row>
    <row r="253" spans="1:3" x14ac:dyDescent="0.2">
      <c r="A253" t="s">
        <v>3096</v>
      </c>
      <c r="B253" s="2263"/>
    </row>
    <row r="254" spans="1:3" x14ac:dyDescent="0.2">
      <c r="A254" t="s">
        <v>3097</v>
      </c>
      <c r="B254" s="2263"/>
    </row>
    <row r="255" spans="1:3" x14ac:dyDescent="0.2">
      <c r="A255" s="809" t="s">
        <v>2632</v>
      </c>
      <c r="B255" s="948" t="s">
        <v>2843</v>
      </c>
      <c r="C255" s="166">
        <v>1350</v>
      </c>
    </row>
    <row r="256" spans="1:3" x14ac:dyDescent="0.2">
      <c r="A256" t="s">
        <v>3098</v>
      </c>
      <c r="B256" s="2263"/>
    </row>
    <row r="257" spans="1:3" x14ac:dyDescent="0.2">
      <c r="A257" t="s">
        <v>3099</v>
      </c>
      <c r="B257" s="2263"/>
    </row>
    <row r="258" spans="1:3" x14ac:dyDescent="0.2">
      <c r="A258" s="809" t="s">
        <v>3100</v>
      </c>
      <c r="B258" s="948" t="s">
        <v>2843</v>
      </c>
      <c r="C258" s="2246" t="s">
        <v>2402</v>
      </c>
    </row>
    <row r="259" spans="1:3" x14ac:dyDescent="0.2">
      <c r="A259" t="s">
        <v>3101</v>
      </c>
      <c r="B259" s="2263"/>
    </row>
    <row r="260" spans="1:3" x14ac:dyDescent="0.2">
      <c r="A260" t="s">
        <v>3102</v>
      </c>
      <c r="B260" s="2263"/>
    </row>
    <row r="261" spans="1:3" x14ac:dyDescent="0.2">
      <c r="A261" s="809" t="s">
        <v>3103</v>
      </c>
      <c r="B261" s="948" t="s">
        <v>2843</v>
      </c>
      <c r="C261" s="166">
        <v>1370</v>
      </c>
    </row>
    <row r="262" spans="1:3" x14ac:dyDescent="0.2">
      <c r="A262" t="s">
        <v>3104</v>
      </c>
      <c r="B262" s="2263"/>
    </row>
    <row r="263" spans="1:3" x14ac:dyDescent="0.2">
      <c r="A263" t="s">
        <v>3105</v>
      </c>
      <c r="B263" s="2263"/>
    </row>
    <row r="264" spans="1:3" x14ac:dyDescent="0.2">
      <c r="A264" t="s">
        <v>3106</v>
      </c>
      <c r="B264" s="2263"/>
    </row>
    <row r="265" spans="1:3" x14ac:dyDescent="0.2">
      <c r="A265" t="s">
        <v>3107</v>
      </c>
      <c r="B265" s="2263"/>
    </row>
    <row r="266" spans="1:3" x14ac:dyDescent="0.2">
      <c r="A266" s="809" t="s">
        <v>3108</v>
      </c>
      <c r="B266" s="948" t="s">
        <v>2843</v>
      </c>
      <c r="C266" s="166">
        <v>1390</v>
      </c>
    </row>
    <row r="267" spans="1:3" x14ac:dyDescent="0.2">
      <c r="A267" t="s">
        <v>3109</v>
      </c>
      <c r="B267" s="2263"/>
    </row>
    <row r="268" spans="1:3" x14ac:dyDescent="0.2">
      <c r="A268" s="809" t="s">
        <v>3110</v>
      </c>
      <c r="B268" s="948" t="s">
        <v>2843</v>
      </c>
      <c r="C268" s="166">
        <v>1395</v>
      </c>
    </row>
    <row r="269" spans="1:3" x14ac:dyDescent="0.2">
      <c r="A269" s="159" t="s">
        <v>3111</v>
      </c>
      <c r="B269" s="2263" t="s">
        <v>2921</v>
      </c>
    </row>
    <row r="270" spans="1:3" x14ac:dyDescent="0.2">
      <c r="A270" s="942" t="s">
        <v>3035</v>
      </c>
      <c r="B270" s="948" t="s">
        <v>2843</v>
      </c>
      <c r="C270" s="166">
        <v>1434</v>
      </c>
    </row>
    <row r="271" spans="1:3" x14ac:dyDescent="0.2">
      <c r="A271" s="159" t="s">
        <v>3112</v>
      </c>
      <c r="B271" s="2263" t="s">
        <v>3037</v>
      </c>
    </row>
    <row r="272" spans="1:3" x14ac:dyDescent="0.2">
      <c r="A272" s="809" t="s">
        <v>2640</v>
      </c>
      <c r="B272" s="948" t="s">
        <v>2843</v>
      </c>
      <c r="C272" s="166">
        <v>1400</v>
      </c>
    </row>
    <row r="273" spans="1:3" x14ac:dyDescent="0.2">
      <c r="A273" t="s">
        <v>3113</v>
      </c>
      <c r="B273" s="2263"/>
    </row>
    <row r="274" spans="1:3" x14ac:dyDescent="0.2">
      <c r="A274" t="s">
        <v>3114</v>
      </c>
      <c r="B274" s="2263"/>
    </row>
    <row r="275" spans="1:3" x14ac:dyDescent="0.2">
      <c r="A275" t="s">
        <v>3115</v>
      </c>
      <c r="B275" s="2263"/>
    </row>
    <row r="276" spans="1:3" x14ac:dyDescent="0.2">
      <c r="A276" t="s">
        <v>3116</v>
      </c>
      <c r="B276" s="2263"/>
    </row>
    <row r="277" spans="1:3" x14ac:dyDescent="0.2">
      <c r="A277" t="s">
        <v>3117</v>
      </c>
      <c r="B277" s="2263"/>
    </row>
    <row r="278" spans="1:3" x14ac:dyDescent="0.2">
      <c r="A278" t="s">
        <v>3118</v>
      </c>
      <c r="B278" s="2263"/>
    </row>
    <row r="279" spans="1:3" x14ac:dyDescent="0.2">
      <c r="A279" s="809" t="s">
        <v>3000</v>
      </c>
      <c r="B279" s="2263"/>
    </row>
    <row r="280" spans="1:3" x14ac:dyDescent="0.2">
      <c r="A280" s="159" t="s">
        <v>3119</v>
      </c>
      <c r="B280" s="2263" t="s">
        <v>3002</v>
      </c>
    </row>
    <row r="281" spans="1:3" x14ac:dyDescent="0.2">
      <c r="A281" s="2071" t="s">
        <v>3003</v>
      </c>
      <c r="B281" s="2263"/>
      <c r="C281" s="166">
        <v>1404</v>
      </c>
    </row>
    <row r="282" spans="1:3" x14ac:dyDescent="0.2">
      <c r="A282" s="2010" t="s">
        <v>3120</v>
      </c>
      <c r="B282" s="2070" t="s">
        <v>3005</v>
      </c>
    </row>
    <row r="283" spans="1:3" x14ac:dyDescent="0.2">
      <c r="A283" s="809" t="s">
        <v>3121</v>
      </c>
      <c r="B283" s="948" t="s">
        <v>2843</v>
      </c>
      <c r="C283" s="166">
        <v>1415</v>
      </c>
    </row>
    <row r="284" spans="1:3" x14ac:dyDescent="0.2">
      <c r="A284" t="s">
        <v>3122</v>
      </c>
      <c r="B284" s="2263" t="s">
        <v>2991</v>
      </c>
    </row>
    <row r="285" spans="1:3" x14ac:dyDescent="0.2">
      <c r="A285" s="809" t="s">
        <v>3123</v>
      </c>
      <c r="B285" s="948" t="s">
        <v>3124</v>
      </c>
      <c r="C285" s="166">
        <v>1420</v>
      </c>
    </row>
    <row r="286" spans="1:3" x14ac:dyDescent="0.2">
      <c r="A286" t="s">
        <v>3125</v>
      </c>
      <c r="B286" s="2263"/>
    </row>
    <row r="287" spans="1:3" x14ac:dyDescent="0.2">
      <c r="A287" s="159" t="s">
        <v>3126</v>
      </c>
      <c r="B287" s="2263" t="s">
        <v>3127</v>
      </c>
    </row>
    <row r="288" spans="1:3" x14ac:dyDescent="0.2">
      <c r="A288" s="809" t="s">
        <v>1609</v>
      </c>
      <c r="B288" s="948" t="s">
        <v>2843</v>
      </c>
      <c r="C288" s="2246" t="s">
        <v>2402</v>
      </c>
    </row>
    <row r="289" spans="1:3" x14ac:dyDescent="0.2">
      <c r="A289" t="s">
        <v>3128</v>
      </c>
      <c r="B289" s="2263"/>
    </row>
    <row r="290" spans="1:3" x14ac:dyDescent="0.2">
      <c r="A290" t="s">
        <v>3129</v>
      </c>
      <c r="B290" s="2263"/>
    </row>
    <row r="291" spans="1:3" x14ac:dyDescent="0.2">
      <c r="A291" t="s">
        <v>3130</v>
      </c>
      <c r="B291" s="2263"/>
    </row>
    <row r="292" spans="1:3" x14ac:dyDescent="0.2">
      <c r="A292" t="s">
        <v>3131</v>
      </c>
      <c r="B292" s="2263"/>
    </row>
    <row r="293" spans="1:3" x14ac:dyDescent="0.2">
      <c r="A293" t="s">
        <v>3132</v>
      </c>
      <c r="B293" s="2263"/>
    </row>
    <row r="294" spans="1:3" x14ac:dyDescent="0.2">
      <c r="A294" t="s">
        <v>3133</v>
      </c>
      <c r="B294" s="2263"/>
    </row>
    <row r="295" spans="1:3" x14ac:dyDescent="0.2">
      <c r="A295" t="s">
        <v>3134</v>
      </c>
      <c r="B295" s="2263"/>
    </row>
    <row r="296" spans="1:3" x14ac:dyDescent="0.2">
      <c r="A296" s="809" t="s">
        <v>1611</v>
      </c>
      <c r="B296" s="948" t="s">
        <v>2843</v>
      </c>
      <c r="C296" s="2246" t="s">
        <v>2402</v>
      </c>
    </row>
    <row r="297" spans="1:3" x14ac:dyDescent="0.2">
      <c r="A297" t="s">
        <v>3135</v>
      </c>
      <c r="B297" s="2263"/>
    </row>
    <row r="298" spans="1:3" x14ac:dyDescent="0.2">
      <c r="A298" s="942" t="s">
        <v>3033</v>
      </c>
      <c r="B298" s="948" t="s">
        <v>2843</v>
      </c>
      <c r="C298" s="166">
        <v>1432</v>
      </c>
    </row>
    <row r="299" spans="1:3" x14ac:dyDescent="0.2">
      <c r="A299" s="159" t="s">
        <v>3136</v>
      </c>
      <c r="B299" s="2263" t="s">
        <v>3137</v>
      </c>
    </row>
    <row r="300" spans="1:3" x14ac:dyDescent="0.2">
      <c r="A300" s="159"/>
      <c r="B300" s="2263"/>
    </row>
    <row r="301" spans="1:3" x14ac:dyDescent="0.2">
      <c r="A301" s="159"/>
      <c r="B301" s="2263"/>
    </row>
    <row r="302" spans="1:3" x14ac:dyDescent="0.2">
      <c r="A302" s="942" t="s">
        <v>3038</v>
      </c>
      <c r="B302" s="948" t="s">
        <v>2843</v>
      </c>
      <c r="C302" s="166">
        <v>1433</v>
      </c>
    </row>
    <row r="303" spans="1:3" x14ac:dyDescent="0.2">
      <c r="A303" s="159" t="s">
        <v>3138</v>
      </c>
      <c r="B303" s="2263" t="s">
        <v>3139</v>
      </c>
    </row>
    <row r="304" spans="1:3" x14ac:dyDescent="0.2">
      <c r="A304" s="809" t="s">
        <v>3140</v>
      </c>
      <c r="B304" s="956"/>
    </row>
    <row r="305" spans="1:3" x14ac:dyDescent="0.2">
      <c r="A305" s="809" t="s">
        <v>3141</v>
      </c>
      <c r="B305" s="956"/>
    </row>
    <row r="306" spans="1:3" x14ac:dyDescent="0.2">
      <c r="A306" s="809" t="s">
        <v>601</v>
      </c>
      <c r="B306" s="2263"/>
    </row>
    <row r="307" spans="1:3" x14ac:dyDescent="0.2">
      <c r="A307" s="809" t="s">
        <v>3142</v>
      </c>
      <c r="B307" s="950" t="s">
        <v>2843</v>
      </c>
      <c r="C307" s="166">
        <v>1480</v>
      </c>
    </row>
    <row r="308" spans="1:3" x14ac:dyDescent="0.2">
      <c r="A308" t="s">
        <v>3143</v>
      </c>
      <c r="B308" s="2263"/>
    </row>
    <row r="309" spans="1:3" x14ac:dyDescent="0.2">
      <c r="A309" t="s">
        <v>3144</v>
      </c>
      <c r="B309" s="2263"/>
    </row>
    <row r="310" spans="1:3" x14ac:dyDescent="0.2">
      <c r="A310" s="809" t="s">
        <v>3145</v>
      </c>
      <c r="B310" s="950" t="s">
        <v>2843</v>
      </c>
      <c r="C310" s="166">
        <v>1490</v>
      </c>
    </row>
    <row r="311" spans="1:3" x14ac:dyDescent="0.2">
      <c r="A311" t="s">
        <v>3146</v>
      </c>
      <c r="B311" s="2263"/>
    </row>
    <row r="312" spans="1:3" x14ac:dyDescent="0.2">
      <c r="A312" s="809" t="s">
        <v>3147</v>
      </c>
      <c r="B312" s="950" t="s">
        <v>2843</v>
      </c>
      <c r="C312" s="166">
        <v>1500</v>
      </c>
    </row>
    <row r="313" spans="1:3" x14ac:dyDescent="0.2">
      <c r="A313" t="s">
        <v>3148</v>
      </c>
      <c r="B313" s="2263"/>
    </row>
    <row r="314" spans="1:3" x14ac:dyDescent="0.2">
      <c r="A314" s="809" t="s">
        <v>3149</v>
      </c>
      <c r="B314" s="950" t="s">
        <v>2843</v>
      </c>
      <c r="C314" s="166">
        <v>1503</v>
      </c>
    </row>
    <row r="315" spans="1:3" x14ac:dyDescent="0.2">
      <c r="A315" s="159" t="s">
        <v>3150</v>
      </c>
      <c r="B315" s="2263" t="s">
        <v>3137</v>
      </c>
    </row>
    <row r="316" spans="1:3" x14ac:dyDescent="0.2">
      <c r="A316" s="809" t="s">
        <v>3151</v>
      </c>
      <c r="B316" s="950" t="s">
        <v>2843</v>
      </c>
      <c r="C316" s="166">
        <v>1505</v>
      </c>
    </row>
    <row r="317" spans="1:3" x14ac:dyDescent="0.2">
      <c r="A317" s="159" t="s">
        <v>3152</v>
      </c>
      <c r="B317" s="2263" t="s">
        <v>3137</v>
      </c>
    </row>
    <row r="318" spans="1:3" x14ac:dyDescent="0.2">
      <c r="A318" s="809" t="s">
        <v>3153</v>
      </c>
      <c r="B318" s="950" t="s">
        <v>2843</v>
      </c>
      <c r="C318" s="166">
        <v>1506</v>
      </c>
    </row>
    <row r="319" spans="1:3" x14ac:dyDescent="0.2">
      <c r="A319" s="159" t="s">
        <v>3154</v>
      </c>
      <c r="B319" s="2263"/>
    </row>
    <row r="320" spans="1:3" x14ac:dyDescent="0.2">
      <c r="A320" s="809" t="s">
        <v>3155</v>
      </c>
      <c r="B320" s="2263"/>
    </row>
    <row r="321" spans="1:3" x14ac:dyDescent="0.2">
      <c r="A321" s="809" t="s">
        <v>3156</v>
      </c>
      <c r="B321" s="948" t="s">
        <v>2843</v>
      </c>
      <c r="C321" s="166">
        <v>1520</v>
      </c>
    </row>
    <row r="322" spans="1:3" x14ac:dyDescent="0.2">
      <c r="A322" t="s">
        <v>3157</v>
      </c>
      <c r="B322" s="2263"/>
    </row>
    <row r="323" spans="1:3" x14ac:dyDescent="0.2">
      <c r="A323" s="159" t="s">
        <v>3158</v>
      </c>
      <c r="B323" s="2263" t="s">
        <v>3159</v>
      </c>
    </row>
    <row r="324" spans="1:3" x14ac:dyDescent="0.2">
      <c r="A324" s="809" t="s">
        <v>3160</v>
      </c>
      <c r="B324" s="948" t="s">
        <v>2843</v>
      </c>
      <c r="C324" s="166">
        <v>1530</v>
      </c>
    </row>
    <row r="325" spans="1:3" x14ac:dyDescent="0.2">
      <c r="A325" t="s">
        <v>3161</v>
      </c>
      <c r="B325" s="2263"/>
    </row>
    <row r="326" spans="1:3" x14ac:dyDescent="0.2">
      <c r="A326" t="s">
        <v>3162</v>
      </c>
      <c r="B326" s="2263"/>
    </row>
    <row r="327" spans="1:3" x14ac:dyDescent="0.2">
      <c r="A327" t="s">
        <v>3163</v>
      </c>
      <c r="B327" s="2263"/>
    </row>
    <row r="328" spans="1:3" x14ac:dyDescent="0.2">
      <c r="A328" t="s">
        <v>3164</v>
      </c>
      <c r="B328" s="2263"/>
    </row>
    <row r="329" spans="1:3" x14ac:dyDescent="0.2">
      <c r="A329" s="809" t="s">
        <v>3165</v>
      </c>
      <c r="B329" s="948" t="s">
        <v>2843</v>
      </c>
      <c r="C329" s="166">
        <v>1540</v>
      </c>
    </row>
    <row r="330" spans="1:3" x14ac:dyDescent="0.2">
      <c r="A330" t="s">
        <v>3166</v>
      </c>
      <c r="B330" s="2263"/>
    </row>
    <row r="331" spans="1:3" x14ac:dyDescent="0.2">
      <c r="A331" s="809" t="s">
        <v>3167</v>
      </c>
      <c r="B331" s="948" t="s">
        <v>2843</v>
      </c>
      <c r="C331" s="166">
        <v>1550</v>
      </c>
    </row>
    <row r="332" spans="1:3" x14ac:dyDescent="0.2">
      <c r="A332" t="s">
        <v>3168</v>
      </c>
      <c r="B332" s="2263"/>
    </row>
    <row r="333" spans="1:3" x14ac:dyDescent="0.2">
      <c r="A333" t="s">
        <v>3169</v>
      </c>
      <c r="B333" s="2263"/>
    </row>
    <row r="334" spans="1:3" x14ac:dyDescent="0.2">
      <c r="A334" t="s">
        <v>3170</v>
      </c>
      <c r="B334" s="2263"/>
    </row>
    <row r="335" spans="1:3" x14ac:dyDescent="0.2">
      <c r="A335" t="s">
        <v>3171</v>
      </c>
      <c r="B335" s="2263"/>
    </row>
    <row r="336" spans="1:3" x14ac:dyDescent="0.2">
      <c r="A336" t="s">
        <v>3172</v>
      </c>
      <c r="B336" s="2263"/>
    </row>
    <row r="337" spans="1:3" x14ac:dyDescent="0.2">
      <c r="A337" t="s">
        <v>3173</v>
      </c>
      <c r="B337" s="2263"/>
    </row>
    <row r="338" spans="1:3" x14ac:dyDescent="0.2">
      <c r="A338" t="s">
        <v>3174</v>
      </c>
      <c r="B338" s="2263"/>
    </row>
    <row r="339" spans="1:3" x14ac:dyDescent="0.2">
      <c r="A339" t="s">
        <v>3175</v>
      </c>
      <c r="B339" s="2263"/>
    </row>
    <row r="340" spans="1:3" x14ac:dyDescent="0.2">
      <c r="A340" t="s">
        <v>3176</v>
      </c>
      <c r="B340" s="2263"/>
    </row>
    <row r="341" spans="1:3" x14ac:dyDescent="0.2">
      <c r="A341" t="s">
        <v>3177</v>
      </c>
      <c r="B341" s="2263"/>
    </row>
    <row r="342" spans="1:3" x14ac:dyDescent="0.2">
      <c r="A342" t="s">
        <v>3178</v>
      </c>
      <c r="B342" s="2263"/>
    </row>
    <row r="343" spans="1:3" x14ac:dyDescent="0.2">
      <c r="A343" s="809" t="s">
        <v>3179</v>
      </c>
      <c r="B343" s="948" t="s">
        <v>2843</v>
      </c>
      <c r="C343" s="2246" t="s">
        <v>2402</v>
      </c>
    </row>
    <row r="344" spans="1:3" x14ac:dyDescent="0.2">
      <c r="A344" t="s">
        <v>3180</v>
      </c>
      <c r="B344" s="2263"/>
    </row>
    <row r="345" spans="1:3" x14ac:dyDescent="0.2">
      <c r="A345" s="809" t="s">
        <v>3181</v>
      </c>
      <c r="B345" s="948" t="s">
        <v>2843</v>
      </c>
      <c r="C345" s="166">
        <v>1553</v>
      </c>
    </row>
    <row r="346" spans="1:3" x14ac:dyDescent="0.2">
      <c r="A346" t="s">
        <v>3182</v>
      </c>
      <c r="B346" s="2263"/>
    </row>
    <row r="347" spans="1:3" x14ac:dyDescent="0.2">
      <c r="A347" s="809" t="s">
        <v>3183</v>
      </c>
      <c r="B347" s="948" t="s">
        <v>2843</v>
      </c>
      <c r="C347" s="166">
        <v>1555</v>
      </c>
    </row>
    <row r="348" spans="1:3" x14ac:dyDescent="0.2">
      <c r="A348" t="s">
        <v>3184</v>
      </c>
      <c r="B348" s="2263"/>
    </row>
    <row r="349" spans="1:3" x14ac:dyDescent="0.2">
      <c r="A349" s="809" t="s">
        <v>3185</v>
      </c>
      <c r="B349" s="948" t="s">
        <v>2843</v>
      </c>
      <c r="C349" s="166">
        <v>1560</v>
      </c>
    </row>
    <row r="350" spans="1:3" x14ac:dyDescent="0.2">
      <c r="A350" t="s">
        <v>3186</v>
      </c>
      <c r="B350" s="2263"/>
    </row>
    <row r="351" spans="1:3" x14ac:dyDescent="0.2">
      <c r="A351" s="809" t="s">
        <v>3187</v>
      </c>
      <c r="B351" s="1651"/>
    </row>
    <row r="352" spans="1:3" x14ac:dyDescent="0.2">
      <c r="A352" s="159" t="s">
        <v>3188</v>
      </c>
      <c r="B352" s="1651"/>
    </row>
    <row r="353" spans="1:3" x14ac:dyDescent="0.2">
      <c r="A353" s="809" t="s">
        <v>3189</v>
      </c>
      <c r="B353" s="1651"/>
    </row>
    <row r="354" spans="1:3" x14ac:dyDescent="0.2">
      <c r="A354" s="159" t="s">
        <v>3190</v>
      </c>
      <c r="B354" s="1651"/>
    </row>
    <row r="355" spans="1:3" x14ac:dyDescent="0.2">
      <c r="A355" s="809" t="s">
        <v>3191</v>
      </c>
      <c r="B355" s="1651"/>
    </row>
    <row r="356" spans="1:3" x14ac:dyDescent="0.2">
      <c r="A356" s="159" t="s">
        <v>3192</v>
      </c>
      <c r="B356" s="1651"/>
    </row>
    <row r="357" spans="1:3" x14ac:dyDescent="0.2">
      <c r="A357" s="809" t="s">
        <v>3193</v>
      </c>
      <c r="B357" s="1651"/>
    </row>
    <row r="358" spans="1:3" x14ac:dyDescent="0.2">
      <c r="A358" s="159" t="s">
        <v>3194</v>
      </c>
      <c r="B358" s="1651"/>
    </row>
    <row r="359" spans="1:3" x14ac:dyDescent="0.2">
      <c r="A359" s="2071" t="s">
        <v>3195</v>
      </c>
      <c r="B359" s="2073" t="s">
        <v>2843</v>
      </c>
      <c r="C359" s="166">
        <v>1556</v>
      </c>
    </row>
    <row r="360" spans="1:3" x14ac:dyDescent="0.2">
      <c r="A360" s="2010" t="s">
        <v>3196</v>
      </c>
      <c r="B360" s="2070" t="s">
        <v>3197</v>
      </c>
    </row>
    <row r="361" spans="1:3" x14ac:dyDescent="0.2">
      <c r="A361" s="2010" t="s">
        <v>3198</v>
      </c>
      <c r="B361" s="2070" t="s">
        <v>3197</v>
      </c>
    </row>
    <row r="362" spans="1:3" x14ac:dyDescent="0.2">
      <c r="A362" s="809" t="s">
        <v>3199</v>
      </c>
      <c r="B362" s="948" t="s">
        <v>3200</v>
      </c>
      <c r="C362" s="166">
        <v>1570</v>
      </c>
    </row>
    <row r="363" spans="1:3" x14ac:dyDescent="0.2">
      <c r="A363" t="s">
        <v>3201</v>
      </c>
      <c r="B363" s="2263"/>
    </row>
    <row r="364" spans="1:3" x14ac:dyDescent="0.2">
      <c r="A364" t="s">
        <v>3202</v>
      </c>
      <c r="B364" s="2263"/>
    </row>
    <row r="365" spans="1:3" x14ac:dyDescent="0.2">
      <c r="A365" s="159" t="s">
        <v>3203</v>
      </c>
      <c r="B365" s="2263" t="s">
        <v>3159</v>
      </c>
    </row>
    <row r="366" spans="1:3" x14ac:dyDescent="0.2">
      <c r="A366" t="s">
        <v>3204</v>
      </c>
      <c r="B366" s="2263"/>
    </row>
    <row r="367" spans="1:3" x14ac:dyDescent="0.2">
      <c r="A367" t="s">
        <v>3205</v>
      </c>
      <c r="B367" s="2263"/>
    </row>
    <row r="368" spans="1:3" x14ac:dyDescent="0.2">
      <c r="A368" t="s">
        <v>3206</v>
      </c>
      <c r="B368" s="2263"/>
    </row>
    <row r="369" spans="1:2" x14ac:dyDescent="0.2">
      <c r="A369" t="s">
        <v>3207</v>
      </c>
      <c r="B369" s="2263"/>
    </row>
    <row r="370" spans="1:2" x14ac:dyDescent="0.2">
      <c r="A370" t="s">
        <v>3208</v>
      </c>
      <c r="B370" s="2263"/>
    </row>
    <row r="371" spans="1:2" x14ac:dyDescent="0.2">
      <c r="A371" t="s">
        <v>3209</v>
      </c>
      <c r="B371" s="2263"/>
    </row>
    <row r="372" spans="1:2" x14ac:dyDescent="0.2">
      <c r="A372" t="s">
        <v>3210</v>
      </c>
      <c r="B372" s="2263"/>
    </row>
    <row r="373" spans="1:2" x14ac:dyDescent="0.2">
      <c r="A373" t="s">
        <v>3211</v>
      </c>
      <c r="B373" s="2263"/>
    </row>
    <row r="374" spans="1:2" x14ac:dyDescent="0.2">
      <c r="A374" s="159" t="s">
        <v>3212</v>
      </c>
      <c r="B374" s="2263"/>
    </row>
    <row r="375" spans="1:2" x14ac:dyDescent="0.2">
      <c r="A375" s="159" t="s">
        <v>3213</v>
      </c>
      <c r="B375" s="2263"/>
    </row>
    <row r="376" spans="1:2" x14ac:dyDescent="0.2">
      <c r="A376" s="159" t="s">
        <v>3214</v>
      </c>
      <c r="B376" s="2263"/>
    </row>
    <row r="377" spans="1:2" x14ac:dyDescent="0.2">
      <c r="A377" s="159" t="s">
        <v>3215</v>
      </c>
      <c r="B377" s="2263"/>
    </row>
    <row r="378" spans="1:2" x14ac:dyDescent="0.2">
      <c r="A378" s="159" t="s">
        <v>3216</v>
      </c>
      <c r="B378" s="2263"/>
    </row>
    <row r="379" spans="1:2" x14ac:dyDescent="0.2">
      <c r="A379" t="s">
        <v>3217</v>
      </c>
      <c r="B379" s="2263"/>
    </row>
    <row r="380" spans="1:2" x14ac:dyDescent="0.2">
      <c r="A380" s="159" t="s">
        <v>3218</v>
      </c>
      <c r="B380" s="2263"/>
    </row>
    <row r="381" spans="1:2" x14ac:dyDescent="0.2">
      <c r="A381" t="s">
        <v>3219</v>
      </c>
      <c r="B381" s="2263"/>
    </row>
    <row r="382" spans="1:2" x14ac:dyDescent="0.2">
      <c r="A382" s="159" t="s">
        <v>3220</v>
      </c>
      <c r="B382" s="2263"/>
    </row>
    <row r="383" spans="1:2" x14ac:dyDescent="0.2">
      <c r="A383" s="159" t="s">
        <v>3221</v>
      </c>
      <c r="B383" s="2263"/>
    </row>
    <row r="384" spans="1:2" x14ac:dyDescent="0.2">
      <c r="A384" s="159" t="s">
        <v>3222</v>
      </c>
      <c r="B384" s="2263"/>
    </row>
    <row r="385" spans="1:3" x14ac:dyDescent="0.2">
      <c r="A385" s="159" t="s">
        <v>3223</v>
      </c>
      <c r="B385" s="2263" t="s">
        <v>3224</v>
      </c>
    </row>
    <row r="386" spans="1:3" x14ac:dyDescent="0.2">
      <c r="A386" s="159" t="s">
        <v>3225</v>
      </c>
      <c r="B386" s="2263" t="s">
        <v>3224</v>
      </c>
    </row>
    <row r="387" spans="1:3" x14ac:dyDescent="0.2">
      <c r="A387" s="159" t="s">
        <v>3226</v>
      </c>
      <c r="B387" s="2263" t="s">
        <v>3224</v>
      </c>
    </row>
    <row r="388" spans="1:3" x14ac:dyDescent="0.2">
      <c r="A388" s="159" t="s">
        <v>3227</v>
      </c>
      <c r="B388" s="2263" t="s">
        <v>3224</v>
      </c>
    </row>
    <row r="389" spans="1:3" x14ac:dyDescent="0.2">
      <c r="A389" s="2010" t="s">
        <v>3228</v>
      </c>
      <c r="B389" s="2070" t="s">
        <v>3197</v>
      </c>
    </row>
    <row r="390" spans="1:3" x14ac:dyDescent="0.2">
      <c r="A390" s="2010" t="s">
        <v>3229</v>
      </c>
      <c r="B390" s="2070" t="s">
        <v>3197</v>
      </c>
    </row>
    <row r="391" spans="1:3" x14ac:dyDescent="0.2">
      <c r="A391" s="809" t="s">
        <v>631</v>
      </c>
      <c r="B391" s="956"/>
    </row>
    <row r="392" spans="1:3" x14ac:dyDescent="0.2">
      <c r="A392" s="809" t="s">
        <v>3230</v>
      </c>
      <c r="B392" s="2263"/>
    </row>
    <row r="393" spans="1:3" x14ac:dyDescent="0.2">
      <c r="A393" s="942"/>
      <c r="B393" s="2263"/>
    </row>
    <row r="394" spans="1:3" ht="25.5" x14ac:dyDescent="0.2">
      <c r="A394" s="943" t="s">
        <v>3231</v>
      </c>
      <c r="B394" s="2263" t="s">
        <v>3232</v>
      </c>
    </row>
    <row r="395" spans="1:3" x14ac:dyDescent="0.2">
      <c r="A395" s="1973" t="s">
        <v>3233</v>
      </c>
      <c r="B395" s="948" t="s">
        <v>2843</v>
      </c>
      <c r="C395" s="166">
        <v>1234</v>
      </c>
    </row>
    <row r="396" spans="1:3" x14ac:dyDescent="0.2">
      <c r="A396" s="2248" t="s">
        <v>3234</v>
      </c>
      <c r="B396" s="2263" t="s">
        <v>3235</v>
      </c>
    </row>
    <row r="397" spans="1:3" x14ac:dyDescent="0.2">
      <c r="A397" s="942" t="s">
        <v>3236</v>
      </c>
      <c r="B397" s="948" t="s">
        <v>3237</v>
      </c>
      <c r="C397" s="166">
        <v>1236</v>
      </c>
    </row>
    <row r="398" spans="1:3" x14ac:dyDescent="0.2">
      <c r="A398" s="2248" t="s">
        <v>3238</v>
      </c>
      <c r="B398" s="2263" t="s">
        <v>3239</v>
      </c>
    </row>
    <row r="399" spans="1:3" x14ac:dyDescent="0.2">
      <c r="A399" s="942" t="s">
        <v>3240</v>
      </c>
      <c r="B399" s="948" t="s">
        <v>3237</v>
      </c>
      <c r="C399" s="2246" t="s">
        <v>2402</v>
      </c>
    </row>
    <row r="400" spans="1:3" x14ac:dyDescent="0.2">
      <c r="A400" s="2248" t="s">
        <v>3241</v>
      </c>
      <c r="B400" s="2263" t="s">
        <v>3239</v>
      </c>
    </row>
    <row r="401" spans="1:3" x14ac:dyDescent="0.2">
      <c r="A401" s="942" t="s">
        <v>3242</v>
      </c>
      <c r="B401" s="948" t="s">
        <v>3243</v>
      </c>
      <c r="C401" s="166">
        <v>1238</v>
      </c>
    </row>
    <row r="402" spans="1:3" x14ac:dyDescent="0.2">
      <c r="A402" s="2248" t="s">
        <v>3244</v>
      </c>
      <c r="B402" s="2263" t="s">
        <v>2950</v>
      </c>
    </row>
    <row r="403" spans="1:3" x14ac:dyDescent="0.2">
      <c r="A403" s="942" t="s">
        <v>3245</v>
      </c>
      <c r="B403" s="948" t="s">
        <v>3246</v>
      </c>
      <c r="C403" s="166">
        <v>1242</v>
      </c>
    </row>
    <row r="404" spans="1:3" x14ac:dyDescent="0.2">
      <c r="A404" s="2248" t="s">
        <v>3247</v>
      </c>
      <c r="B404" s="2263" t="s">
        <v>3248</v>
      </c>
    </row>
    <row r="405" spans="1:3" x14ac:dyDescent="0.2">
      <c r="A405" s="942" t="s">
        <v>3249</v>
      </c>
      <c r="B405" s="948" t="s">
        <v>3243</v>
      </c>
      <c r="C405" s="166">
        <v>1237</v>
      </c>
    </row>
    <row r="406" spans="1:3" x14ac:dyDescent="0.2">
      <c r="A406" s="2248" t="s">
        <v>3250</v>
      </c>
      <c r="B406" s="2263" t="s">
        <v>2950</v>
      </c>
    </row>
    <row r="407" spans="1:3" x14ac:dyDescent="0.2">
      <c r="A407" s="942" t="s">
        <v>3251</v>
      </c>
      <c r="B407" s="948" t="s">
        <v>3252</v>
      </c>
      <c r="C407" s="166">
        <v>1241</v>
      </c>
    </row>
    <row r="408" spans="1:3" x14ac:dyDescent="0.2">
      <c r="A408" s="2248" t="s">
        <v>3253</v>
      </c>
      <c r="B408" s="2263" t="s">
        <v>3254</v>
      </c>
    </row>
    <row r="409" spans="1:3" x14ac:dyDescent="0.2">
      <c r="A409" s="942" t="s">
        <v>3255</v>
      </c>
      <c r="B409" s="948" t="s">
        <v>3237</v>
      </c>
      <c r="C409" s="166">
        <v>1239</v>
      </c>
    </row>
    <row r="410" spans="1:3" x14ac:dyDescent="0.2">
      <c r="A410" s="2248" t="s">
        <v>3256</v>
      </c>
      <c r="B410" s="2263" t="s">
        <v>3239</v>
      </c>
    </row>
    <row r="411" spans="1:3" x14ac:dyDescent="0.2">
      <c r="A411" s="809" t="s">
        <v>3257</v>
      </c>
      <c r="B411" s="2263"/>
    </row>
    <row r="412" spans="1:3" x14ac:dyDescent="0.2">
      <c r="A412" s="809" t="s">
        <v>3258</v>
      </c>
      <c r="B412" s="948" t="s">
        <v>3259</v>
      </c>
      <c r="C412" s="2246" t="s">
        <v>2402</v>
      </c>
    </row>
    <row r="413" spans="1:3" x14ac:dyDescent="0.2">
      <c r="B413" s="2263"/>
    </row>
    <row r="414" spans="1:3" x14ac:dyDescent="0.2">
      <c r="A414" s="809" t="s">
        <v>3260</v>
      </c>
      <c r="B414" s="948" t="s">
        <v>2843</v>
      </c>
      <c r="C414" s="2246" t="s">
        <v>2402</v>
      </c>
    </row>
    <row r="415" spans="1:3" x14ac:dyDescent="0.2">
      <c r="A415" t="s">
        <v>3261</v>
      </c>
      <c r="B415" s="2263" t="s">
        <v>3262</v>
      </c>
    </row>
    <row r="416" spans="1:3" x14ac:dyDescent="0.2">
      <c r="A416" t="s">
        <v>3263</v>
      </c>
      <c r="B416" s="2263" t="s">
        <v>3262</v>
      </c>
    </row>
    <row r="417" spans="1:3" x14ac:dyDescent="0.2">
      <c r="A417" t="s">
        <v>3264</v>
      </c>
      <c r="B417" s="2263" t="s">
        <v>3262</v>
      </c>
    </row>
    <row r="418" spans="1:3" x14ac:dyDescent="0.2">
      <c r="A418" t="s">
        <v>3265</v>
      </c>
      <c r="B418" s="2263" t="s">
        <v>3262</v>
      </c>
    </row>
    <row r="419" spans="1:3" x14ac:dyDescent="0.2">
      <c r="A419" t="s">
        <v>3266</v>
      </c>
      <c r="B419" s="2263" t="s">
        <v>3262</v>
      </c>
    </row>
    <row r="420" spans="1:3" x14ac:dyDescent="0.2">
      <c r="A420" t="s">
        <v>3267</v>
      </c>
      <c r="B420" s="2263" t="s">
        <v>3262</v>
      </c>
    </row>
    <row r="421" spans="1:3" x14ac:dyDescent="0.2">
      <c r="A421" t="s">
        <v>3268</v>
      </c>
      <c r="B421" s="2263" t="s">
        <v>3262</v>
      </c>
    </row>
    <row r="422" spans="1:3" x14ac:dyDescent="0.2">
      <c r="A422" t="s">
        <v>3269</v>
      </c>
      <c r="B422" s="2263" t="s">
        <v>3262</v>
      </c>
    </row>
    <row r="423" spans="1:3" x14ac:dyDescent="0.2">
      <c r="A423" t="s">
        <v>3270</v>
      </c>
      <c r="B423" s="2263" t="s">
        <v>3262</v>
      </c>
    </row>
    <row r="424" spans="1:3" x14ac:dyDescent="0.2">
      <c r="A424" s="809" t="s">
        <v>3271</v>
      </c>
      <c r="B424" s="948" t="s">
        <v>3272</v>
      </c>
      <c r="C424" s="2246" t="s">
        <v>2402</v>
      </c>
    </row>
    <row r="425" spans="1:3" x14ac:dyDescent="0.2">
      <c r="A425" t="s">
        <v>3273</v>
      </c>
      <c r="B425" s="2263"/>
    </row>
    <row r="426" spans="1:3" x14ac:dyDescent="0.2">
      <c r="A426" t="s">
        <v>3274</v>
      </c>
      <c r="B426" s="2263"/>
    </row>
    <row r="427" spans="1:3" x14ac:dyDescent="0.2">
      <c r="A427" t="s">
        <v>3275</v>
      </c>
      <c r="B427" s="2263" t="s">
        <v>3276</v>
      </c>
    </row>
    <row r="428" spans="1:3" x14ac:dyDescent="0.2">
      <c r="A428" t="s">
        <v>3277</v>
      </c>
      <c r="B428" s="2263"/>
    </row>
    <row r="429" spans="1:3" x14ac:dyDescent="0.2">
      <c r="A429" t="s">
        <v>3278</v>
      </c>
      <c r="B429" s="2263"/>
    </row>
    <row r="430" spans="1:3" x14ac:dyDescent="0.2">
      <c r="A430" t="s">
        <v>3279</v>
      </c>
      <c r="B430" s="2263"/>
    </row>
    <row r="431" spans="1:3" x14ac:dyDescent="0.2">
      <c r="A431" t="s">
        <v>3280</v>
      </c>
      <c r="B431" s="2263"/>
    </row>
    <row r="432" spans="1:3" x14ac:dyDescent="0.2">
      <c r="A432" t="s">
        <v>3281</v>
      </c>
      <c r="B432" s="2263"/>
    </row>
    <row r="433" spans="1:2" x14ac:dyDescent="0.2">
      <c r="A433" t="s">
        <v>3282</v>
      </c>
      <c r="B433" s="2263"/>
    </row>
    <row r="434" spans="1:2" x14ac:dyDescent="0.2">
      <c r="A434" t="s">
        <v>3283</v>
      </c>
      <c r="B434" s="2263"/>
    </row>
    <row r="435" spans="1:2" x14ac:dyDescent="0.2">
      <c r="A435" t="s">
        <v>3284</v>
      </c>
      <c r="B435" s="2263"/>
    </row>
    <row r="436" spans="1:2" x14ac:dyDescent="0.2">
      <c r="A436" t="s">
        <v>3285</v>
      </c>
      <c r="B436" s="2263"/>
    </row>
    <row r="437" spans="1:2" x14ac:dyDescent="0.2">
      <c r="A437" t="s">
        <v>3286</v>
      </c>
      <c r="B437" s="2263"/>
    </row>
    <row r="438" spans="1:2" x14ac:dyDescent="0.2">
      <c r="A438" t="s">
        <v>3287</v>
      </c>
      <c r="B438" s="2263"/>
    </row>
    <row r="439" spans="1:2" x14ac:dyDescent="0.2">
      <c r="A439" t="s">
        <v>3288</v>
      </c>
      <c r="B439" s="2263"/>
    </row>
    <row r="440" spans="1:2" x14ac:dyDescent="0.2">
      <c r="A440" t="s">
        <v>3289</v>
      </c>
      <c r="B440" s="2263"/>
    </row>
    <row r="441" spans="1:2" x14ac:dyDescent="0.2">
      <c r="A441" t="s">
        <v>3290</v>
      </c>
      <c r="B441" s="2263"/>
    </row>
    <row r="442" spans="1:2" x14ac:dyDescent="0.2">
      <c r="A442" t="s">
        <v>3291</v>
      </c>
      <c r="B442" s="2263"/>
    </row>
    <row r="443" spans="1:2" x14ac:dyDescent="0.2">
      <c r="A443" t="s">
        <v>3292</v>
      </c>
      <c r="B443" s="2263" t="s">
        <v>3293</v>
      </c>
    </row>
    <row r="444" spans="1:2" x14ac:dyDescent="0.2">
      <c r="A444" t="s">
        <v>3294</v>
      </c>
      <c r="B444" s="2263"/>
    </row>
    <row r="445" spans="1:2" ht="25.5" x14ac:dyDescent="0.2">
      <c r="A445" s="157" t="s">
        <v>3295</v>
      </c>
      <c r="B445" s="2263" t="s">
        <v>3296</v>
      </c>
    </row>
    <row r="446" spans="1:2" x14ac:dyDescent="0.2">
      <c r="A446" s="159" t="s">
        <v>3297</v>
      </c>
      <c r="B446" s="159" t="s">
        <v>3298</v>
      </c>
    </row>
    <row r="447" spans="1:2" x14ac:dyDescent="0.2">
      <c r="A447" t="s">
        <v>3299</v>
      </c>
      <c r="B447" s="2263"/>
    </row>
    <row r="448" spans="1:2" x14ac:dyDescent="0.2">
      <c r="A448" t="s">
        <v>3300</v>
      </c>
      <c r="B448" s="2263"/>
    </row>
    <row r="449" spans="1:2" x14ac:dyDescent="0.2">
      <c r="A449" t="s">
        <v>3301</v>
      </c>
      <c r="B449" s="2263"/>
    </row>
    <row r="450" spans="1:2" x14ac:dyDescent="0.2">
      <c r="A450" t="s">
        <v>3302</v>
      </c>
      <c r="B450" s="2263"/>
    </row>
    <row r="451" spans="1:2" x14ac:dyDescent="0.2">
      <c r="A451" t="s">
        <v>3303</v>
      </c>
      <c r="B451" s="2263"/>
    </row>
    <row r="452" spans="1:2" ht="25.5" x14ac:dyDescent="0.2">
      <c r="A452" s="154" t="s">
        <v>3304</v>
      </c>
      <c r="B452" s="910" t="s">
        <v>3305</v>
      </c>
    </row>
    <row r="453" spans="1:2" x14ac:dyDescent="0.2">
      <c r="A453" t="s">
        <v>3306</v>
      </c>
      <c r="B453" s="2263"/>
    </row>
    <row r="454" spans="1:2" x14ac:dyDescent="0.2">
      <c r="A454" t="s">
        <v>3307</v>
      </c>
      <c r="B454" s="2263"/>
    </row>
    <row r="455" spans="1:2" x14ac:dyDescent="0.2">
      <c r="A455" t="s">
        <v>3308</v>
      </c>
      <c r="B455" s="2263"/>
    </row>
    <row r="456" spans="1:2" x14ac:dyDescent="0.2">
      <c r="A456" t="s">
        <v>3309</v>
      </c>
      <c r="B456" s="2263"/>
    </row>
    <row r="457" spans="1:2" x14ac:dyDescent="0.2">
      <c r="A457" t="s">
        <v>3310</v>
      </c>
      <c r="B457" s="2263"/>
    </row>
    <row r="458" spans="1:2" x14ac:dyDescent="0.2">
      <c r="A458" t="s">
        <v>3311</v>
      </c>
      <c r="B458" s="2263"/>
    </row>
    <row r="459" spans="1:2" x14ac:dyDescent="0.2">
      <c r="A459" t="s">
        <v>3312</v>
      </c>
      <c r="B459" s="2263"/>
    </row>
    <row r="460" spans="1:2" x14ac:dyDescent="0.2">
      <c r="A460" t="s">
        <v>3313</v>
      </c>
      <c r="B460" s="2263"/>
    </row>
    <row r="461" spans="1:2" x14ac:dyDescent="0.2">
      <c r="A461" t="s">
        <v>3314</v>
      </c>
      <c r="B461" s="2263"/>
    </row>
    <row r="462" spans="1:2" x14ac:dyDescent="0.2">
      <c r="A462" t="s">
        <v>3315</v>
      </c>
      <c r="B462" s="2263"/>
    </row>
    <row r="463" spans="1:2" x14ac:dyDescent="0.2">
      <c r="A463" t="s">
        <v>3316</v>
      </c>
      <c r="B463" s="2263"/>
    </row>
    <row r="464" spans="1:2" x14ac:dyDescent="0.2">
      <c r="A464" t="s">
        <v>3317</v>
      </c>
      <c r="B464" s="2263"/>
    </row>
    <row r="465" spans="1:3" x14ac:dyDescent="0.2">
      <c r="A465" t="s">
        <v>3318</v>
      </c>
      <c r="B465" s="2263" t="s">
        <v>3319</v>
      </c>
    </row>
    <row r="466" spans="1:3" x14ac:dyDescent="0.2">
      <c r="A466" t="s">
        <v>3320</v>
      </c>
      <c r="B466" s="957" t="s">
        <v>3321</v>
      </c>
    </row>
    <row r="467" spans="1:3" x14ac:dyDescent="0.2">
      <c r="A467" s="809" t="s">
        <v>3322</v>
      </c>
      <c r="B467" s="948" t="s">
        <v>3323</v>
      </c>
      <c r="C467" s="2246" t="s">
        <v>2402</v>
      </c>
    </row>
    <row r="468" spans="1:3" x14ac:dyDescent="0.2">
      <c r="A468" t="s">
        <v>3324</v>
      </c>
      <c r="B468" s="2263"/>
    </row>
    <row r="469" spans="1:3" x14ac:dyDescent="0.2">
      <c r="A469" t="s">
        <v>3325</v>
      </c>
      <c r="B469" s="2263"/>
    </row>
    <row r="470" spans="1:3" x14ac:dyDescent="0.2">
      <c r="A470" t="s">
        <v>3326</v>
      </c>
      <c r="B470" s="2263"/>
    </row>
    <row r="471" spans="1:3" x14ac:dyDescent="0.2">
      <c r="A471" t="s">
        <v>3327</v>
      </c>
      <c r="B471" s="2263"/>
    </row>
    <row r="472" spans="1:3" x14ac:dyDescent="0.2">
      <c r="A472" t="s">
        <v>3328</v>
      </c>
      <c r="B472" s="2263"/>
    </row>
    <row r="473" spans="1:3" x14ac:dyDescent="0.2">
      <c r="A473" t="s">
        <v>3329</v>
      </c>
      <c r="B473" s="2263"/>
    </row>
    <row r="474" spans="1:3" x14ac:dyDescent="0.2">
      <c r="A474" t="s">
        <v>3330</v>
      </c>
      <c r="B474" s="2263"/>
    </row>
    <row r="475" spans="1:3" x14ac:dyDescent="0.2">
      <c r="A475" t="s">
        <v>3331</v>
      </c>
      <c r="B475" s="2263"/>
    </row>
    <row r="476" spans="1:3" x14ac:dyDescent="0.2">
      <c r="A476" s="809" t="s">
        <v>3332</v>
      </c>
      <c r="B476" s="2263"/>
    </row>
    <row r="477" spans="1:3" x14ac:dyDescent="0.2">
      <c r="A477" s="809" t="s">
        <v>2690</v>
      </c>
      <c r="B477" s="956"/>
    </row>
    <row r="478" spans="1:3" x14ac:dyDescent="0.2">
      <c r="A478" s="809" t="s">
        <v>3333</v>
      </c>
      <c r="B478" s="955"/>
    </row>
    <row r="479" spans="1:3" x14ac:dyDescent="0.2">
      <c r="A479" s="809" t="s">
        <v>3334</v>
      </c>
      <c r="B479" s="948" t="s">
        <v>2843</v>
      </c>
      <c r="C479" s="166">
        <v>1640</v>
      </c>
    </row>
    <row r="480" spans="1:3" x14ac:dyDescent="0.2">
      <c r="A480" t="s">
        <v>3335</v>
      </c>
      <c r="B480" s="940"/>
    </row>
    <row r="481" spans="1:2" x14ac:dyDescent="0.2">
      <c r="A481" t="s">
        <v>3336</v>
      </c>
      <c r="B481" s="2263"/>
    </row>
    <row r="482" spans="1:2" x14ac:dyDescent="0.2">
      <c r="A482" s="159" t="s">
        <v>3337</v>
      </c>
      <c r="B482" s="2263" t="s">
        <v>2938</v>
      </c>
    </row>
    <row r="483" spans="1:2" x14ac:dyDescent="0.2">
      <c r="A483" s="909" t="s">
        <v>3338</v>
      </c>
      <c r="B483" s="2263" t="s">
        <v>2938</v>
      </c>
    </row>
    <row r="484" spans="1:2" x14ac:dyDescent="0.2">
      <c r="A484" s="1974" t="s">
        <v>3339</v>
      </c>
      <c r="B484" s="958"/>
    </row>
    <row r="485" spans="1:2" x14ac:dyDescent="0.2">
      <c r="A485" s="909" t="s">
        <v>3340</v>
      </c>
      <c r="B485" s="2263"/>
    </row>
    <row r="486" spans="1:2" x14ac:dyDescent="0.2">
      <c r="A486" t="s">
        <v>3341</v>
      </c>
      <c r="B486" s="2263"/>
    </row>
    <row r="487" spans="1:2" x14ac:dyDescent="0.2">
      <c r="A487" t="s">
        <v>3342</v>
      </c>
      <c r="B487" s="2263"/>
    </row>
    <row r="488" spans="1:2" x14ac:dyDescent="0.2">
      <c r="A488" t="s">
        <v>3343</v>
      </c>
      <c r="B488" s="2263"/>
    </row>
    <row r="489" spans="1:2" x14ac:dyDescent="0.2">
      <c r="A489" t="s">
        <v>3344</v>
      </c>
      <c r="B489" s="2263"/>
    </row>
    <row r="490" spans="1:2" x14ac:dyDescent="0.2">
      <c r="A490" t="s">
        <v>3345</v>
      </c>
      <c r="B490" s="2263"/>
    </row>
    <row r="491" spans="1:2" x14ac:dyDescent="0.2">
      <c r="A491" t="s">
        <v>3346</v>
      </c>
      <c r="B491" s="2263"/>
    </row>
    <row r="492" spans="1:2" x14ac:dyDescent="0.2">
      <c r="A492" t="s">
        <v>3347</v>
      </c>
      <c r="B492" s="2263" t="s">
        <v>3348</v>
      </c>
    </row>
    <row r="493" spans="1:2" x14ac:dyDescent="0.2">
      <c r="A493" t="s">
        <v>3349</v>
      </c>
      <c r="B493" s="946" t="s">
        <v>3350</v>
      </c>
    </row>
    <row r="494" spans="1:2" x14ac:dyDescent="0.2">
      <c r="A494" t="s">
        <v>3351</v>
      </c>
      <c r="B494" s="2263"/>
    </row>
    <row r="495" spans="1:2" x14ac:dyDescent="0.2">
      <c r="A495" t="s">
        <v>3352</v>
      </c>
      <c r="B495" s="2263"/>
    </row>
    <row r="496" spans="1:2" x14ac:dyDescent="0.2">
      <c r="A496" s="159" t="s">
        <v>3353</v>
      </c>
      <c r="B496" s="2263" t="s">
        <v>3354</v>
      </c>
    </row>
    <row r="497" spans="1:3" x14ac:dyDescent="0.2">
      <c r="A497" t="s">
        <v>3355</v>
      </c>
      <c r="B497" s="2263" t="s">
        <v>3356</v>
      </c>
    </row>
    <row r="498" spans="1:3" ht="12.75" customHeight="1" x14ac:dyDescent="0.2">
      <c r="A498" s="809" t="s">
        <v>3357</v>
      </c>
      <c r="B498" s="948" t="s">
        <v>2843</v>
      </c>
      <c r="C498" s="166">
        <v>1650</v>
      </c>
    </row>
    <row r="499" spans="1:3" x14ac:dyDescent="0.2">
      <c r="A499" t="s">
        <v>3358</v>
      </c>
      <c r="B499" s="2263"/>
    </row>
    <row r="500" spans="1:3" x14ac:dyDescent="0.2">
      <c r="A500" t="s">
        <v>3359</v>
      </c>
      <c r="B500" s="2263"/>
    </row>
    <row r="501" spans="1:3" x14ac:dyDescent="0.2">
      <c r="A501" s="809" t="s">
        <v>3360</v>
      </c>
      <c r="B501" s="948" t="s">
        <v>2843</v>
      </c>
      <c r="C501" s="166">
        <v>1660</v>
      </c>
    </row>
    <row r="502" spans="1:3" x14ac:dyDescent="0.2">
      <c r="A502" t="s">
        <v>3361</v>
      </c>
      <c r="B502" s="2263"/>
    </row>
    <row r="503" spans="1:3" x14ac:dyDescent="0.2">
      <c r="A503" t="s">
        <v>3362</v>
      </c>
      <c r="B503" s="2263"/>
    </row>
    <row r="504" spans="1:3" x14ac:dyDescent="0.2">
      <c r="A504" t="s">
        <v>3363</v>
      </c>
      <c r="B504" s="2263"/>
    </row>
    <row r="505" spans="1:3" x14ac:dyDescent="0.2">
      <c r="A505" s="159" t="s">
        <v>3364</v>
      </c>
      <c r="B505" s="2263" t="s">
        <v>3365</v>
      </c>
    </row>
    <row r="506" spans="1:3" x14ac:dyDescent="0.2">
      <c r="A506" t="s">
        <v>3366</v>
      </c>
      <c r="B506" s="2263"/>
    </row>
    <row r="507" spans="1:3" x14ac:dyDescent="0.2">
      <c r="A507" t="s">
        <v>3367</v>
      </c>
      <c r="B507" s="2263"/>
    </row>
    <row r="508" spans="1:3" x14ac:dyDescent="0.2">
      <c r="A508" t="s">
        <v>3368</v>
      </c>
      <c r="B508" s="2263"/>
    </row>
    <row r="509" spans="1:3" x14ac:dyDescent="0.2">
      <c r="A509" t="s">
        <v>3369</v>
      </c>
      <c r="B509" s="2263"/>
    </row>
    <row r="510" spans="1:3" x14ac:dyDescent="0.2">
      <c r="A510" s="809" t="s">
        <v>3370</v>
      </c>
      <c r="B510" s="948" t="s">
        <v>2843</v>
      </c>
      <c r="C510" s="2246" t="s">
        <v>2402</v>
      </c>
    </row>
    <row r="511" spans="1:3" x14ac:dyDescent="0.2">
      <c r="A511" t="s">
        <v>3371</v>
      </c>
      <c r="B511" s="959"/>
    </row>
    <row r="512" spans="1:3" x14ac:dyDescent="0.2">
      <c r="A512" s="809" t="s">
        <v>3372</v>
      </c>
      <c r="B512" s="948" t="s">
        <v>2843</v>
      </c>
      <c r="C512" s="2246" t="s">
        <v>2402</v>
      </c>
    </row>
    <row r="513" spans="1:3" x14ac:dyDescent="0.2">
      <c r="A513" t="s">
        <v>3373</v>
      </c>
      <c r="B513" s="2263"/>
    </row>
    <row r="514" spans="1:3" x14ac:dyDescent="0.2">
      <c r="A514" s="809" t="s">
        <v>3374</v>
      </c>
      <c r="B514" s="948" t="s">
        <v>2843</v>
      </c>
      <c r="C514" s="166">
        <v>1670</v>
      </c>
    </row>
    <row r="515" spans="1:3" x14ac:dyDescent="0.2">
      <c r="A515" t="s">
        <v>3375</v>
      </c>
      <c r="B515" s="2263"/>
    </row>
    <row r="516" spans="1:3" x14ac:dyDescent="0.2">
      <c r="A516" s="2252" t="s">
        <v>3376</v>
      </c>
      <c r="B516" s="2263"/>
    </row>
    <row r="517" spans="1:3" x14ac:dyDescent="0.2">
      <c r="A517" s="809" t="s">
        <v>3377</v>
      </c>
      <c r="B517" s="948" t="s">
        <v>2843</v>
      </c>
      <c r="C517" s="2246" t="s">
        <v>2402</v>
      </c>
    </row>
    <row r="518" spans="1:3" x14ac:dyDescent="0.2">
      <c r="A518" s="939" t="s">
        <v>3378</v>
      </c>
      <c r="B518" s="2263"/>
    </row>
    <row r="519" spans="1:3" x14ac:dyDescent="0.2">
      <c r="A519" s="809" t="s">
        <v>3379</v>
      </c>
      <c r="B519" s="948" t="s">
        <v>2843</v>
      </c>
      <c r="C519" s="2246" t="s">
        <v>2402</v>
      </c>
    </row>
    <row r="520" spans="1:3" x14ac:dyDescent="0.2">
      <c r="A520" t="s">
        <v>3380</v>
      </c>
      <c r="B520" s="2263"/>
    </row>
    <row r="521" spans="1:3" x14ac:dyDescent="0.2">
      <c r="A521" t="s">
        <v>3381</v>
      </c>
      <c r="B521" s="2263"/>
    </row>
    <row r="522" spans="1:3" x14ac:dyDescent="0.2">
      <c r="A522" t="s">
        <v>3382</v>
      </c>
      <c r="B522" s="2263"/>
    </row>
    <row r="523" spans="1:3" x14ac:dyDescent="0.2">
      <c r="A523" t="s">
        <v>3383</v>
      </c>
      <c r="B523" s="2263"/>
    </row>
    <row r="524" spans="1:3" x14ac:dyDescent="0.2">
      <c r="A524" t="s">
        <v>3384</v>
      </c>
      <c r="B524" s="2263"/>
    </row>
    <row r="525" spans="1:3" x14ac:dyDescent="0.2">
      <c r="A525" t="s">
        <v>3385</v>
      </c>
      <c r="B525" s="2263"/>
    </row>
    <row r="526" spans="1:3" x14ac:dyDescent="0.2">
      <c r="A526" s="809" t="s">
        <v>3386</v>
      </c>
      <c r="B526" s="948" t="s">
        <v>2843</v>
      </c>
      <c r="C526" s="2246" t="s">
        <v>2402</v>
      </c>
    </row>
    <row r="527" spans="1:3" x14ac:dyDescent="0.2">
      <c r="A527" t="s">
        <v>3387</v>
      </c>
      <c r="B527" s="2263"/>
    </row>
    <row r="528" spans="1:3" x14ac:dyDescent="0.2">
      <c r="A528" t="s">
        <v>3388</v>
      </c>
      <c r="B528" s="2263"/>
    </row>
    <row r="529" spans="1:3" x14ac:dyDescent="0.2">
      <c r="A529" t="s">
        <v>3389</v>
      </c>
      <c r="B529" s="2263"/>
    </row>
    <row r="530" spans="1:3" x14ac:dyDescent="0.2">
      <c r="A530" t="s">
        <v>3390</v>
      </c>
      <c r="B530" s="2263"/>
    </row>
    <row r="531" spans="1:3" x14ac:dyDescent="0.2">
      <c r="A531" t="s">
        <v>3391</v>
      </c>
      <c r="B531" s="2263"/>
    </row>
    <row r="532" spans="1:3" x14ac:dyDescent="0.2">
      <c r="A532" t="s">
        <v>3392</v>
      </c>
      <c r="B532" s="2263"/>
    </row>
    <row r="533" spans="1:3" x14ac:dyDescent="0.2">
      <c r="A533" t="s">
        <v>3393</v>
      </c>
      <c r="B533" s="2263"/>
    </row>
    <row r="534" spans="1:3" x14ac:dyDescent="0.2">
      <c r="A534" t="s">
        <v>3394</v>
      </c>
      <c r="B534" s="2263"/>
    </row>
    <row r="535" spans="1:3" x14ac:dyDescent="0.2">
      <c r="A535" t="s">
        <v>3395</v>
      </c>
      <c r="B535" s="2263"/>
    </row>
    <row r="536" spans="1:3" x14ac:dyDescent="0.2">
      <c r="A536" t="s">
        <v>3396</v>
      </c>
      <c r="B536" s="2263"/>
    </row>
    <row r="537" spans="1:3" x14ac:dyDescent="0.2">
      <c r="A537" t="s">
        <v>3397</v>
      </c>
      <c r="B537" s="2263"/>
    </row>
    <row r="538" spans="1:3" x14ac:dyDescent="0.2">
      <c r="A538" t="s">
        <v>3398</v>
      </c>
      <c r="B538" s="2263"/>
    </row>
    <row r="539" spans="1:3" x14ac:dyDescent="0.2">
      <c r="A539" s="809" t="s">
        <v>3399</v>
      </c>
      <c r="B539" s="948" t="s">
        <v>2843</v>
      </c>
      <c r="C539" s="166">
        <v>1730</v>
      </c>
    </row>
    <row r="540" spans="1:3" x14ac:dyDescent="0.2">
      <c r="A540" t="s">
        <v>3400</v>
      </c>
      <c r="B540" s="2263" t="s">
        <v>3401</v>
      </c>
    </row>
    <row r="541" spans="1:3" x14ac:dyDescent="0.2">
      <c r="A541" s="809" t="s">
        <v>3402</v>
      </c>
      <c r="B541" s="948" t="s">
        <v>2843</v>
      </c>
      <c r="C541" s="166">
        <v>1735</v>
      </c>
    </row>
    <row r="542" spans="1:3" x14ac:dyDescent="0.2">
      <c r="A542" t="s">
        <v>3403</v>
      </c>
      <c r="B542" s="2263" t="s">
        <v>2991</v>
      </c>
    </row>
    <row r="543" spans="1:3" x14ac:dyDescent="0.2">
      <c r="A543" s="809" t="s">
        <v>3404</v>
      </c>
      <c r="B543" s="948" t="s">
        <v>2843</v>
      </c>
      <c r="C543" s="166">
        <v>1740</v>
      </c>
    </row>
    <row r="544" spans="1:3" x14ac:dyDescent="0.2">
      <c r="A544" t="s">
        <v>3405</v>
      </c>
      <c r="B544" s="2263"/>
    </row>
    <row r="545" spans="1:7" x14ac:dyDescent="0.2">
      <c r="A545" s="809" t="s">
        <v>3406</v>
      </c>
      <c r="B545" s="948" t="s">
        <v>2843</v>
      </c>
      <c r="C545" s="166">
        <v>1750</v>
      </c>
    </row>
    <row r="546" spans="1:7" x14ac:dyDescent="0.2">
      <c r="A546" t="s">
        <v>3407</v>
      </c>
      <c r="B546" s="2263"/>
    </row>
    <row r="547" spans="1:7" x14ac:dyDescent="0.2">
      <c r="A547" s="809" t="s">
        <v>3408</v>
      </c>
      <c r="B547" s="948" t="s">
        <v>2843</v>
      </c>
      <c r="C547" s="166">
        <v>1760</v>
      </c>
    </row>
    <row r="548" spans="1:7" x14ac:dyDescent="0.2">
      <c r="A548" t="s">
        <v>3409</v>
      </c>
      <c r="B548" s="2263"/>
    </row>
    <row r="549" spans="1:7" x14ac:dyDescent="0.2">
      <c r="A549" s="942" t="s">
        <v>2711</v>
      </c>
      <c r="B549" s="948" t="s">
        <v>2843</v>
      </c>
      <c r="C549" s="166">
        <v>1762</v>
      </c>
    </row>
    <row r="550" spans="1:7" x14ac:dyDescent="0.2">
      <c r="A550" s="159" t="s">
        <v>3410</v>
      </c>
      <c r="B550" s="2263" t="s">
        <v>3354</v>
      </c>
    </row>
    <row r="551" spans="1:7" x14ac:dyDescent="0.2">
      <c r="A551" s="809" t="s">
        <v>3411</v>
      </c>
      <c r="B551" s="950" t="s">
        <v>2843</v>
      </c>
      <c r="C551" s="166">
        <v>1770</v>
      </c>
    </row>
    <row r="552" spans="1:7" ht="22.5" x14ac:dyDescent="0.2">
      <c r="A552" s="154" t="s">
        <v>3412</v>
      </c>
      <c r="B552" s="944" t="s">
        <v>3413</v>
      </c>
      <c r="D552" s="159" t="s">
        <v>3414</v>
      </c>
    </row>
    <row r="553" spans="1:7" x14ac:dyDescent="0.2">
      <c r="A553" s="809" t="s">
        <v>3415</v>
      </c>
      <c r="B553" s="950" t="s">
        <v>2843</v>
      </c>
      <c r="C553" s="166">
        <v>1780</v>
      </c>
    </row>
    <row r="554" spans="1:7" ht="22.5" x14ac:dyDescent="0.2">
      <c r="A554" s="159" t="s">
        <v>3416</v>
      </c>
      <c r="B554" s="944" t="s">
        <v>3413</v>
      </c>
      <c r="D554" s="1997" t="s">
        <v>3417</v>
      </c>
      <c r="E554" s="1238"/>
      <c r="F554" s="1238"/>
      <c r="G554" s="1238"/>
    </row>
    <row r="555" spans="1:7" x14ac:dyDescent="0.2">
      <c r="A555" s="809" t="s">
        <v>3418</v>
      </c>
      <c r="B555" s="950" t="s">
        <v>2843</v>
      </c>
      <c r="C555" s="1521">
        <v>1785</v>
      </c>
      <c r="D555" s="1021"/>
    </row>
    <row r="556" spans="1:7" ht="22.5" x14ac:dyDescent="0.2">
      <c r="A556" s="2011" t="s">
        <v>3419</v>
      </c>
      <c r="B556" s="2074" t="s">
        <v>3413</v>
      </c>
      <c r="C556" s="2072"/>
      <c r="D556" s="2010" t="s">
        <v>3420</v>
      </c>
      <c r="E556" s="1238"/>
    </row>
    <row r="557" spans="1:7" x14ac:dyDescent="0.2">
      <c r="A557" s="809" t="s">
        <v>3421</v>
      </c>
      <c r="B557" s="948" t="s">
        <v>2843</v>
      </c>
      <c r="C557" s="2246" t="s">
        <v>2402</v>
      </c>
    </row>
    <row r="558" spans="1:7" x14ac:dyDescent="0.2">
      <c r="A558" s="939" t="s">
        <v>3422</v>
      </c>
      <c r="B558" s="2263"/>
    </row>
    <row r="559" spans="1:7" x14ac:dyDescent="0.2">
      <c r="A559" s="941" t="s">
        <v>3423</v>
      </c>
      <c r="B559" s="948" t="s">
        <v>2843</v>
      </c>
      <c r="C559" s="166">
        <v>1865</v>
      </c>
    </row>
    <row r="560" spans="1:7" ht="22.5" x14ac:dyDescent="0.2">
      <c r="A560" s="939" t="s">
        <v>3424</v>
      </c>
      <c r="B560" s="944" t="s">
        <v>3413</v>
      </c>
    </row>
    <row r="561" spans="1:3" x14ac:dyDescent="0.2">
      <c r="A561" s="809" t="s">
        <v>3425</v>
      </c>
      <c r="B561" s="948" t="s">
        <v>2843</v>
      </c>
      <c r="C561" s="166">
        <v>1788</v>
      </c>
    </row>
    <row r="562" spans="1:3" x14ac:dyDescent="0.2">
      <c r="A562" t="s">
        <v>3426</v>
      </c>
      <c r="B562" s="2263" t="s">
        <v>3084</v>
      </c>
    </row>
    <row r="563" spans="1:3" x14ac:dyDescent="0.2">
      <c r="A563" s="809" t="s">
        <v>3427</v>
      </c>
      <c r="B563" s="948" t="s">
        <v>2843</v>
      </c>
      <c r="C563" s="166">
        <v>1785</v>
      </c>
    </row>
    <row r="564" spans="1:3" s="154" customFormat="1" ht="15" customHeight="1" x14ac:dyDescent="0.2">
      <c r="A564" t="s">
        <v>3428</v>
      </c>
      <c r="B564" s="2263" t="s">
        <v>3084</v>
      </c>
      <c r="C564" s="1094"/>
    </row>
    <row r="565" spans="1:3" x14ac:dyDescent="0.2">
      <c r="A565" s="809" t="s">
        <v>3429</v>
      </c>
      <c r="B565" s="948" t="s">
        <v>2843</v>
      </c>
      <c r="C565" s="166">
        <v>1787</v>
      </c>
    </row>
    <row r="566" spans="1:3" x14ac:dyDescent="0.2">
      <c r="A566" t="s">
        <v>3430</v>
      </c>
      <c r="B566" s="2263" t="s">
        <v>3084</v>
      </c>
    </row>
    <row r="567" spans="1:3" ht="25.5" x14ac:dyDescent="0.2">
      <c r="A567" s="943" t="s">
        <v>3431</v>
      </c>
      <c r="B567" s="945" t="s">
        <v>3432</v>
      </c>
      <c r="C567" s="166">
        <v>1800</v>
      </c>
    </row>
    <row r="568" spans="1:3" x14ac:dyDescent="0.2">
      <c r="A568" s="951" t="s">
        <v>3433</v>
      </c>
      <c r="B568" s="2263"/>
    </row>
    <row r="569" spans="1:3" ht="25.5" x14ac:dyDescent="0.2">
      <c r="A569" s="952" t="s">
        <v>3434</v>
      </c>
      <c r="B569" s="910" t="s">
        <v>3435</v>
      </c>
    </row>
    <row r="570" spans="1:3" x14ac:dyDescent="0.2">
      <c r="A570" s="1388" t="s">
        <v>3436</v>
      </c>
      <c r="B570" s="910" t="s">
        <v>3437</v>
      </c>
    </row>
    <row r="571" spans="1:3" x14ac:dyDescent="0.2">
      <c r="A571" s="953" t="s">
        <v>3438</v>
      </c>
      <c r="B571" s="2263" t="s">
        <v>3439</v>
      </c>
    </row>
    <row r="572" spans="1:3" x14ac:dyDescent="0.2">
      <c r="A572" s="953" t="s">
        <v>3440</v>
      </c>
      <c r="B572" s="2263" t="s">
        <v>3441</v>
      </c>
    </row>
    <row r="573" spans="1:3" x14ac:dyDescent="0.2">
      <c r="A573" s="809" t="s">
        <v>2696</v>
      </c>
      <c r="B573" s="2263"/>
      <c r="C573" s="166">
        <v>1840</v>
      </c>
    </row>
    <row r="574" spans="1:3" x14ac:dyDescent="0.2">
      <c r="A574" s="809" t="s">
        <v>3442</v>
      </c>
      <c r="B574" s="948" t="s">
        <v>2843</v>
      </c>
    </row>
    <row r="575" spans="1:3" x14ac:dyDescent="0.2">
      <c r="A575" t="s">
        <v>3443</v>
      </c>
      <c r="B575" s="2263"/>
    </row>
    <row r="576" spans="1:3" x14ac:dyDescent="0.2">
      <c r="A576" s="809" t="s">
        <v>3444</v>
      </c>
      <c r="B576" s="948" t="s">
        <v>2843</v>
      </c>
      <c r="C576" s="2246" t="s">
        <v>2402</v>
      </c>
    </row>
    <row r="577" spans="1:3" x14ac:dyDescent="0.2">
      <c r="A577" t="s">
        <v>3445</v>
      </c>
      <c r="B577" s="2263"/>
    </row>
    <row r="578" spans="1:3" x14ac:dyDescent="0.2">
      <c r="A578" s="809" t="s">
        <v>2709</v>
      </c>
      <c r="B578" s="948" t="s">
        <v>2843</v>
      </c>
      <c r="C578" s="166">
        <v>1870</v>
      </c>
    </row>
    <row r="579" spans="1:3" x14ac:dyDescent="0.2">
      <c r="A579" s="2269" t="s">
        <v>3446</v>
      </c>
      <c r="B579" s="2263"/>
    </row>
    <row r="580" spans="1:3" x14ac:dyDescent="0.2">
      <c r="A580" t="s">
        <v>3447</v>
      </c>
      <c r="B580" s="2263"/>
    </row>
    <row r="581" spans="1:3" x14ac:dyDescent="0.2">
      <c r="A581" t="s">
        <v>3448</v>
      </c>
      <c r="B581" s="2263"/>
    </row>
    <row r="582" spans="1:3" x14ac:dyDescent="0.2">
      <c r="A582" t="s">
        <v>3449</v>
      </c>
      <c r="B582" s="2263"/>
    </row>
    <row r="583" spans="1:3" x14ac:dyDescent="0.2">
      <c r="A583" t="s">
        <v>3450</v>
      </c>
      <c r="B583" s="2263"/>
    </row>
    <row r="584" spans="1:3" x14ac:dyDescent="0.2">
      <c r="A584" s="2252" t="s">
        <v>3451</v>
      </c>
      <c r="B584" s="2263"/>
    </row>
    <row r="585" spans="1:3" x14ac:dyDescent="0.2">
      <c r="A585" s="809" t="s">
        <v>2710</v>
      </c>
      <c r="B585" s="948" t="s">
        <v>2843</v>
      </c>
      <c r="C585" s="166">
        <v>1880</v>
      </c>
    </row>
    <row r="586" spans="1:3" x14ac:dyDescent="0.2">
      <c r="A586" s="939" t="s">
        <v>3452</v>
      </c>
      <c r="B586" s="2263"/>
    </row>
    <row r="587" spans="1:3" x14ac:dyDescent="0.2">
      <c r="A587" s="809" t="s">
        <v>3453</v>
      </c>
      <c r="B587" s="948" t="s">
        <v>3454</v>
      </c>
      <c r="C587" s="166">
        <v>1850</v>
      </c>
    </row>
    <row r="588" spans="1:3" ht="22.5" x14ac:dyDescent="0.2">
      <c r="A588" s="154" t="s">
        <v>3455</v>
      </c>
      <c r="B588" s="944" t="s">
        <v>3413</v>
      </c>
    </row>
    <row r="589" spans="1:3" x14ac:dyDescent="0.2">
      <c r="A589" s="809" t="s">
        <v>3456</v>
      </c>
      <c r="B589" s="948" t="s">
        <v>3457</v>
      </c>
      <c r="C589" s="166">
        <v>1851</v>
      </c>
    </row>
    <row r="590" spans="1:3" ht="33.75" x14ac:dyDescent="0.2">
      <c r="A590" s="154" t="s">
        <v>3458</v>
      </c>
      <c r="B590" s="944" t="s">
        <v>3459</v>
      </c>
    </row>
    <row r="591" spans="1:3" x14ac:dyDescent="0.2">
      <c r="A591" s="809" t="s">
        <v>3460</v>
      </c>
      <c r="B591" s="948" t="s">
        <v>2843</v>
      </c>
      <c r="C591" s="166">
        <v>1786</v>
      </c>
    </row>
    <row r="592" spans="1:3" ht="22.5" x14ac:dyDescent="0.2">
      <c r="A592" s="154" t="s">
        <v>3461</v>
      </c>
      <c r="B592" s="944" t="s">
        <v>3413</v>
      </c>
    </row>
    <row r="593" spans="1:3" x14ac:dyDescent="0.2">
      <c r="A593" s="942" t="s">
        <v>3462</v>
      </c>
      <c r="B593" s="948" t="s">
        <v>2843</v>
      </c>
      <c r="C593" s="2246" t="s">
        <v>2402</v>
      </c>
    </row>
    <row r="594" spans="1:3" x14ac:dyDescent="0.2">
      <c r="A594" s="903" t="s">
        <v>3463</v>
      </c>
      <c r="B594" s="2263" t="s">
        <v>3464</v>
      </c>
    </row>
    <row r="595" spans="1:3" x14ac:dyDescent="0.2">
      <c r="A595" t="s">
        <v>3465</v>
      </c>
      <c r="B595" s="2263"/>
    </row>
    <row r="596" spans="1:3" x14ac:dyDescent="0.2">
      <c r="A596" s="809" t="s">
        <v>3466</v>
      </c>
      <c r="B596" s="948" t="s">
        <v>2843</v>
      </c>
      <c r="C596" s="166">
        <v>1855</v>
      </c>
    </row>
    <row r="597" spans="1:3" ht="22.5" x14ac:dyDescent="0.2">
      <c r="A597" s="157" t="s">
        <v>3467</v>
      </c>
      <c r="B597" s="944" t="s">
        <v>3413</v>
      </c>
    </row>
    <row r="598" spans="1:3" x14ac:dyDescent="0.2">
      <c r="B598" s="2263" t="s">
        <v>3468</v>
      </c>
    </row>
    <row r="599" spans="1:3" x14ac:dyDescent="0.2">
      <c r="A599" s="809" t="s">
        <v>3469</v>
      </c>
      <c r="B599" s="948" t="s">
        <v>2843</v>
      </c>
      <c r="C599" s="166">
        <v>1857</v>
      </c>
    </row>
    <row r="600" spans="1:3" ht="22.5" x14ac:dyDescent="0.2">
      <c r="A600" s="157" t="s">
        <v>3470</v>
      </c>
      <c r="B600" s="944" t="s">
        <v>3413</v>
      </c>
    </row>
    <row r="601" spans="1:3" x14ac:dyDescent="0.2">
      <c r="A601" s="157"/>
      <c r="B601" s="944" t="s">
        <v>3471</v>
      </c>
    </row>
    <row r="602" spans="1:3" x14ac:dyDescent="0.2">
      <c r="A602" s="809" t="s">
        <v>3472</v>
      </c>
      <c r="B602" s="948" t="s">
        <v>2843</v>
      </c>
      <c r="C602" s="166">
        <v>1860</v>
      </c>
    </row>
    <row r="603" spans="1:3" ht="22.5" x14ac:dyDescent="0.2">
      <c r="A603" s="157" t="s">
        <v>3473</v>
      </c>
      <c r="B603" s="944" t="s">
        <v>3413</v>
      </c>
    </row>
    <row r="604" spans="1:3" ht="25.5" x14ac:dyDescent="0.2">
      <c r="A604" s="809" t="s">
        <v>2706</v>
      </c>
      <c r="B604" s="948" t="s">
        <v>3474</v>
      </c>
      <c r="C604" s="166">
        <v>1890</v>
      </c>
    </row>
    <row r="605" spans="1:3" x14ac:dyDescent="0.2">
      <c r="A605" s="159" t="s">
        <v>3475</v>
      </c>
      <c r="B605" s="2263"/>
    </row>
    <row r="606" spans="1:3" x14ac:dyDescent="0.2">
      <c r="A606" t="s">
        <v>3476</v>
      </c>
      <c r="B606" s="2263"/>
    </row>
    <row r="607" spans="1:3" x14ac:dyDescent="0.2">
      <c r="A607" s="942" t="s">
        <v>3477</v>
      </c>
      <c r="B607" s="948" t="s">
        <v>2843</v>
      </c>
      <c r="C607" s="166">
        <v>1869</v>
      </c>
    </row>
    <row r="608" spans="1:3" x14ac:dyDescent="0.2">
      <c r="A608" s="159" t="s">
        <v>3478</v>
      </c>
      <c r="B608" s="2263" t="s">
        <v>3037</v>
      </c>
    </row>
    <row r="609" spans="1:3" x14ac:dyDescent="0.2">
      <c r="A609" s="1" t="s">
        <v>3479</v>
      </c>
      <c r="B609" s="2263"/>
    </row>
    <row r="610" spans="1:3" x14ac:dyDescent="0.2">
      <c r="A610" s="809" t="s">
        <v>2728</v>
      </c>
      <c r="B610" s="2263"/>
    </row>
    <row r="611" spans="1:3" x14ac:dyDescent="0.2">
      <c r="A611" s="809" t="s">
        <v>3333</v>
      </c>
      <c r="B611" s="2263"/>
    </row>
    <row r="612" spans="1:3" x14ac:dyDescent="0.2">
      <c r="A612" s="809" t="s">
        <v>3334</v>
      </c>
      <c r="B612" s="948" t="s">
        <v>2843</v>
      </c>
      <c r="C612" s="166">
        <v>1940</v>
      </c>
    </row>
    <row r="613" spans="1:3" x14ac:dyDescent="0.2">
      <c r="A613" t="s">
        <v>3480</v>
      </c>
      <c r="B613" s="2263"/>
    </row>
    <row r="614" spans="1:3" x14ac:dyDescent="0.2">
      <c r="A614" t="s">
        <v>3481</v>
      </c>
      <c r="B614" s="2263"/>
    </row>
    <row r="615" spans="1:3" x14ac:dyDescent="0.2">
      <c r="A615" t="s">
        <v>3482</v>
      </c>
      <c r="B615" s="2263"/>
    </row>
    <row r="616" spans="1:3" x14ac:dyDescent="0.2">
      <c r="A616" t="s">
        <v>3483</v>
      </c>
      <c r="B616" s="2263" t="s">
        <v>3356</v>
      </c>
    </row>
    <row r="617" spans="1:3" x14ac:dyDescent="0.2">
      <c r="A617" t="s">
        <v>3484</v>
      </c>
      <c r="B617" s="2263" t="s">
        <v>3354</v>
      </c>
    </row>
    <row r="618" spans="1:3" x14ac:dyDescent="0.2">
      <c r="A618" s="809" t="s">
        <v>3485</v>
      </c>
      <c r="B618" s="948" t="s">
        <v>3486</v>
      </c>
      <c r="C618" s="166">
        <v>1940</v>
      </c>
    </row>
    <row r="619" spans="1:3" x14ac:dyDescent="0.2">
      <c r="A619" s="159" t="s">
        <v>3487</v>
      </c>
      <c r="B619" s="2263" t="s">
        <v>3488</v>
      </c>
    </row>
    <row r="620" spans="1:3" x14ac:dyDescent="0.2">
      <c r="A620" s="809" t="s">
        <v>3370</v>
      </c>
      <c r="B620" s="948" t="s">
        <v>2843</v>
      </c>
    </row>
    <row r="621" spans="1:3" x14ac:dyDescent="0.2">
      <c r="A621" t="s">
        <v>3489</v>
      </c>
      <c r="B621" s="959"/>
    </row>
    <row r="622" spans="1:3" x14ac:dyDescent="0.2">
      <c r="A622" s="809" t="s">
        <v>3490</v>
      </c>
      <c r="B622" s="948" t="s">
        <v>3491</v>
      </c>
      <c r="C622" s="166">
        <v>1950</v>
      </c>
    </row>
    <row r="623" spans="1:3" x14ac:dyDescent="0.2">
      <c r="A623" s="159" t="s">
        <v>3492</v>
      </c>
      <c r="B623" s="2263"/>
    </row>
    <row r="624" spans="1:3" x14ac:dyDescent="0.2">
      <c r="A624" s="809" t="s">
        <v>3493</v>
      </c>
      <c r="B624" s="948" t="s">
        <v>2843</v>
      </c>
      <c r="C624" s="166">
        <v>1960</v>
      </c>
    </row>
    <row r="625" spans="1:3" x14ac:dyDescent="0.2">
      <c r="B625" s="159"/>
    </row>
    <row r="626" spans="1:3" x14ac:dyDescent="0.2">
      <c r="A626" t="s">
        <v>3494</v>
      </c>
      <c r="B626" s="2263"/>
    </row>
    <row r="627" spans="1:3" x14ac:dyDescent="0.2">
      <c r="A627" s="809" t="s">
        <v>3377</v>
      </c>
      <c r="B627" s="948" t="s">
        <v>2843</v>
      </c>
      <c r="C627" s="2246" t="s">
        <v>2402</v>
      </c>
    </row>
    <row r="628" spans="1:3" x14ac:dyDescent="0.2">
      <c r="A628" t="s">
        <v>3495</v>
      </c>
      <c r="B628" s="2263"/>
    </row>
    <row r="629" spans="1:3" x14ac:dyDescent="0.2">
      <c r="A629" s="809" t="s">
        <v>3399</v>
      </c>
      <c r="B629" s="948" t="s">
        <v>3496</v>
      </c>
      <c r="C629" s="2246" t="s">
        <v>2402</v>
      </c>
    </row>
    <row r="630" spans="1:3" x14ac:dyDescent="0.2">
      <c r="A630" t="s">
        <v>3497</v>
      </c>
      <c r="B630" s="2263"/>
    </row>
    <row r="631" spans="1:3" x14ac:dyDescent="0.2">
      <c r="A631" s="809" t="s">
        <v>3404</v>
      </c>
      <c r="B631" s="948" t="s">
        <v>2843</v>
      </c>
      <c r="C631" s="2246">
        <v>1740</v>
      </c>
    </row>
    <row r="632" spans="1:3" x14ac:dyDescent="0.2">
      <c r="A632" t="s">
        <v>3498</v>
      </c>
      <c r="B632" s="2263"/>
    </row>
    <row r="633" spans="1:3" x14ac:dyDescent="0.2">
      <c r="A633" s="809" t="s">
        <v>3499</v>
      </c>
      <c r="B633" s="948" t="s">
        <v>2843</v>
      </c>
      <c r="C633" s="166">
        <v>2020</v>
      </c>
    </row>
    <row r="634" spans="1:3" x14ac:dyDescent="0.2">
      <c r="A634" t="s">
        <v>3500</v>
      </c>
      <c r="B634" s="2263"/>
    </row>
    <row r="635" spans="1:3" x14ac:dyDescent="0.2">
      <c r="A635" s="809" t="s">
        <v>3501</v>
      </c>
      <c r="B635" s="948" t="s">
        <v>2843</v>
      </c>
      <c r="C635" s="2246" t="s">
        <v>2402</v>
      </c>
    </row>
    <row r="636" spans="1:3" x14ac:dyDescent="0.2">
      <c r="A636" t="s">
        <v>3502</v>
      </c>
      <c r="B636" s="2263"/>
    </row>
    <row r="637" spans="1:3" x14ac:dyDescent="0.2">
      <c r="A637" t="s">
        <v>3503</v>
      </c>
      <c r="B637" s="2263"/>
    </row>
    <row r="638" spans="1:3" x14ac:dyDescent="0.2">
      <c r="A638" t="s">
        <v>3504</v>
      </c>
      <c r="B638" s="2263"/>
    </row>
    <row r="639" spans="1:3" x14ac:dyDescent="0.2">
      <c r="A639" t="s">
        <v>3505</v>
      </c>
      <c r="B639" s="2263"/>
    </row>
    <row r="640" spans="1:3" x14ac:dyDescent="0.2">
      <c r="A640" t="s">
        <v>3506</v>
      </c>
      <c r="B640" s="2263"/>
    </row>
    <row r="641" spans="1:4" x14ac:dyDescent="0.2">
      <c r="A641" t="s">
        <v>3507</v>
      </c>
      <c r="B641" s="2263"/>
    </row>
    <row r="642" spans="1:4" x14ac:dyDescent="0.2">
      <c r="A642" t="s">
        <v>3508</v>
      </c>
      <c r="B642" s="2263"/>
    </row>
    <row r="643" spans="1:4" x14ac:dyDescent="0.2">
      <c r="A643" s="809" t="s">
        <v>3509</v>
      </c>
      <c r="B643" s="948" t="s">
        <v>2843</v>
      </c>
      <c r="C643" s="2246" t="s">
        <v>2402</v>
      </c>
    </row>
    <row r="644" spans="1:4" x14ac:dyDescent="0.2">
      <c r="A644" t="s">
        <v>3510</v>
      </c>
      <c r="B644" s="2263"/>
    </row>
    <row r="645" spans="1:4" x14ac:dyDescent="0.2">
      <c r="A645" s="809" t="s">
        <v>3511</v>
      </c>
      <c r="B645" s="948" t="s">
        <v>3496</v>
      </c>
      <c r="C645" s="2246" t="s">
        <v>2402</v>
      </c>
    </row>
    <row r="646" spans="1:4" x14ac:dyDescent="0.2">
      <c r="A646" t="s">
        <v>3512</v>
      </c>
      <c r="B646" s="2263"/>
    </row>
    <row r="647" spans="1:4" x14ac:dyDescent="0.2">
      <c r="A647" s="809" t="s">
        <v>2711</v>
      </c>
      <c r="B647" s="948" t="s">
        <v>2843</v>
      </c>
      <c r="C647" s="166">
        <v>2024</v>
      </c>
    </row>
    <row r="648" spans="1:4" x14ac:dyDescent="0.2">
      <c r="A648" t="s">
        <v>3513</v>
      </c>
      <c r="B648" s="2263" t="s">
        <v>3354</v>
      </c>
    </row>
    <row r="649" spans="1:4" x14ac:dyDescent="0.2">
      <c r="A649" s="809" t="s">
        <v>3411</v>
      </c>
      <c r="B649" s="950" t="s">
        <v>2843</v>
      </c>
      <c r="C649" s="166">
        <v>2030</v>
      </c>
    </row>
    <row r="650" spans="1:4" ht="22.5" x14ac:dyDescent="0.2">
      <c r="A650" s="159" t="s">
        <v>3514</v>
      </c>
      <c r="B650" s="944" t="s">
        <v>3515</v>
      </c>
      <c r="D650" s="159" t="s">
        <v>3414</v>
      </c>
    </row>
    <row r="651" spans="1:4" x14ac:dyDescent="0.2">
      <c r="A651" s="809" t="s">
        <v>3415</v>
      </c>
      <c r="B651" s="948" t="s">
        <v>2843</v>
      </c>
      <c r="C651" s="166">
        <v>2040</v>
      </c>
    </row>
    <row r="652" spans="1:4" ht="22.5" x14ac:dyDescent="0.2">
      <c r="A652" s="159" t="s">
        <v>3516</v>
      </c>
      <c r="B652" s="944" t="s">
        <v>3515</v>
      </c>
      <c r="D652" s="159" t="s">
        <v>3417</v>
      </c>
    </row>
    <row r="653" spans="1:4" x14ac:dyDescent="0.2">
      <c r="A653" s="2071" t="s">
        <v>3517</v>
      </c>
      <c r="B653" s="2143" t="s">
        <v>2843</v>
      </c>
      <c r="C653" s="2246">
        <v>2046</v>
      </c>
      <c r="D653" s="159"/>
    </row>
    <row r="654" spans="1:4" ht="22.5" x14ac:dyDescent="0.2">
      <c r="A654" s="2010" t="s">
        <v>3518</v>
      </c>
      <c r="B654" s="2074" t="s">
        <v>3515</v>
      </c>
      <c r="C654" s="2144"/>
      <c r="D654" s="2010" t="s">
        <v>3420</v>
      </c>
    </row>
    <row r="655" spans="1:4" x14ac:dyDescent="0.2">
      <c r="A655" s="809" t="s">
        <v>3421</v>
      </c>
      <c r="B655" s="948" t="s">
        <v>2843</v>
      </c>
      <c r="C655" s="2246" t="s">
        <v>2402</v>
      </c>
    </row>
    <row r="656" spans="1:4" x14ac:dyDescent="0.2">
      <c r="A656" t="s">
        <v>3519</v>
      </c>
      <c r="B656" s="2263"/>
    </row>
    <row r="657" spans="1:3" x14ac:dyDescent="0.2">
      <c r="A657" s="809" t="s">
        <v>3423</v>
      </c>
      <c r="B657" s="948" t="s">
        <v>2843</v>
      </c>
      <c r="C657" s="166">
        <v>2095</v>
      </c>
    </row>
    <row r="658" spans="1:3" ht="22.5" x14ac:dyDescent="0.2">
      <c r="A658" t="s">
        <v>3520</v>
      </c>
      <c r="B658" s="944" t="s">
        <v>3515</v>
      </c>
    </row>
    <row r="659" spans="1:3" x14ac:dyDescent="0.2">
      <c r="A659" s="809" t="s">
        <v>3431</v>
      </c>
      <c r="B659" s="947" t="s">
        <v>2843</v>
      </c>
      <c r="C659" s="166">
        <v>2050</v>
      </c>
    </row>
    <row r="660" spans="1:3" ht="22.5" x14ac:dyDescent="0.2">
      <c r="A660" t="s">
        <v>3521</v>
      </c>
      <c r="B660" s="944" t="s">
        <v>3515</v>
      </c>
    </row>
    <row r="661" spans="1:3" x14ac:dyDescent="0.2">
      <c r="A661" t="s">
        <v>3522</v>
      </c>
      <c r="B661" s="2263" t="s">
        <v>3084</v>
      </c>
    </row>
    <row r="662" spans="1:3" x14ac:dyDescent="0.2">
      <c r="A662" t="s">
        <v>3523</v>
      </c>
      <c r="B662" s="2263" t="s">
        <v>3439</v>
      </c>
    </row>
    <row r="663" spans="1:3" x14ac:dyDescent="0.2">
      <c r="A663" t="s">
        <v>3524</v>
      </c>
      <c r="B663" s="2263" t="s">
        <v>3525</v>
      </c>
    </row>
    <row r="664" spans="1:3" x14ac:dyDescent="0.2">
      <c r="A664" s="159" t="s">
        <v>3526</v>
      </c>
      <c r="B664" s="2263" t="s">
        <v>3437</v>
      </c>
    </row>
    <row r="665" spans="1:3" x14ac:dyDescent="0.2">
      <c r="A665" t="s">
        <v>3527</v>
      </c>
      <c r="B665" s="2263" t="s">
        <v>3084</v>
      </c>
    </row>
    <row r="666" spans="1:3" x14ac:dyDescent="0.2">
      <c r="A666" t="s">
        <v>3528</v>
      </c>
      <c r="B666" s="2263" t="s">
        <v>2921</v>
      </c>
    </row>
    <row r="667" spans="1:3" x14ac:dyDescent="0.2">
      <c r="A667" t="s">
        <v>3529</v>
      </c>
      <c r="B667" s="2263"/>
    </row>
    <row r="668" spans="1:3" x14ac:dyDescent="0.2">
      <c r="A668" t="s">
        <v>3530</v>
      </c>
      <c r="B668" s="2263" t="s">
        <v>3531</v>
      </c>
    </row>
    <row r="669" spans="1:3" x14ac:dyDescent="0.2">
      <c r="A669" t="s">
        <v>3532</v>
      </c>
      <c r="B669" s="2263"/>
    </row>
    <row r="670" spans="1:3" x14ac:dyDescent="0.2">
      <c r="A670" s="809" t="s">
        <v>3533</v>
      </c>
      <c r="B670" s="948" t="s">
        <v>2843</v>
      </c>
      <c r="C670" s="2246" t="s">
        <v>2402</v>
      </c>
    </row>
    <row r="671" spans="1:3" x14ac:dyDescent="0.2">
      <c r="A671" s="159" t="s">
        <v>3534</v>
      </c>
      <c r="B671" s="2263" t="s">
        <v>3535</v>
      </c>
    </row>
    <row r="672" spans="1:3" x14ac:dyDescent="0.2">
      <c r="A672" s="809" t="s">
        <v>2709</v>
      </c>
      <c r="B672" s="948" t="s">
        <v>2843</v>
      </c>
      <c r="C672" s="166">
        <v>2070</v>
      </c>
    </row>
    <row r="673" spans="1:3" x14ac:dyDescent="0.2">
      <c r="A673" t="s">
        <v>3536</v>
      </c>
      <c r="B673" s="2263"/>
    </row>
    <row r="674" spans="1:3" x14ac:dyDescent="0.2">
      <c r="A674" t="s">
        <v>3537</v>
      </c>
      <c r="B674" s="2263"/>
    </row>
    <row r="675" spans="1:3" x14ac:dyDescent="0.2">
      <c r="A675" t="s">
        <v>3538</v>
      </c>
      <c r="B675" s="2263"/>
    </row>
    <row r="676" spans="1:3" ht="25.5" customHeight="1" x14ac:dyDescent="0.2">
      <c r="A676" t="s">
        <v>3539</v>
      </c>
      <c r="B676" s="2263"/>
    </row>
    <row r="677" spans="1:3" x14ac:dyDescent="0.2">
      <c r="A677" t="s">
        <v>3540</v>
      </c>
      <c r="B677" s="2263"/>
    </row>
    <row r="678" spans="1:3" ht="25.5" customHeight="1" x14ac:dyDescent="0.2">
      <c r="A678" t="s">
        <v>3541</v>
      </c>
      <c r="B678" s="2263"/>
    </row>
    <row r="679" spans="1:3" x14ac:dyDescent="0.2">
      <c r="A679" s="809" t="s">
        <v>2710</v>
      </c>
      <c r="B679" s="948" t="s">
        <v>2843</v>
      </c>
      <c r="C679" s="166">
        <v>2080</v>
      </c>
    </row>
    <row r="680" spans="1:3" x14ac:dyDescent="0.2">
      <c r="A680" t="s">
        <v>3542</v>
      </c>
      <c r="B680" s="2263"/>
    </row>
    <row r="681" spans="1:3" x14ac:dyDescent="0.2">
      <c r="A681" t="s">
        <v>3543</v>
      </c>
      <c r="B681" s="2263"/>
    </row>
    <row r="682" spans="1:3" x14ac:dyDescent="0.2">
      <c r="A682" s="809" t="s">
        <v>3453</v>
      </c>
      <c r="B682" s="948" t="s">
        <v>3544</v>
      </c>
      <c r="C682" s="166">
        <v>2060</v>
      </c>
    </row>
    <row r="683" spans="1:3" ht="22.5" x14ac:dyDescent="0.2">
      <c r="A683" s="154" t="s">
        <v>3545</v>
      </c>
      <c r="B683" s="944" t="s">
        <v>3546</v>
      </c>
    </row>
    <row r="684" spans="1:3" x14ac:dyDescent="0.2">
      <c r="A684" s="809" t="s">
        <v>3547</v>
      </c>
      <c r="B684" s="948" t="s">
        <v>3457</v>
      </c>
      <c r="C684" s="166">
        <v>2061</v>
      </c>
    </row>
    <row r="685" spans="1:3" ht="33.75" x14ac:dyDescent="0.2">
      <c r="A685" s="154" t="s">
        <v>3548</v>
      </c>
      <c r="B685" s="944" t="s">
        <v>3549</v>
      </c>
    </row>
    <row r="686" spans="1:3" x14ac:dyDescent="0.2">
      <c r="A686" s="809" t="s">
        <v>3460</v>
      </c>
      <c r="B686" s="948" t="s">
        <v>2843</v>
      </c>
      <c r="C686" s="166">
        <v>2045</v>
      </c>
    </row>
    <row r="687" spans="1:3" ht="22.5" x14ac:dyDescent="0.2">
      <c r="A687" s="154" t="s">
        <v>3550</v>
      </c>
      <c r="B687" s="944" t="s">
        <v>3515</v>
      </c>
    </row>
    <row r="688" spans="1:3" x14ac:dyDescent="0.2">
      <c r="A688" s="942" t="s">
        <v>3462</v>
      </c>
      <c r="B688" s="948" t="s">
        <v>2843</v>
      </c>
      <c r="C688" s="2246">
        <v>2046</v>
      </c>
    </row>
    <row r="689" spans="1:3" x14ac:dyDescent="0.2">
      <c r="A689" s="942" t="s">
        <v>3551</v>
      </c>
      <c r="B689" s="2263"/>
    </row>
    <row r="690" spans="1:3" x14ac:dyDescent="0.2">
      <c r="A690" s="159" t="s">
        <v>3552</v>
      </c>
      <c r="B690" s="949" t="s">
        <v>3553</v>
      </c>
    </row>
    <row r="691" spans="1:3" x14ac:dyDescent="0.2">
      <c r="A691" s="809" t="s">
        <v>3466</v>
      </c>
      <c r="B691" s="948" t="s">
        <v>2843</v>
      </c>
      <c r="C691" s="166">
        <v>2085</v>
      </c>
    </row>
    <row r="692" spans="1:3" ht="22.5" x14ac:dyDescent="0.2">
      <c r="A692" t="s">
        <v>3554</v>
      </c>
      <c r="B692" s="944" t="s">
        <v>3515</v>
      </c>
    </row>
    <row r="693" spans="1:3" x14ac:dyDescent="0.2">
      <c r="B693" s="2263" t="s">
        <v>3468</v>
      </c>
    </row>
    <row r="694" spans="1:3" x14ac:dyDescent="0.2">
      <c r="A694" s="809" t="s">
        <v>3555</v>
      </c>
      <c r="B694" s="948" t="s">
        <v>2843</v>
      </c>
      <c r="C694" s="166">
        <v>2087</v>
      </c>
    </row>
    <row r="695" spans="1:3" ht="22.5" x14ac:dyDescent="0.2">
      <c r="A695" t="s">
        <v>3556</v>
      </c>
      <c r="B695" s="944" t="s">
        <v>3515</v>
      </c>
    </row>
    <row r="696" spans="1:3" x14ac:dyDescent="0.2">
      <c r="B696" s="2263" t="s">
        <v>3471</v>
      </c>
    </row>
    <row r="697" spans="1:3" x14ac:dyDescent="0.2">
      <c r="A697" s="809" t="s">
        <v>3472</v>
      </c>
      <c r="B697" s="948" t="s">
        <v>2843</v>
      </c>
      <c r="C697" s="166">
        <v>2090</v>
      </c>
    </row>
    <row r="698" spans="1:3" ht="22.5" x14ac:dyDescent="0.2">
      <c r="A698" t="s">
        <v>3557</v>
      </c>
      <c r="B698" s="944" t="s">
        <v>3515</v>
      </c>
    </row>
    <row r="699" spans="1:3" s="1" customFormat="1" x14ac:dyDescent="0.2">
      <c r="A699" s="1" t="s">
        <v>2706</v>
      </c>
      <c r="B699" s="1220"/>
      <c r="C699" s="2231"/>
    </row>
    <row r="700" spans="1:3" x14ac:dyDescent="0.2">
      <c r="A700" s="159" t="s">
        <v>3558</v>
      </c>
      <c r="B700" s="944" t="s">
        <v>3559</v>
      </c>
    </row>
    <row r="701" spans="1:3" x14ac:dyDescent="0.2">
      <c r="A701" s="809" t="s">
        <v>1050</v>
      </c>
      <c r="B701" s="948" t="s">
        <v>3560</v>
      </c>
      <c r="C701" s="166">
        <v>2098</v>
      </c>
    </row>
    <row r="702" spans="1:3" ht="33.75" x14ac:dyDescent="0.2">
      <c r="A702" s="159" t="s">
        <v>3561</v>
      </c>
      <c r="B702" s="944" t="s">
        <v>3562</v>
      </c>
    </row>
    <row r="703" spans="1:3" x14ac:dyDescent="0.2">
      <c r="A703" s="942" t="s">
        <v>1051</v>
      </c>
      <c r="B703" s="948" t="s">
        <v>3563</v>
      </c>
      <c r="C703" s="166">
        <v>2099</v>
      </c>
    </row>
    <row r="704" spans="1:3" ht="33.75" x14ac:dyDescent="0.2">
      <c r="A704" s="159" t="s">
        <v>3564</v>
      </c>
      <c r="B704" s="944" t="s">
        <v>3565</v>
      </c>
    </row>
    <row r="705" spans="1:3" x14ac:dyDescent="0.2">
      <c r="A705" s="1" t="s">
        <v>3566</v>
      </c>
      <c r="B705" s="944"/>
    </row>
    <row r="706" spans="1:3" x14ac:dyDescent="0.2">
      <c r="A706" s="1" t="s">
        <v>3567</v>
      </c>
      <c r="B706" s="944"/>
    </row>
    <row r="707" spans="1:3" ht="25.5" x14ac:dyDescent="0.2">
      <c r="A707" s="809" t="s">
        <v>2747</v>
      </c>
      <c r="B707" s="2263" t="s">
        <v>3568</v>
      </c>
    </row>
    <row r="708" spans="1:3" x14ac:dyDescent="0.2">
      <c r="A708" s="1973" t="s">
        <v>3569</v>
      </c>
      <c r="B708" s="948" t="s">
        <v>2843</v>
      </c>
      <c r="C708" s="166">
        <v>1764</v>
      </c>
    </row>
    <row r="709" spans="1:3" x14ac:dyDescent="0.2">
      <c r="A709" s="159" t="s">
        <v>3570</v>
      </c>
      <c r="B709" s="2263" t="s">
        <v>3571</v>
      </c>
    </row>
    <row r="710" spans="1:3" x14ac:dyDescent="0.2">
      <c r="A710" s="2071" t="s">
        <v>3572</v>
      </c>
      <c r="B710" s="948" t="s">
        <v>2843</v>
      </c>
      <c r="C710" s="166">
        <v>2026</v>
      </c>
    </row>
    <row r="711" spans="1:3" x14ac:dyDescent="0.2">
      <c r="A711" s="2010" t="s">
        <v>3573</v>
      </c>
      <c r="B711" s="2070" t="s">
        <v>3574</v>
      </c>
    </row>
    <row r="712" spans="1:3" x14ac:dyDescent="0.2">
      <c r="A712" s="809" t="s">
        <v>3575</v>
      </c>
      <c r="B712" s="950" t="s">
        <v>3576</v>
      </c>
      <c r="C712" s="166">
        <v>1766</v>
      </c>
    </row>
    <row r="713" spans="1:3" x14ac:dyDescent="0.2">
      <c r="A713" s="159" t="s">
        <v>3577</v>
      </c>
      <c r="B713" s="2263" t="s">
        <v>3578</v>
      </c>
    </row>
    <row r="714" spans="1:3" x14ac:dyDescent="0.2">
      <c r="A714" s="809" t="s">
        <v>3579</v>
      </c>
      <c r="B714" s="950" t="s">
        <v>3576</v>
      </c>
      <c r="C714" s="166">
        <v>1768</v>
      </c>
    </row>
    <row r="715" spans="1:3" x14ac:dyDescent="0.2">
      <c r="A715" s="159" t="s">
        <v>3580</v>
      </c>
      <c r="B715" s="2263" t="s">
        <v>3581</v>
      </c>
    </row>
    <row r="716" spans="1:3" x14ac:dyDescent="0.2">
      <c r="A716" s="809" t="s">
        <v>3582</v>
      </c>
      <c r="B716" s="950" t="s">
        <v>3576</v>
      </c>
      <c r="C716" s="166">
        <v>1765</v>
      </c>
    </row>
    <row r="717" spans="1:3" x14ac:dyDescent="0.2">
      <c r="A717" s="159" t="s">
        <v>3583</v>
      </c>
      <c r="B717" s="2263" t="s">
        <v>3581</v>
      </c>
    </row>
    <row r="718" spans="1:3" x14ac:dyDescent="0.2">
      <c r="A718" s="809" t="s">
        <v>3584</v>
      </c>
      <c r="B718" s="950" t="s">
        <v>3585</v>
      </c>
      <c r="C718" s="166">
        <v>1767</v>
      </c>
    </row>
    <row r="719" spans="1:3" x14ac:dyDescent="0.2">
      <c r="A719" s="159" t="s">
        <v>3586</v>
      </c>
      <c r="B719" s="2263" t="s">
        <v>3441</v>
      </c>
    </row>
    <row r="720" spans="1:3" x14ac:dyDescent="0.2">
      <c r="A720" s="942" t="s">
        <v>3587</v>
      </c>
      <c r="B720" s="1221" t="s">
        <v>3588</v>
      </c>
      <c r="C720" s="166">
        <v>1771</v>
      </c>
    </row>
    <row r="721" spans="1:3" x14ac:dyDescent="0.2">
      <c r="A721" s="159" t="s">
        <v>3589</v>
      </c>
      <c r="B721" s="2263" t="s">
        <v>3037</v>
      </c>
    </row>
    <row r="722" spans="1:3" x14ac:dyDescent="0.2">
      <c r="A722" s="942" t="s">
        <v>3590</v>
      </c>
      <c r="B722" s="1221" t="s">
        <v>3588</v>
      </c>
      <c r="C722" s="166">
        <v>1772</v>
      </c>
    </row>
    <row r="723" spans="1:3" x14ac:dyDescent="0.2">
      <c r="A723" s="159" t="s">
        <v>3591</v>
      </c>
      <c r="B723" s="2263" t="s">
        <v>3037</v>
      </c>
    </row>
    <row r="724" spans="1:3" x14ac:dyDescent="0.2">
      <c r="A724" s="809" t="s">
        <v>3592</v>
      </c>
      <c r="B724" s="950" t="s">
        <v>3576</v>
      </c>
      <c r="C724" s="166">
        <v>1769</v>
      </c>
    </row>
    <row r="725" spans="1:3" x14ac:dyDescent="0.2">
      <c r="A725" s="159" t="s">
        <v>3593</v>
      </c>
      <c r="B725" s="2263" t="s">
        <v>3581</v>
      </c>
    </row>
    <row r="726" spans="1:3" x14ac:dyDescent="0.2">
      <c r="A726" s="809" t="s">
        <v>3594</v>
      </c>
      <c r="B726" s="2263"/>
    </row>
    <row r="727" spans="1:3" x14ac:dyDescent="0.2">
      <c r="A727" s="159" t="s">
        <v>3595</v>
      </c>
      <c r="B727" s="2263" t="s">
        <v>3596</v>
      </c>
    </row>
    <row r="728" spans="1:3" x14ac:dyDescent="0.2">
      <c r="A728" s="1" t="s">
        <v>3597</v>
      </c>
      <c r="B728" s="2263"/>
    </row>
    <row r="729" spans="1:3" x14ac:dyDescent="0.2">
      <c r="A729" s="809" t="s">
        <v>3598</v>
      </c>
      <c r="B729" s="948" t="s">
        <v>3259</v>
      </c>
      <c r="C729" s="2246" t="s">
        <v>2402</v>
      </c>
    </row>
    <row r="730" spans="1:3" x14ac:dyDescent="0.2">
      <c r="B730" s="2263"/>
    </row>
    <row r="731" spans="1:3" x14ac:dyDescent="0.2">
      <c r="A731" s="809" t="s">
        <v>3599</v>
      </c>
      <c r="B731" s="948" t="s">
        <v>2843</v>
      </c>
      <c r="C731" s="2246" t="s">
        <v>2402</v>
      </c>
    </row>
    <row r="732" spans="1:3" x14ac:dyDescent="0.2">
      <c r="A732" t="s">
        <v>3600</v>
      </c>
      <c r="B732" s="2263" t="s">
        <v>3262</v>
      </c>
    </row>
    <row r="733" spans="1:3" x14ac:dyDescent="0.2">
      <c r="A733" t="s">
        <v>3601</v>
      </c>
      <c r="B733" s="2263" t="s">
        <v>3262</v>
      </c>
    </row>
    <row r="734" spans="1:3" x14ac:dyDescent="0.2">
      <c r="A734" t="s">
        <v>3602</v>
      </c>
      <c r="B734" s="2263" t="s">
        <v>3262</v>
      </c>
    </row>
    <row r="735" spans="1:3" x14ac:dyDescent="0.2">
      <c r="A735" t="s">
        <v>3603</v>
      </c>
      <c r="B735" s="2263" t="s">
        <v>3262</v>
      </c>
    </row>
    <row r="736" spans="1:3" x14ac:dyDescent="0.2">
      <c r="A736" t="s">
        <v>3604</v>
      </c>
      <c r="B736" s="2263" t="s">
        <v>3262</v>
      </c>
    </row>
    <row r="737" spans="1:3" x14ac:dyDescent="0.2">
      <c r="A737" t="s">
        <v>3605</v>
      </c>
      <c r="B737" s="2263" t="s">
        <v>3262</v>
      </c>
    </row>
    <row r="738" spans="1:3" x14ac:dyDescent="0.2">
      <c r="A738" t="s">
        <v>3606</v>
      </c>
      <c r="B738" s="2263" t="s">
        <v>3262</v>
      </c>
    </row>
    <row r="739" spans="1:3" x14ac:dyDescent="0.2">
      <c r="A739" t="s">
        <v>3607</v>
      </c>
      <c r="B739" s="2263" t="s">
        <v>3262</v>
      </c>
    </row>
    <row r="740" spans="1:3" x14ac:dyDescent="0.2">
      <c r="A740" t="s">
        <v>3608</v>
      </c>
      <c r="B740" s="2263" t="s">
        <v>3262</v>
      </c>
    </row>
    <row r="741" spans="1:3" x14ac:dyDescent="0.2">
      <c r="A741" s="809" t="s">
        <v>3609</v>
      </c>
      <c r="B741" s="948" t="s">
        <v>3272</v>
      </c>
      <c r="C741" s="2246" t="s">
        <v>2402</v>
      </c>
    </row>
    <row r="742" spans="1:3" x14ac:dyDescent="0.2">
      <c r="A742" s="159" t="s">
        <v>3610</v>
      </c>
      <c r="B742" s="2263" t="s">
        <v>2921</v>
      </c>
    </row>
    <row r="743" spans="1:3" x14ac:dyDescent="0.2">
      <c r="A743" t="s">
        <v>3611</v>
      </c>
      <c r="B743" s="2263"/>
    </row>
    <row r="744" spans="1:3" x14ac:dyDescent="0.2">
      <c r="A744" t="s">
        <v>3612</v>
      </c>
      <c r="B744" s="2263" t="s">
        <v>3613</v>
      </c>
    </row>
    <row r="745" spans="1:3" x14ac:dyDescent="0.2">
      <c r="A745" t="s">
        <v>3614</v>
      </c>
      <c r="B745" s="2263" t="s">
        <v>3276</v>
      </c>
    </row>
    <row r="746" spans="1:3" x14ac:dyDescent="0.2">
      <c r="A746" t="s">
        <v>3615</v>
      </c>
      <c r="B746" s="2263"/>
    </row>
    <row r="747" spans="1:3" x14ac:dyDescent="0.2">
      <c r="A747" t="s">
        <v>3616</v>
      </c>
      <c r="B747" s="2263"/>
    </row>
    <row r="748" spans="1:3" x14ac:dyDescent="0.2">
      <c r="A748" t="s">
        <v>3617</v>
      </c>
      <c r="B748" s="2263"/>
    </row>
    <row r="749" spans="1:3" x14ac:dyDescent="0.2">
      <c r="A749" t="s">
        <v>3618</v>
      </c>
      <c r="B749" s="2263"/>
    </row>
    <row r="750" spans="1:3" x14ac:dyDescent="0.2">
      <c r="A750" t="s">
        <v>3619</v>
      </c>
      <c r="B750" s="2263"/>
    </row>
    <row r="751" spans="1:3" x14ac:dyDescent="0.2">
      <c r="A751" t="s">
        <v>3620</v>
      </c>
      <c r="B751" s="2263"/>
    </row>
    <row r="752" spans="1:3" x14ac:dyDescent="0.2">
      <c r="A752" t="s">
        <v>3621</v>
      </c>
      <c r="B752" s="2263"/>
    </row>
    <row r="753" spans="1:2" x14ac:dyDescent="0.2">
      <c r="A753" t="s">
        <v>3622</v>
      </c>
      <c r="B753" s="2263"/>
    </row>
    <row r="754" spans="1:2" x14ac:dyDescent="0.2">
      <c r="A754" t="s">
        <v>3623</v>
      </c>
      <c r="B754" s="2263"/>
    </row>
    <row r="755" spans="1:2" x14ac:dyDescent="0.2">
      <c r="A755" t="s">
        <v>3624</v>
      </c>
      <c r="B755" s="2263"/>
    </row>
    <row r="756" spans="1:2" x14ac:dyDescent="0.2">
      <c r="A756" t="s">
        <v>3625</v>
      </c>
      <c r="B756" s="2263"/>
    </row>
    <row r="757" spans="1:2" x14ac:dyDescent="0.2">
      <c r="A757" t="s">
        <v>3626</v>
      </c>
      <c r="B757" s="2263"/>
    </row>
    <row r="758" spans="1:2" x14ac:dyDescent="0.2">
      <c r="A758" t="s">
        <v>3627</v>
      </c>
      <c r="B758" s="2263"/>
    </row>
    <row r="759" spans="1:2" x14ac:dyDescent="0.2">
      <c r="A759" t="s">
        <v>3628</v>
      </c>
      <c r="B759" s="2263"/>
    </row>
    <row r="760" spans="1:2" x14ac:dyDescent="0.2">
      <c r="A760" t="s">
        <v>3629</v>
      </c>
      <c r="B760" s="2263"/>
    </row>
    <row r="761" spans="1:2" x14ac:dyDescent="0.2">
      <c r="A761" t="s">
        <v>3630</v>
      </c>
      <c r="B761" s="2263"/>
    </row>
    <row r="762" spans="1:2" x14ac:dyDescent="0.2">
      <c r="A762" t="s">
        <v>3631</v>
      </c>
      <c r="B762" s="2263"/>
    </row>
    <row r="763" spans="1:2" x14ac:dyDescent="0.2">
      <c r="A763" t="s">
        <v>3632</v>
      </c>
      <c r="B763" s="2263" t="s">
        <v>3633</v>
      </c>
    </row>
    <row r="764" spans="1:2" x14ac:dyDescent="0.2">
      <c r="A764" t="s">
        <v>3634</v>
      </c>
      <c r="B764" s="2263" t="s">
        <v>3635</v>
      </c>
    </row>
    <row r="765" spans="1:2" x14ac:dyDescent="0.2">
      <c r="A765" t="s">
        <v>3636</v>
      </c>
      <c r="B765" s="2263" t="s">
        <v>3637</v>
      </c>
    </row>
    <row r="766" spans="1:2" x14ac:dyDescent="0.2">
      <c r="A766" t="s">
        <v>3638</v>
      </c>
      <c r="B766" s="2263" t="s">
        <v>3637</v>
      </c>
    </row>
    <row r="767" spans="1:2" x14ac:dyDescent="0.2">
      <c r="A767" s="159" t="s">
        <v>3639</v>
      </c>
      <c r="B767" s="2263" t="s">
        <v>3637</v>
      </c>
    </row>
    <row r="768" spans="1:2" x14ac:dyDescent="0.2">
      <c r="A768" t="s">
        <v>3640</v>
      </c>
      <c r="B768" s="2263" t="s">
        <v>3637</v>
      </c>
    </row>
    <row r="769" spans="1:3" x14ac:dyDescent="0.2">
      <c r="A769" t="s">
        <v>3641</v>
      </c>
      <c r="B769" s="2263" t="s">
        <v>3642</v>
      </c>
    </row>
    <row r="770" spans="1:3" x14ac:dyDescent="0.2">
      <c r="A770" t="s">
        <v>3643</v>
      </c>
      <c r="B770" s="2263" t="s">
        <v>3644</v>
      </c>
    </row>
    <row r="771" spans="1:3" x14ac:dyDescent="0.2">
      <c r="A771" t="s">
        <v>3645</v>
      </c>
      <c r="B771" s="2263" t="s">
        <v>3646</v>
      </c>
    </row>
    <row r="772" spans="1:3" x14ac:dyDescent="0.2">
      <c r="A772" t="s">
        <v>3647</v>
      </c>
      <c r="B772" s="2263" t="s">
        <v>3648</v>
      </c>
    </row>
    <row r="773" spans="1:3" x14ac:dyDescent="0.2">
      <c r="A773" t="s">
        <v>3649</v>
      </c>
      <c r="B773" s="957" t="s">
        <v>3321</v>
      </c>
    </row>
    <row r="774" spans="1:3" x14ac:dyDescent="0.2">
      <c r="A774" s="159" t="s">
        <v>3650</v>
      </c>
      <c r="B774" s="2263" t="s">
        <v>3651</v>
      </c>
    </row>
    <row r="775" spans="1:3" x14ac:dyDescent="0.2">
      <c r="A775" t="s">
        <v>3652</v>
      </c>
      <c r="B775" s="2263" t="s">
        <v>3653</v>
      </c>
    </row>
    <row r="776" spans="1:3" x14ac:dyDescent="0.2">
      <c r="A776" t="s">
        <v>3654</v>
      </c>
      <c r="B776" s="2263" t="s">
        <v>3653</v>
      </c>
    </row>
    <row r="777" spans="1:3" x14ac:dyDescent="0.2">
      <c r="A777" t="s">
        <v>3655</v>
      </c>
      <c r="B777" s="2263" t="s">
        <v>3653</v>
      </c>
    </row>
    <row r="778" spans="1:3" x14ac:dyDescent="0.2">
      <c r="A778" t="s">
        <v>3656</v>
      </c>
      <c r="B778" s="2263" t="s">
        <v>3648</v>
      </c>
    </row>
    <row r="779" spans="1:3" x14ac:dyDescent="0.2">
      <c r="A779" t="s">
        <v>3657</v>
      </c>
      <c r="B779" s="957" t="s">
        <v>3321</v>
      </c>
    </row>
    <row r="780" spans="1:3" x14ac:dyDescent="0.2">
      <c r="A780" s="809" t="s">
        <v>3322</v>
      </c>
      <c r="B780" s="948" t="s">
        <v>3658</v>
      </c>
      <c r="C780" s="2246" t="s">
        <v>2402</v>
      </c>
    </row>
    <row r="781" spans="1:3" x14ac:dyDescent="0.2">
      <c r="A781" t="s">
        <v>3659</v>
      </c>
      <c r="B781" s="2263"/>
    </row>
    <row r="782" spans="1:3" x14ac:dyDescent="0.2">
      <c r="A782" t="s">
        <v>3660</v>
      </c>
      <c r="B782" s="2263"/>
    </row>
    <row r="783" spans="1:3" x14ac:dyDescent="0.2">
      <c r="A783" t="s">
        <v>3661</v>
      </c>
      <c r="B783" s="2263" t="s">
        <v>3348</v>
      </c>
    </row>
    <row r="784" spans="1:3" x14ac:dyDescent="0.2">
      <c r="A784" t="s">
        <v>3662</v>
      </c>
      <c r="B784" s="2263"/>
    </row>
    <row r="785" spans="1:3" x14ac:dyDescent="0.2">
      <c r="A785" t="s">
        <v>3663</v>
      </c>
      <c r="B785" s="2263"/>
    </row>
    <row r="786" spans="1:3" x14ac:dyDescent="0.2">
      <c r="A786" t="s">
        <v>3664</v>
      </c>
      <c r="B786" s="2263"/>
    </row>
    <row r="787" spans="1:3" x14ac:dyDescent="0.2">
      <c r="A787" t="s">
        <v>3665</v>
      </c>
      <c r="B787" s="2263"/>
    </row>
    <row r="788" spans="1:3" x14ac:dyDescent="0.2">
      <c r="A788" t="s">
        <v>3666</v>
      </c>
      <c r="B788" s="2263"/>
    </row>
    <row r="789" spans="1:3" x14ac:dyDescent="0.2">
      <c r="A789" t="s">
        <v>3667</v>
      </c>
      <c r="B789" s="2263"/>
    </row>
    <row r="790" spans="1:3" x14ac:dyDescent="0.2">
      <c r="A790" t="s">
        <v>3668</v>
      </c>
      <c r="B790" s="2263"/>
    </row>
    <row r="791" spans="1:3" x14ac:dyDescent="0.2">
      <c r="A791" s="809" t="s">
        <v>3669</v>
      </c>
      <c r="B791" s="948" t="s">
        <v>2843</v>
      </c>
      <c r="C791" s="2246" t="s">
        <v>2402</v>
      </c>
    </row>
    <row r="792" spans="1:3" x14ac:dyDescent="0.2">
      <c r="A792" s="159" t="s">
        <v>3670</v>
      </c>
      <c r="B792" s="2263" t="s">
        <v>3671</v>
      </c>
    </row>
    <row r="793" spans="1:3" x14ac:dyDescent="0.2">
      <c r="A793" s="809" t="s">
        <v>3672</v>
      </c>
      <c r="B793" s="948" t="s">
        <v>3673</v>
      </c>
      <c r="C793" s="2246" t="s">
        <v>2402</v>
      </c>
    </row>
    <row r="794" spans="1:3" x14ac:dyDescent="0.2">
      <c r="A794" s="159" t="s">
        <v>3674</v>
      </c>
      <c r="B794" s="2263" t="s">
        <v>3671</v>
      </c>
    </row>
    <row r="795" spans="1:3" x14ac:dyDescent="0.2">
      <c r="A795" s="809" t="s">
        <v>3675</v>
      </c>
      <c r="B795" s="948" t="s">
        <v>2843</v>
      </c>
      <c r="C795" s="2246" t="s">
        <v>2402</v>
      </c>
    </row>
    <row r="796" spans="1:3" x14ac:dyDescent="0.2">
      <c r="A796" t="s">
        <v>3676</v>
      </c>
      <c r="B796" s="2263"/>
    </row>
    <row r="797" spans="1:3" x14ac:dyDescent="0.2">
      <c r="A797" t="s">
        <v>3677</v>
      </c>
      <c r="B797" s="2263"/>
    </row>
    <row r="798" spans="1:3" x14ac:dyDescent="0.2">
      <c r="A798" s="1" t="s">
        <v>3678</v>
      </c>
      <c r="B798" s="2263"/>
    </row>
    <row r="799" spans="1:3" x14ac:dyDescent="0.2">
      <c r="A799" s="809" t="s">
        <v>3679</v>
      </c>
      <c r="B799" s="948" t="s">
        <v>2843</v>
      </c>
      <c r="C799" s="2246" t="s">
        <v>2402</v>
      </c>
    </row>
    <row r="800" spans="1:3" x14ac:dyDescent="0.2">
      <c r="A800" t="s">
        <v>3680</v>
      </c>
      <c r="B800" s="2263" t="s">
        <v>3681</v>
      </c>
    </row>
    <row r="801" spans="1:3" x14ac:dyDescent="0.2">
      <c r="A801" t="s">
        <v>3682</v>
      </c>
      <c r="B801" s="2263" t="s">
        <v>3681</v>
      </c>
    </row>
    <row r="802" spans="1:3" x14ac:dyDescent="0.2">
      <c r="A802" t="s">
        <v>3683</v>
      </c>
      <c r="B802" s="2263" t="s">
        <v>3681</v>
      </c>
    </row>
    <row r="803" spans="1:3" x14ac:dyDescent="0.2">
      <c r="A803" s="809" t="s">
        <v>3684</v>
      </c>
      <c r="B803" s="948" t="s">
        <v>3673</v>
      </c>
      <c r="C803" s="2246" t="s">
        <v>2402</v>
      </c>
    </row>
    <row r="804" spans="1:3" x14ac:dyDescent="0.2">
      <c r="A804" t="s">
        <v>3685</v>
      </c>
      <c r="B804" s="2263"/>
    </row>
    <row r="805" spans="1:3" x14ac:dyDescent="0.2">
      <c r="A805" t="s">
        <v>3686</v>
      </c>
      <c r="B805" s="2263"/>
    </row>
    <row r="806" spans="1:3" x14ac:dyDescent="0.2">
      <c r="A806" t="s">
        <v>3687</v>
      </c>
      <c r="B806" s="2263"/>
    </row>
    <row r="807" spans="1:3" x14ac:dyDescent="0.2">
      <c r="A807" t="s">
        <v>3688</v>
      </c>
      <c r="B807" s="2263"/>
    </row>
    <row r="808" spans="1:3" x14ac:dyDescent="0.2">
      <c r="A808" s="159" t="s">
        <v>3689</v>
      </c>
      <c r="B808" s="2263"/>
    </row>
    <row r="809" spans="1:3" x14ac:dyDescent="0.2">
      <c r="A809" t="s">
        <v>3690</v>
      </c>
      <c r="B809" s="2263"/>
    </row>
    <row r="810" spans="1:3" x14ac:dyDescent="0.2">
      <c r="A810" t="s">
        <v>3691</v>
      </c>
      <c r="B810" s="2263"/>
    </row>
    <row r="811" spans="1:3" x14ac:dyDescent="0.2">
      <c r="A811" t="s">
        <v>3692</v>
      </c>
      <c r="B811" s="2263"/>
    </row>
    <row r="812" spans="1:3" x14ac:dyDescent="0.2">
      <c r="A812" t="s">
        <v>3693</v>
      </c>
      <c r="B812" s="2263"/>
    </row>
    <row r="813" spans="1:3" x14ac:dyDescent="0.2">
      <c r="A813" t="s">
        <v>3694</v>
      </c>
      <c r="B813" s="2263"/>
    </row>
    <row r="814" spans="1:3" x14ac:dyDescent="0.2">
      <c r="A814" t="s">
        <v>3695</v>
      </c>
      <c r="B814" s="2263"/>
    </row>
    <row r="815" spans="1:3" x14ac:dyDescent="0.2">
      <c r="A815" t="s">
        <v>3696</v>
      </c>
      <c r="B815" s="2263"/>
    </row>
    <row r="816" spans="1:3" x14ac:dyDescent="0.2">
      <c r="A816" t="s">
        <v>3697</v>
      </c>
      <c r="B816" s="2263"/>
    </row>
    <row r="817" spans="1:2" x14ac:dyDescent="0.2">
      <c r="A817" t="s">
        <v>3698</v>
      </c>
      <c r="B817" s="2263"/>
    </row>
    <row r="818" spans="1:2" x14ac:dyDescent="0.2">
      <c r="A818" t="s">
        <v>3699</v>
      </c>
      <c r="B818" s="2263"/>
    </row>
    <row r="819" spans="1:2" x14ac:dyDescent="0.2">
      <c r="A819" t="s">
        <v>3700</v>
      </c>
      <c r="B819" s="2263"/>
    </row>
    <row r="820" spans="1:2" x14ac:dyDescent="0.2">
      <c r="A820" t="s">
        <v>3701</v>
      </c>
      <c r="B820" s="2263"/>
    </row>
    <row r="821" spans="1:2" x14ac:dyDescent="0.2">
      <c r="A821" t="s">
        <v>3702</v>
      </c>
      <c r="B821" s="2263"/>
    </row>
    <row r="822" spans="1:2" x14ac:dyDescent="0.2">
      <c r="A822" t="s">
        <v>3703</v>
      </c>
      <c r="B822" s="2263"/>
    </row>
    <row r="823" spans="1:2" x14ac:dyDescent="0.2">
      <c r="A823" t="s">
        <v>3704</v>
      </c>
      <c r="B823" s="2263"/>
    </row>
    <row r="824" spans="1:2" x14ac:dyDescent="0.2">
      <c r="A824" t="s">
        <v>3705</v>
      </c>
      <c r="B824" s="2263"/>
    </row>
    <row r="825" spans="1:2" x14ac:dyDescent="0.2">
      <c r="A825" t="s">
        <v>3706</v>
      </c>
      <c r="B825" s="2263"/>
    </row>
    <row r="826" spans="1:2" x14ac:dyDescent="0.2">
      <c r="A826" t="s">
        <v>3707</v>
      </c>
      <c r="B826" s="2263"/>
    </row>
    <row r="827" spans="1:2" x14ac:dyDescent="0.2">
      <c r="A827" t="s">
        <v>3708</v>
      </c>
      <c r="B827" s="2263"/>
    </row>
    <row r="828" spans="1:2" x14ac:dyDescent="0.2">
      <c r="A828" t="s">
        <v>3709</v>
      </c>
      <c r="B828" s="2263"/>
    </row>
    <row r="829" spans="1:2" x14ac:dyDescent="0.2">
      <c r="A829" t="s">
        <v>3710</v>
      </c>
      <c r="B829" s="2263"/>
    </row>
    <row r="830" spans="1:2" x14ac:dyDescent="0.2">
      <c r="A830" t="s">
        <v>3711</v>
      </c>
      <c r="B830" s="2263"/>
    </row>
    <row r="831" spans="1:2" x14ac:dyDescent="0.2">
      <c r="A831" t="s">
        <v>3712</v>
      </c>
      <c r="B831" s="2263"/>
    </row>
    <row r="832" spans="1:2" x14ac:dyDescent="0.2">
      <c r="A832" t="s">
        <v>3713</v>
      </c>
      <c r="B832" s="2263"/>
    </row>
    <row r="833" spans="1:2" x14ac:dyDescent="0.2">
      <c r="A833" t="s">
        <v>3714</v>
      </c>
      <c r="B833" s="2263"/>
    </row>
    <row r="834" spans="1:2" x14ac:dyDescent="0.2">
      <c r="A834" t="s">
        <v>3715</v>
      </c>
      <c r="B834" s="2263"/>
    </row>
    <row r="835" spans="1:2" x14ac:dyDescent="0.2">
      <c r="A835" t="s">
        <v>3716</v>
      </c>
      <c r="B835" s="2263"/>
    </row>
    <row r="836" spans="1:2" x14ac:dyDescent="0.2">
      <c r="A836" t="s">
        <v>3717</v>
      </c>
      <c r="B836" s="2263"/>
    </row>
    <row r="837" spans="1:2" x14ac:dyDescent="0.2">
      <c r="A837" t="s">
        <v>3718</v>
      </c>
      <c r="B837" s="2263"/>
    </row>
    <row r="838" spans="1:2" x14ac:dyDescent="0.2">
      <c r="A838" t="s">
        <v>3719</v>
      </c>
      <c r="B838" s="2263"/>
    </row>
    <row r="839" spans="1:2" x14ac:dyDescent="0.2">
      <c r="A839" t="s">
        <v>3720</v>
      </c>
      <c r="B839" s="2263"/>
    </row>
    <row r="840" spans="1:2" x14ac:dyDescent="0.2">
      <c r="A840" t="s">
        <v>3721</v>
      </c>
      <c r="B840" s="2263"/>
    </row>
    <row r="841" spans="1:2" x14ac:dyDescent="0.2">
      <c r="A841" t="s">
        <v>3722</v>
      </c>
      <c r="B841" s="2263"/>
    </row>
    <row r="842" spans="1:2" x14ac:dyDescent="0.2">
      <c r="A842" t="s">
        <v>3723</v>
      </c>
      <c r="B842" s="2263"/>
    </row>
    <row r="843" spans="1:2" x14ac:dyDescent="0.2">
      <c r="A843" t="s">
        <v>3724</v>
      </c>
      <c r="B843" s="2263"/>
    </row>
    <row r="844" spans="1:2" x14ac:dyDescent="0.2">
      <c r="A844" t="s">
        <v>3725</v>
      </c>
      <c r="B844" s="2263"/>
    </row>
    <row r="845" spans="1:2" x14ac:dyDescent="0.2">
      <c r="A845" t="s">
        <v>3726</v>
      </c>
      <c r="B845" s="2263"/>
    </row>
    <row r="846" spans="1:2" x14ac:dyDescent="0.2">
      <c r="A846" t="s">
        <v>3727</v>
      </c>
      <c r="B846" s="2263"/>
    </row>
    <row r="847" spans="1:2" x14ac:dyDescent="0.2">
      <c r="A847" t="s">
        <v>3728</v>
      </c>
      <c r="B847" s="2263"/>
    </row>
    <row r="848" spans="1:2" x14ac:dyDescent="0.2">
      <c r="A848" t="s">
        <v>3729</v>
      </c>
      <c r="B848" s="2263"/>
    </row>
    <row r="849" spans="1:2" x14ac:dyDescent="0.2">
      <c r="A849" t="s">
        <v>3730</v>
      </c>
      <c r="B849" s="2263"/>
    </row>
    <row r="850" spans="1:2" x14ac:dyDescent="0.2">
      <c r="A850" t="s">
        <v>3731</v>
      </c>
      <c r="B850" s="2263"/>
    </row>
    <row r="851" spans="1:2" x14ac:dyDescent="0.2">
      <c r="A851" t="s">
        <v>3732</v>
      </c>
      <c r="B851" s="2263"/>
    </row>
    <row r="852" spans="1:2" x14ac:dyDescent="0.2">
      <c r="A852" t="s">
        <v>3733</v>
      </c>
      <c r="B852" s="2263"/>
    </row>
    <row r="853" spans="1:2" x14ac:dyDescent="0.2">
      <c r="A853" t="s">
        <v>3734</v>
      </c>
      <c r="B853" s="2263"/>
    </row>
    <row r="854" spans="1:2" x14ac:dyDescent="0.2">
      <c r="A854" t="s">
        <v>3735</v>
      </c>
      <c r="B854" s="2263"/>
    </row>
    <row r="855" spans="1:2" x14ac:dyDescent="0.2">
      <c r="A855" t="s">
        <v>3736</v>
      </c>
      <c r="B855" s="2263"/>
    </row>
    <row r="856" spans="1:2" x14ac:dyDescent="0.2">
      <c r="A856" t="s">
        <v>3737</v>
      </c>
      <c r="B856" s="2263"/>
    </row>
    <row r="857" spans="1:2" x14ac:dyDescent="0.2">
      <c r="A857" t="s">
        <v>3738</v>
      </c>
      <c r="B857" s="2263"/>
    </row>
    <row r="858" spans="1:2" x14ac:dyDescent="0.2">
      <c r="A858" t="s">
        <v>3739</v>
      </c>
      <c r="B858" s="2263"/>
    </row>
    <row r="859" spans="1:2" x14ac:dyDescent="0.2">
      <c r="A859" t="s">
        <v>3740</v>
      </c>
      <c r="B859" s="2263"/>
    </row>
    <row r="860" spans="1:2" x14ac:dyDescent="0.2">
      <c r="A860" t="s">
        <v>3741</v>
      </c>
      <c r="B860" s="2263"/>
    </row>
    <row r="861" spans="1:2" x14ac:dyDescent="0.2">
      <c r="A861" t="s">
        <v>3742</v>
      </c>
      <c r="B861" s="2263"/>
    </row>
    <row r="862" spans="1:2" x14ac:dyDescent="0.2">
      <c r="A862" t="s">
        <v>3743</v>
      </c>
      <c r="B862" s="2263"/>
    </row>
    <row r="863" spans="1:2" x14ac:dyDescent="0.2">
      <c r="A863" t="s">
        <v>3744</v>
      </c>
      <c r="B863" s="2263"/>
    </row>
    <row r="864" spans="1:2" x14ac:dyDescent="0.2">
      <c r="A864" t="s">
        <v>3745</v>
      </c>
      <c r="B864" s="2263"/>
    </row>
    <row r="865" spans="1:2" x14ac:dyDescent="0.2">
      <c r="A865" t="s">
        <v>3746</v>
      </c>
      <c r="B865" s="2263"/>
    </row>
    <row r="866" spans="1:2" x14ac:dyDescent="0.2">
      <c r="A866" t="s">
        <v>3747</v>
      </c>
      <c r="B866" s="2263"/>
    </row>
    <row r="867" spans="1:2" x14ac:dyDescent="0.2">
      <c r="A867" t="s">
        <v>3748</v>
      </c>
      <c r="B867" s="2263"/>
    </row>
    <row r="868" spans="1:2" x14ac:dyDescent="0.2">
      <c r="A868" t="s">
        <v>3749</v>
      </c>
      <c r="B868" s="2263"/>
    </row>
    <row r="869" spans="1:2" x14ac:dyDescent="0.2">
      <c r="A869" t="s">
        <v>3750</v>
      </c>
      <c r="B869" s="2263"/>
    </row>
    <row r="870" spans="1:2" x14ac:dyDescent="0.2">
      <c r="A870" t="s">
        <v>3751</v>
      </c>
      <c r="B870" s="2263"/>
    </row>
    <row r="871" spans="1:2" x14ac:dyDescent="0.2">
      <c r="A871" t="s">
        <v>3752</v>
      </c>
      <c r="B871" s="2263"/>
    </row>
    <row r="872" spans="1:2" x14ac:dyDescent="0.2">
      <c r="A872" t="s">
        <v>3753</v>
      </c>
      <c r="B872" s="2263"/>
    </row>
    <row r="873" spans="1:2" x14ac:dyDescent="0.2">
      <c r="A873" t="s">
        <v>3754</v>
      </c>
      <c r="B873" s="2263"/>
    </row>
    <row r="874" spans="1:2" x14ac:dyDescent="0.2">
      <c r="A874" t="s">
        <v>3755</v>
      </c>
      <c r="B874" s="2263"/>
    </row>
    <row r="875" spans="1:2" x14ac:dyDescent="0.2">
      <c r="A875" t="s">
        <v>3756</v>
      </c>
      <c r="B875" s="2263"/>
    </row>
    <row r="876" spans="1:2" x14ac:dyDescent="0.2">
      <c r="A876" t="s">
        <v>3757</v>
      </c>
      <c r="B876" s="2263"/>
    </row>
    <row r="877" spans="1:2" x14ac:dyDescent="0.2">
      <c r="A877" t="s">
        <v>3758</v>
      </c>
      <c r="B877" s="2263"/>
    </row>
    <row r="878" spans="1:2" x14ac:dyDescent="0.2">
      <c r="A878" t="s">
        <v>3759</v>
      </c>
      <c r="B878" s="2263"/>
    </row>
    <row r="879" spans="1:2" x14ac:dyDescent="0.2">
      <c r="A879" t="s">
        <v>3760</v>
      </c>
      <c r="B879" s="2263"/>
    </row>
    <row r="880" spans="1:2" x14ac:dyDescent="0.2">
      <c r="A880" t="s">
        <v>3761</v>
      </c>
      <c r="B880" s="2263"/>
    </row>
    <row r="881" spans="1:3" x14ac:dyDescent="0.2">
      <c r="A881" t="s">
        <v>3762</v>
      </c>
      <c r="B881" s="2263"/>
    </row>
    <row r="882" spans="1:3" x14ac:dyDescent="0.2">
      <c r="A882" t="s">
        <v>3763</v>
      </c>
      <c r="B882" s="2263"/>
    </row>
    <row r="883" spans="1:3" x14ac:dyDescent="0.2">
      <c r="A883" t="s">
        <v>3764</v>
      </c>
      <c r="B883" s="2263"/>
    </row>
    <row r="884" spans="1:3" x14ac:dyDescent="0.2">
      <c r="A884" s="954"/>
      <c r="B884" s="159"/>
    </row>
    <row r="885" spans="1:3" x14ac:dyDescent="0.2">
      <c r="A885" s="159" t="s">
        <v>3765</v>
      </c>
      <c r="B885" s="159"/>
    </row>
    <row r="886" spans="1:3" x14ac:dyDescent="0.2">
      <c r="A886" s="954" t="s">
        <v>3766</v>
      </c>
      <c r="B886" s="159"/>
    </row>
    <row r="887" spans="1:3" x14ac:dyDescent="0.2">
      <c r="A887" s="159" t="s">
        <v>3767</v>
      </c>
      <c r="B887" s="159"/>
    </row>
    <row r="888" spans="1:3" ht="14.25" customHeight="1" x14ac:dyDescent="0.2">
      <c r="A888" s="159"/>
      <c r="B888" s="909"/>
    </row>
    <row r="889" spans="1:3" ht="18.75" thickBot="1" x14ac:dyDescent="0.3">
      <c r="A889" s="811" t="s">
        <v>3768</v>
      </c>
      <c r="B889" s="924" t="s">
        <v>3769</v>
      </c>
    </row>
    <row r="890" spans="1:3" x14ac:dyDescent="0.2">
      <c r="A890" s="814" t="s">
        <v>2765</v>
      </c>
      <c r="B890" s="1437" t="s">
        <v>3770</v>
      </c>
    </row>
    <row r="891" spans="1:3" x14ac:dyDescent="0.2">
      <c r="A891" s="812" t="s">
        <v>3771</v>
      </c>
      <c r="B891" s="1975" t="s">
        <v>2841</v>
      </c>
    </row>
    <row r="892" spans="1:3" ht="13.5" thickBot="1" x14ac:dyDescent="0.25">
      <c r="A892" s="812" t="s">
        <v>2767</v>
      </c>
      <c r="B892" s="1976" t="s">
        <v>3772</v>
      </c>
      <c r="C892" s="166">
        <v>2310</v>
      </c>
    </row>
    <row r="893" spans="1:3" x14ac:dyDescent="0.2">
      <c r="A893" s="909" t="s">
        <v>3773</v>
      </c>
      <c r="B893" s="909"/>
    </row>
    <row r="894" spans="1:3" x14ac:dyDescent="0.2">
      <c r="A894" s="909" t="s">
        <v>3774</v>
      </c>
      <c r="B894" s="909"/>
    </row>
    <row r="895" spans="1:3" x14ac:dyDescent="0.2">
      <c r="A895" t="s">
        <v>3775</v>
      </c>
      <c r="B895"/>
    </row>
    <row r="896" spans="1:3" x14ac:dyDescent="0.2">
      <c r="A896" t="s">
        <v>3776</v>
      </c>
      <c r="B896"/>
    </row>
    <row r="897" spans="1:2" x14ac:dyDescent="0.2">
      <c r="A897" t="s">
        <v>3777</v>
      </c>
      <c r="B897"/>
    </row>
    <row r="898" spans="1:2" x14ac:dyDescent="0.2">
      <c r="A898" t="s">
        <v>3778</v>
      </c>
      <c r="B898"/>
    </row>
    <row r="899" spans="1:2" x14ac:dyDescent="0.2">
      <c r="A899" t="s">
        <v>3779</v>
      </c>
      <c r="B899"/>
    </row>
    <row r="900" spans="1:2" x14ac:dyDescent="0.2">
      <c r="A900" t="s">
        <v>3780</v>
      </c>
      <c r="B900"/>
    </row>
    <row r="901" spans="1:2" x14ac:dyDescent="0.2">
      <c r="A901" t="s">
        <v>3781</v>
      </c>
      <c r="B901"/>
    </row>
    <row r="902" spans="1:2" x14ac:dyDescent="0.2">
      <c r="A902" t="s">
        <v>3782</v>
      </c>
      <c r="B902"/>
    </row>
    <row r="903" spans="1:2" x14ac:dyDescent="0.2">
      <c r="A903" t="s">
        <v>3783</v>
      </c>
      <c r="B903"/>
    </row>
    <row r="904" spans="1:2" x14ac:dyDescent="0.2">
      <c r="A904" t="s">
        <v>3784</v>
      </c>
      <c r="B904"/>
    </row>
    <row r="905" spans="1:2" x14ac:dyDescent="0.2">
      <c r="A905" t="s">
        <v>3785</v>
      </c>
      <c r="B905"/>
    </row>
    <row r="906" spans="1:2" x14ac:dyDescent="0.2">
      <c r="A906" t="s">
        <v>3786</v>
      </c>
      <c r="B906"/>
    </row>
    <row r="907" spans="1:2" x14ac:dyDescent="0.2">
      <c r="A907" t="s">
        <v>3787</v>
      </c>
      <c r="B907"/>
    </row>
    <row r="908" spans="1:2" x14ac:dyDescent="0.2">
      <c r="A908" t="s">
        <v>3788</v>
      </c>
      <c r="B908" s="909"/>
    </row>
    <row r="909" spans="1:2" x14ac:dyDescent="0.2">
      <c r="A909" s="909" t="s">
        <v>3789</v>
      </c>
      <c r="B909" t="s">
        <v>2938</v>
      </c>
    </row>
    <row r="910" spans="1:2" x14ac:dyDescent="0.2">
      <c r="A910" t="s">
        <v>3790</v>
      </c>
      <c r="B910"/>
    </row>
    <row r="911" spans="1:2" x14ac:dyDescent="0.2">
      <c r="A911" t="s">
        <v>3791</v>
      </c>
      <c r="B911"/>
    </row>
    <row r="912" spans="1:2" x14ac:dyDescent="0.2">
      <c r="A912" t="s">
        <v>3792</v>
      </c>
      <c r="B912" t="s">
        <v>2938</v>
      </c>
    </row>
    <row r="913" spans="1:3" ht="25.5" x14ac:dyDescent="0.2">
      <c r="A913" s="901" t="s">
        <v>2768</v>
      </c>
      <c r="B913" s="937" t="s">
        <v>3793</v>
      </c>
      <c r="C913" s="166">
        <v>2320</v>
      </c>
    </row>
    <row r="914" spans="1:3" x14ac:dyDescent="0.2">
      <c r="A914" s="2248" t="s">
        <v>3794</v>
      </c>
      <c r="B914" s="960"/>
    </row>
    <row r="915" spans="1:3" x14ac:dyDescent="0.2">
      <c r="A915" s="900" t="s">
        <v>2769</v>
      </c>
      <c r="B915" s="961" t="s">
        <v>2843</v>
      </c>
      <c r="C915" s="166">
        <v>2330</v>
      </c>
    </row>
    <row r="916" spans="1:3" x14ac:dyDescent="0.2">
      <c r="A916" s="159" t="s">
        <v>3795</v>
      </c>
      <c r="B916" s="960"/>
    </row>
    <row r="917" spans="1:3" x14ac:dyDescent="0.2">
      <c r="A917" s="159" t="s">
        <v>3796</v>
      </c>
      <c r="B917" s="960"/>
    </row>
    <row r="918" spans="1:3" x14ac:dyDescent="0.2">
      <c r="A918" s="159" t="s">
        <v>3797</v>
      </c>
      <c r="B918" s="960"/>
    </row>
    <row r="919" spans="1:3" x14ac:dyDescent="0.2">
      <c r="A919" s="2253" t="s">
        <v>3798</v>
      </c>
      <c r="B919" s="962"/>
    </row>
    <row r="920" spans="1:3" x14ac:dyDescent="0.2">
      <c r="A920" s="902" t="s">
        <v>3799</v>
      </c>
      <c r="B920" s="938" t="s">
        <v>2843</v>
      </c>
      <c r="C920" s="2246" t="s">
        <v>2402</v>
      </c>
    </row>
    <row r="921" spans="1:3" x14ac:dyDescent="0.2">
      <c r="A921" s="2248" t="s">
        <v>3800</v>
      </c>
      <c r="B921" s="962"/>
    </row>
    <row r="922" spans="1:3" x14ac:dyDescent="0.2">
      <c r="A922" s="900" t="s">
        <v>2770</v>
      </c>
      <c r="B922" s="938" t="s">
        <v>2843</v>
      </c>
      <c r="C922" s="166">
        <v>2350</v>
      </c>
    </row>
    <row r="923" spans="1:3" x14ac:dyDescent="0.2">
      <c r="A923" s="2248" t="s">
        <v>3801</v>
      </c>
      <c r="B923" s="962"/>
    </row>
    <row r="924" spans="1:3" x14ac:dyDescent="0.2">
      <c r="A924" s="900" t="s">
        <v>2771</v>
      </c>
      <c r="B924" s="938" t="s">
        <v>3802</v>
      </c>
      <c r="C924" s="166">
        <v>2370</v>
      </c>
    </row>
    <row r="925" spans="1:3" x14ac:dyDescent="0.2">
      <c r="A925" s="900" t="s">
        <v>3803</v>
      </c>
      <c r="B925" s="938" t="s">
        <v>3804</v>
      </c>
      <c r="C925" s="166">
        <v>2390</v>
      </c>
    </row>
    <row r="926" spans="1:3" x14ac:dyDescent="0.2">
      <c r="A926" s="900" t="s">
        <v>3805</v>
      </c>
      <c r="B926" s="938" t="s">
        <v>3806</v>
      </c>
      <c r="C926" s="166">
        <v>2400</v>
      </c>
    </row>
    <row r="927" spans="1:3" x14ac:dyDescent="0.2">
      <c r="A927" s="900" t="s">
        <v>1234</v>
      </c>
      <c r="B927" s="938" t="s">
        <v>2843</v>
      </c>
      <c r="C927" s="166">
        <v>2410</v>
      </c>
    </row>
    <row r="928" spans="1:3" x14ac:dyDescent="0.2">
      <c r="A928" t="s">
        <v>3807</v>
      </c>
      <c r="B928"/>
    </row>
    <row r="929" spans="1:3" x14ac:dyDescent="0.2">
      <c r="A929" t="s">
        <v>3808</v>
      </c>
      <c r="B929"/>
    </row>
    <row r="930" spans="1:3" x14ac:dyDescent="0.2">
      <c r="A930" t="s">
        <v>3809</v>
      </c>
      <c r="B930"/>
    </row>
    <row r="931" spans="1:3" x14ac:dyDescent="0.2">
      <c r="A931" s="900" t="s">
        <v>2777</v>
      </c>
      <c r="B931" s="938" t="s">
        <v>2843</v>
      </c>
      <c r="C931" s="166">
        <v>2420</v>
      </c>
    </row>
    <row r="932" spans="1:3" x14ac:dyDescent="0.2">
      <c r="A932" t="s">
        <v>3810</v>
      </c>
      <c r="B932"/>
    </row>
    <row r="933" spans="1:3" x14ac:dyDescent="0.2">
      <c r="A933" t="s">
        <v>3811</v>
      </c>
      <c r="B933"/>
    </row>
    <row r="934" spans="1:3" x14ac:dyDescent="0.2">
      <c r="A934" t="s">
        <v>3812</v>
      </c>
      <c r="B934"/>
    </row>
    <row r="935" spans="1:3" x14ac:dyDescent="0.2">
      <c r="A935" s="2010" t="s">
        <v>3813</v>
      </c>
      <c r="B935" s="2070" t="s">
        <v>3197</v>
      </c>
    </row>
    <row r="936" spans="1:3" ht="38.25" x14ac:dyDescent="0.2">
      <c r="A936" s="900" t="s">
        <v>1226</v>
      </c>
      <c r="B936" s="937" t="s">
        <v>3814</v>
      </c>
      <c r="C936" s="166">
        <v>2430</v>
      </c>
    </row>
    <row r="937" spans="1:3" x14ac:dyDescent="0.2">
      <c r="A937" t="s">
        <v>3815</v>
      </c>
      <c r="B937" t="s">
        <v>3816</v>
      </c>
    </row>
    <row r="938" spans="1:3" x14ac:dyDescent="0.2">
      <c r="A938" t="s">
        <v>3817</v>
      </c>
      <c r="B938" t="s">
        <v>3816</v>
      </c>
    </row>
    <row r="939" spans="1:3" x14ac:dyDescent="0.2">
      <c r="A939" t="s">
        <v>3818</v>
      </c>
      <c r="B939" s="159" t="s">
        <v>3819</v>
      </c>
    </row>
    <row r="940" spans="1:3" x14ac:dyDescent="0.2">
      <c r="A940" s="159" t="s">
        <v>3820</v>
      </c>
      <c r="B940" s="159" t="s">
        <v>3819</v>
      </c>
    </row>
    <row r="941" spans="1:3" x14ac:dyDescent="0.2">
      <c r="A941" s="909" t="s">
        <v>3821</v>
      </c>
      <c r="B941" s="159" t="s">
        <v>3819</v>
      </c>
    </row>
    <row r="942" spans="1:3" x14ac:dyDescent="0.2">
      <c r="A942" s="159" t="s">
        <v>3822</v>
      </c>
      <c r="B942" s="159" t="s">
        <v>3823</v>
      </c>
    </row>
    <row r="943" spans="1:3" x14ac:dyDescent="0.2">
      <c r="A943" s="903" t="s">
        <v>3824</v>
      </c>
      <c r="B943" s="938" t="s">
        <v>2843</v>
      </c>
      <c r="C943" s="2246" t="s">
        <v>2402</v>
      </c>
    </row>
    <row r="944" spans="1:3" x14ac:dyDescent="0.2">
      <c r="A944" s="159" t="s">
        <v>3825</v>
      </c>
      <c r="B944" s="159" t="s">
        <v>3826</v>
      </c>
    </row>
    <row r="945" spans="1:3" x14ac:dyDescent="0.2">
      <c r="A945" s="159" t="s">
        <v>3827</v>
      </c>
      <c r="B945" s="159" t="s">
        <v>3826</v>
      </c>
    </row>
    <row r="946" spans="1:3" x14ac:dyDescent="0.2">
      <c r="A946" s="900" t="s">
        <v>3828</v>
      </c>
      <c r="B946" s="938" t="s">
        <v>2843</v>
      </c>
      <c r="C946" s="2246" t="s">
        <v>2402</v>
      </c>
    </row>
    <row r="947" spans="1:3" x14ac:dyDescent="0.2">
      <c r="A947" t="s">
        <v>3829</v>
      </c>
      <c r="B947"/>
    </row>
    <row r="948" spans="1:3" x14ac:dyDescent="0.2">
      <c r="A948" s="900" t="s">
        <v>1775</v>
      </c>
      <c r="B948" s="938" t="s">
        <v>2843</v>
      </c>
      <c r="C948" s="166">
        <v>2450</v>
      </c>
    </row>
    <row r="949" spans="1:3" x14ac:dyDescent="0.2">
      <c r="A949" t="s">
        <v>3830</v>
      </c>
      <c r="B949"/>
    </row>
    <row r="950" spans="1:3" x14ac:dyDescent="0.2">
      <c r="A950" t="s">
        <v>3831</v>
      </c>
      <c r="B950"/>
    </row>
    <row r="951" spans="1:3" x14ac:dyDescent="0.2">
      <c r="A951" t="s">
        <v>3832</v>
      </c>
      <c r="B951"/>
    </row>
    <row r="952" spans="1:3" x14ac:dyDescent="0.2">
      <c r="A952" t="s">
        <v>3833</v>
      </c>
      <c r="B952"/>
    </row>
    <row r="953" spans="1:3" x14ac:dyDescent="0.2">
      <c r="A953" t="s">
        <v>3834</v>
      </c>
      <c r="B953"/>
    </row>
    <row r="954" spans="1:3" x14ac:dyDescent="0.2">
      <c r="A954" t="s">
        <v>3835</v>
      </c>
      <c r="B954"/>
    </row>
    <row r="955" spans="1:3" x14ac:dyDescent="0.2">
      <c r="A955" t="s">
        <v>3836</v>
      </c>
      <c r="B955"/>
    </row>
    <row r="956" spans="1:3" x14ac:dyDescent="0.2">
      <c r="A956" t="s">
        <v>3837</v>
      </c>
      <c r="B956"/>
    </row>
    <row r="957" spans="1:3" x14ac:dyDescent="0.2">
      <c r="A957" t="s">
        <v>3838</v>
      </c>
      <c r="B957"/>
    </row>
    <row r="958" spans="1:3" x14ac:dyDescent="0.2">
      <c r="A958" t="s">
        <v>3839</v>
      </c>
      <c r="B958" s="159" t="s">
        <v>3840</v>
      </c>
    </row>
    <row r="959" spans="1:3" x14ac:dyDescent="0.2">
      <c r="A959" t="s">
        <v>3841</v>
      </c>
      <c r="B959"/>
    </row>
    <row r="960" spans="1:3" x14ac:dyDescent="0.2">
      <c r="A960" t="s">
        <v>3842</v>
      </c>
      <c r="B960" s="159" t="s">
        <v>3843</v>
      </c>
    </row>
    <row r="961" spans="1:3" x14ac:dyDescent="0.2">
      <c r="A961" t="s">
        <v>3844</v>
      </c>
      <c r="B961"/>
    </row>
    <row r="962" spans="1:3" x14ac:dyDescent="0.2">
      <c r="A962" t="s">
        <v>3845</v>
      </c>
      <c r="B962"/>
    </row>
    <row r="963" spans="1:3" x14ac:dyDescent="0.2">
      <c r="A963" s="900" t="s">
        <v>3846</v>
      </c>
      <c r="B963" s="938" t="s">
        <v>2843</v>
      </c>
      <c r="C963" s="2246" t="s">
        <v>2402</v>
      </c>
    </row>
    <row r="964" spans="1:3" x14ac:dyDescent="0.2">
      <c r="A964" s="159" t="s">
        <v>3847</v>
      </c>
      <c r="B964" t="s">
        <v>3848</v>
      </c>
    </row>
    <row r="965" spans="1:3" x14ac:dyDescent="0.2">
      <c r="A965" s="809" t="s">
        <v>3849</v>
      </c>
      <c r="B965" s="1022" t="s">
        <v>2843</v>
      </c>
      <c r="C965" s="2246" t="s">
        <v>2402</v>
      </c>
    </row>
    <row r="966" spans="1:3" x14ac:dyDescent="0.2">
      <c r="A966" s="159" t="s">
        <v>3850</v>
      </c>
      <c r="B966" t="s">
        <v>3262</v>
      </c>
    </row>
    <row r="967" spans="1:3" x14ac:dyDescent="0.2">
      <c r="A967" t="s">
        <v>3851</v>
      </c>
      <c r="B967"/>
    </row>
    <row r="968" spans="1:3" x14ac:dyDescent="0.2">
      <c r="A968" t="s">
        <v>3852</v>
      </c>
      <c r="B968" t="s">
        <v>3853</v>
      </c>
    </row>
    <row r="969" spans="1:3" x14ac:dyDescent="0.2">
      <c r="A969" s="159" t="s">
        <v>3854</v>
      </c>
      <c r="B969" t="s">
        <v>3262</v>
      </c>
    </row>
    <row r="970" spans="1:3" x14ac:dyDescent="0.2">
      <c r="A970" t="s">
        <v>3855</v>
      </c>
      <c r="B970" t="s">
        <v>3262</v>
      </c>
    </row>
    <row r="971" spans="1:3" x14ac:dyDescent="0.2">
      <c r="A971" t="s">
        <v>3856</v>
      </c>
      <c r="B971" t="s">
        <v>3262</v>
      </c>
    </row>
    <row r="972" spans="1:3" x14ac:dyDescent="0.2">
      <c r="A972" s="159" t="s">
        <v>3857</v>
      </c>
      <c r="B972" s="159" t="s">
        <v>3858</v>
      </c>
    </row>
    <row r="973" spans="1:3" x14ac:dyDescent="0.2">
      <c r="A973" t="s">
        <v>3859</v>
      </c>
      <c r="B973" t="s">
        <v>3262</v>
      </c>
    </row>
    <row r="974" spans="1:3" x14ac:dyDescent="0.2">
      <c r="A974" t="s">
        <v>3860</v>
      </c>
      <c r="B974" t="s">
        <v>3262</v>
      </c>
    </row>
    <row r="975" spans="1:3" x14ac:dyDescent="0.2">
      <c r="A975" t="s">
        <v>3861</v>
      </c>
      <c r="B975" t="s">
        <v>3262</v>
      </c>
    </row>
    <row r="976" spans="1:3" x14ac:dyDescent="0.2">
      <c r="A976" t="s">
        <v>3862</v>
      </c>
      <c r="B976" t="s">
        <v>3863</v>
      </c>
    </row>
    <row r="977" spans="1:3" x14ac:dyDescent="0.2">
      <c r="A977" s="2243" t="s">
        <v>3864</v>
      </c>
      <c r="B977" s="159" t="s">
        <v>2921</v>
      </c>
    </row>
    <row r="978" spans="1:3" x14ac:dyDescent="0.2">
      <c r="A978" t="s">
        <v>3865</v>
      </c>
      <c r="B978" t="s">
        <v>3866</v>
      </c>
    </row>
    <row r="979" spans="1:3" x14ac:dyDescent="0.2">
      <c r="A979" t="s">
        <v>3867</v>
      </c>
      <c r="B979" t="s">
        <v>3868</v>
      </c>
    </row>
    <row r="980" spans="1:3" x14ac:dyDescent="0.2">
      <c r="A980" t="s">
        <v>3869</v>
      </c>
      <c r="B980" t="s">
        <v>3870</v>
      </c>
    </row>
    <row r="981" spans="1:3" x14ac:dyDescent="0.2">
      <c r="A981" t="s">
        <v>3871</v>
      </c>
      <c r="B981" t="s">
        <v>3870</v>
      </c>
    </row>
    <row r="982" spans="1:3" x14ac:dyDescent="0.2">
      <c r="A982" t="s">
        <v>3872</v>
      </c>
      <c r="B982" t="s">
        <v>3870</v>
      </c>
    </row>
    <row r="983" spans="1:3" x14ac:dyDescent="0.2">
      <c r="A983" t="s">
        <v>3873</v>
      </c>
      <c r="B983" t="s">
        <v>3874</v>
      </c>
    </row>
    <row r="984" spans="1:3" x14ac:dyDescent="0.2">
      <c r="A984" t="s">
        <v>3875</v>
      </c>
      <c r="B984" t="s">
        <v>3874</v>
      </c>
    </row>
    <row r="985" spans="1:3" x14ac:dyDescent="0.2">
      <c r="A985" t="s">
        <v>3876</v>
      </c>
      <c r="B985" t="s">
        <v>3877</v>
      </c>
    </row>
    <row r="986" spans="1:3" x14ac:dyDescent="0.2">
      <c r="A986" s="159" t="s">
        <v>3878</v>
      </c>
      <c r="B986" s="159" t="s">
        <v>3879</v>
      </c>
    </row>
    <row r="987" spans="1:3" x14ac:dyDescent="0.2">
      <c r="A987" s="900" t="s">
        <v>3880</v>
      </c>
      <c r="B987" s="938" t="s">
        <v>2843</v>
      </c>
      <c r="C987" s="2246" t="s">
        <v>2402</v>
      </c>
    </row>
    <row r="988" spans="1:3" x14ac:dyDescent="0.2">
      <c r="A988" s="159" t="s">
        <v>3881</v>
      </c>
      <c r="B988"/>
      <c r="C988" s="2246"/>
    </row>
    <row r="989" spans="1:3" x14ac:dyDescent="0.2">
      <c r="A989" s="159" t="s">
        <v>3882</v>
      </c>
      <c r="B989"/>
    </row>
    <row r="990" spans="1:3" x14ac:dyDescent="0.2">
      <c r="A990" s="159" t="s">
        <v>3883</v>
      </c>
      <c r="B990"/>
    </row>
    <row r="991" spans="1:3" x14ac:dyDescent="0.2">
      <c r="A991" s="159" t="s">
        <v>3884</v>
      </c>
      <c r="B991"/>
    </row>
    <row r="992" spans="1:3" x14ac:dyDescent="0.2">
      <c r="A992" s="159" t="s">
        <v>3885</v>
      </c>
      <c r="B992"/>
    </row>
    <row r="993" spans="1:2" x14ac:dyDescent="0.2">
      <c r="A993" s="159" t="s">
        <v>3886</v>
      </c>
      <c r="B993"/>
    </row>
    <row r="994" spans="1:2" x14ac:dyDescent="0.2">
      <c r="A994" s="159" t="s">
        <v>3887</v>
      </c>
      <c r="B994"/>
    </row>
    <row r="995" spans="1:2" x14ac:dyDescent="0.2">
      <c r="A995" s="159" t="s">
        <v>3888</v>
      </c>
      <c r="B995"/>
    </row>
    <row r="996" spans="1:2" x14ac:dyDescent="0.2">
      <c r="A996" s="159" t="s">
        <v>3889</v>
      </c>
      <c r="B996"/>
    </row>
    <row r="997" spans="1:2" x14ac:dyDescent="0.2">
      <c r="A997" t="s">
        <v>3890</v>
      </c>
      <c r="B997"/>
    </row>
    <row r="998" spans="1:2" x14ac:dyDescent="0.2">
      <c r="A998" t="s">
        <v>3891</v>
      </c>
      <c r="B998"/>
    </row>
    <row r="999" spans="1:2" x14ac:dyDescent="0.2">
      <c r="A999" t="s">
        <v>3892</v>
      </c>
      <c r="B999"/>
    </row>
    <row r="1000" spans="1:2" x14ac:dyDescent="0.2">
      <c r="A1000" t="s">
        <v>3893</v>
      </c>
      <c r="B1000"/>
    </row>
    <row r="1001" spans="1:2" x14ac:dyDescent="0.2">
      <c r="A1001" t="s">
        <v>3894</v>
      </c>
      <c r="B1001"/>
    </row>
    <row r="1002" spans="1:2" x14ac:dyDescent="0.2">
      <c r="A1002" t="s">
        <v>3895</v>
      </c>
      <c r="B1002"/>
    </row>
    <row r="1003" spans="1:2" x14ac:dyDescent="0.2">
      <c r="A1003" t="s">
        <v>3896</v>
      </c>
      <c r="B1003"/>
    </row>
    <row r="1004" spans="1:2" x14ac:dyDescent="0.2">
      <c r="A1004" t="s">
        <v>3897</v>
      </c>
      <c r="B1004"/>
    </row>
    <row r="1005" spans="1:2" x14ac:dyDescent="0.2">
      <c r="A1005" s="159" t="s">
        <v>3898</v>
      </c>
      <c r="B1005" s="159" t="s">
        <v>3899</v>
      </c>
    </row>
    <row r="1006" spans="1:2" x14ac:dyDescent="0.2">
      <c r="A1006" s="159" t="s">
        <v>3900</v>
      </c>
      <c r="B1006" s="159" t="s">
        <v>3899</v>
      </c>
    </row>
    <row r="1007" spans="1:2" x14ac:dyDescent="0.2">
      <c r="A1007" t="s">
        <v>3901</v>
      </c>
      <c r="B1007"/>
    </row>
    <row r="1008" spans="1:2" x14ac:dyDescent="0.2">
      <c r="A1008" t="s">
        <v>3902</v>
      </c>
      <c r="B1008"/>
    </row>
    <row r="1009" spans="1:2" x14ac:dyDescent="0.2">
      <c r="A1009" t="s">
        <v>3903</v>
      </c>
      <c r="B1009"/>
    </row>
    <row r="1010" spans="1:2" x14ac:dyDescent="0.2">
      <c r="A1010" t="s">
        <v>3904</v>
      </c>
      <c r="B1010"/>
    </row>
    <row r="1011" spans="1:2" x14ac:dyDescent="0.2">
      <c r="A1011" t="s">
        <v>3905</v>
      </c>
      <c r="B1011" s="159" t="s">
        <v>3906</v>
      </c>
    </row>
    <row r="1012" spans="1:2" x14ac:dyDescent="0.2">
      <c r="A1012" t="s">
        <v>3907</v>
      </c>
      <c r="B1012" s="159" t="s">
        <v>3906</v>
      </c>
    </row>
    <row r="1013" spans="1:2" x14ac:dyDescent="0.2">
      <c r="A1013" t="s">
        <v>3908</v>
      </c>
      <c r="B1013" t="s">
        <v>3909</v>
      </c>
    </row>
    <row r="1014" spans="1:2" x14ac:dyDescent="0.2">
      <c r="A1014" t="s">
        <v>3910</v>
      </c>
      <c r="B1014"/>
    </row>
    <row r="1015" spans="1:2" x14ac:dyDescent="0.2">
      <c r="A1015" s="159" t="s">
        <v>3911</v>
      </c>
      <c r="B1015" s="159" t="s">
        <v>3912</v>
      </c>
    </row>
    <row r="1016" spans="1:2" x14ac:dyDescent="0.2">
      <c r="A1016" s="159" t="s">
        <v>3913</v>
      </c>
      <c r="B1016" s="159" t="s">
        <v>3912</v>
      </c>
    </row>
    <row r="1017" spans="1:2" x14ac:dyDescent="0.2">
      <c r="A1017" s="159" t="s">
        <v>3914</v>
      </c>
      <c r="B1017" s="159" t="s">
        <v>3912</v>
      </c>
    </row>
    <row r="1018" spans="1:2" x14ac:dyDescent="0.2">
      <c r="A1018" s="159" t="s">
        <v>3915</v>
      </c>
      <c r="B1018" s="159" t="s">
        <v>3912</v>
      </c>
    </row>
    <row r="1019" spans="1:2" x14ac:dyDescent="0.2">
      <c r="A1019" s="159" t="s">
        <v>3916</v>
      </c>
      <c r="B1019" s="159" t="s">
        <v>3912</v>
      </c>
    </row>
    <row r="1020" spans="1:2" x14ac:dyDescent="0.2">
      <c r="A1020" s="159" t="s">
        <v>3917</v>
      </c>
      <c r="B1020" s="159" t="s">
        <v>3918</v>
      </c>
    </row>
    <row r="1021" spans="1:2" x14ac:dyDescent="0.2">
      <c r="A1021" t="s">
        <v>3919</v>
      </c>
      <c r="B1021"/>
    </row>
    <row r="1022" spans="1:2" x14ac:dyDescent="0.2">
      <c r="A1022" t="s">
        <v>3920</v>
      </c>
      <c r="B1022" t="s">
        <v>3921</v>
      </c>
    </row>
    <row r="1023" spans="1:2" x14ac:dyDescent="0.2">
      <c r="A1023" s="909" t="s">
        <v>3922</v>
      </c>
      <c r="B1023"/>
    </row>
    <row r="1024" spans="1:2" x14ac:dyDescent="0.2">
      <c r="A1024" t="s">
        <v>3923</v>
      </c>
      <c r="B1024"/>
    </row>
    <row r="1025" spans="1:2" x14ac:dyDescent="0.2">
      <c r="A1025" t="s">
        <v>3924</v>
      </c>
      <c r="B1025"/>
    </row>
    <row r="1026" spans="1:2" x14ac:dyDescent="0.2">
      <c r="A1026" t="s">
        <v>3925</v>
      </c>
      <c r="B1026"/>
    </row>
    <row r="1027" spans="1:2" x14ac:dyDescent="0.2">
      <c r="A1027" t="s">
        <v>3926</v>
      </c>
      <c r="B1027"/>
    </row>
    <row r="1028" spans="1:2" x14ac:dyDescent="0.2">
      <c r="A1028" t="s">
        <v>3927</v>
      </c>
      <c r="B1028" t="s">
        <v>3928</v>
      </c>
    </row>
    <row r="1029" spans="1:2" x14ac:dyDescent="0.2">
      <c r="A1029" t="s">
        <v>3929</v>
      </c>
      <c r="B1029" t="s">
        <v>3928</v>
      </c>
    </row>
    <row r="1030" spans="1:2" x14ac:dyDescent="0.2">
      <c r="A1030" t="s">
        <v>3930</v>
      </c>
      <c r="B1030" t="s">
        <v>3928</v>
      </c>
    </row>
    <row r="1031" spans="1:2" x14ac:dyDescent="0.2">
      <c r="A1031" t="s">
        <v>3931</v>
      </c>
      <c r="B1031" t="s">
        <v>3932</v>
      </c>
    </row>
    <row r="1032" spans="1:2" x14ac:dyDescent="0.2">
      <c r="A1032" t="s">
        <v>3933</v>
      </c>
      <c r="B1032"/>
    </row>
    <row r="1033" spans="1:2" x14ac:dyDescent="0.2">
      <c r="A1033" t="s">
        <v>3934</v>
      </c>
      <c r="B1033"/>
    </row>
    <row r="1034" spans="1:2" x14ac:dyDescent="0.2">
      <c r="A1034" t="s">
        <v>3935</v>
      </c>
      <c r="B1034"/>
    </row>
    <row r="1035" spans="1:2" x14ac:dyDescent="0.2">
      <c r="A1035" s="159" t="s">
        <v>3936</v>
      </c>
      <c r="B1035"/>
    </row>
    <row r="1036" spans="1:2" x14ac:dyDescent="0.2">
      <c r="A1036" t="s">
        <v>3937</v>
      </c>
      <c r="B1036" s="1021" t="s">
        <v>3197</v>
      </c>
    </row>
    <row r="1037" spans="1:2" x14ac:dyDescent="0.2">
      <c r="A1037" t="s">
        <v>3938</v>
      </c>
      <c r="B1037"/>
    </row>
    <row r="1038" spans="1:2" x14ac:dyDescent="0.2">
      <c r="A1038" t="s">
        <v>3939</v>
      </c>
      <c r="B1038"/>
    </row>
    <row r="1039" spans="1:2" x14ac:dyDescent="0.2">
      <c r="A1039" t="s">
        <v>3940</v>
      </c>
      <c r="B1039"/>
    </row>
    <row r="1040" spans="1:2" x14ac:dyDescent="0.2">
      <c r="A1040" t="s">
        <v>3941</v>
      </c>
      <c r="B1040"/>
    </row>
    <row r="1041" spans="1:3" x14ac:dyDescent="0.2">
      <c r="A1041" t="s">
        <v>3942</v>
      </c>
      <c r="B1041" s="159" t="s">
        <v>3943</v>
      </c>
    </row>
    <row r="1042" spans="1:3" x14ac:dyDescent="0.2">
      <c r="A1042" t="s">
        <v>3944</v>
      </c>
      <c r="B1042" s="1023"/>
    </row>
    <row r="1043" spans="1:3" x14ac:dyDescent="0.2">
      <c r="A1043" t="s">
        <v>3945</v>
      </c>
      <c r="B1043" s="159" t="s">
        <v>3946</v>
      </c>
    </row>
    <row r="1044" spans="1:3" x14ac:dyDescent="0.2">
      <c r="A1044" t="s">
        <v>3947</v>
      </c>
      <c r="B1044"/>
    </row>
    <row r="1045" spans="1:3" x14ac:dyDescent="0.2">
      <c r="A1045" t="s">
        <v>3948</v>
      </c>
      <c r="B1045"/>
    </row>
    <row r="1046" spans="1:3" x14ac:dyDescent="0.2">
      <c r="A1046" s="809" t="s">
        <v>3949</v>
      </c>
      <c r="B1046"/>
    </row>
    <row r="1047" spans="1:3" x14ac:dyDescent="0.2">
      <c r="A1047" s="900" t="s">
        <v>2780</v>
      </c>
      <c r="B1047"/>
    </row>
    <row r="1048" spans="1:3" x14ac:dyDescent="0.2">
      <c r="A1048" s="902" t="s">
        <v>3950</v>
      </c>
      <c r="B1048" s="963" t="s">
        <v>2843</v>
      </c>
      <c r="C1048" s="166">
        <v>2490</v>
      </c>
    </row>
    <row r="1049" spans="1:3" x14ac:dyDescent="0.2">
      <c r="A1049" t="s">
        <v>3951</v>
      </c>
      <c r="B1049"/>
    </row>
    <row r="1050" spans="1:3" x14ac:dyDescent="0.2">
      <c r="A1050" t="s">
        <v>3952</v>
      </c>
      <c r="B1050"/>
    </row>
    <row r="1051" spans="1:3" x14ac:dyDescent="0.2">
      <c r="A1051" t="s">
        <v>3953</v>
      </c>
      <c r="B1051"/>
    </row>
    <row r="1052" spans="1:3" x14ac:dyDescent="0.2">
      <c r="A1052" t="s">
        <v>3954</v>
      </c>
      <c r="B1052"/>
    </row>
    <row r="1053" spans="1:3" x14ac:dyDescent="0.2">
      <c r="A1053" t="s">
        <v>3955</v>
      </c>
      <c r="B1053" t="s">
        <v>3956</v>
      </c>
    </row>
    <row r="1054" spans="1:3" x14ac:dyDescent="0.2">
      <c r="A1054" t="s">
        <v>3957</v>
      </c>
      <c r="B1054"/>
    </row>
    <row r="1055" spans="1:3" x14ac:dyDescent="0.2">
      <c r="A1055" t="s">
        <v>3958</v>
      </c>
      <c r="B1055"/>
    </row>
    <row r="1056" spans="1:3" x14ac:dyDescent="0.2">
      <c r="A1056" t="s">
        <v>3959</v>
      </c>
      <c r="B1056"/>
    </row>
    <row r="1057" spans="1:2" x14ac:dyDescent="0.2">
      <c r="A1057" t="s">
        <v>3960</v>
      </c>
      <c r="B1057"/>
    </row>
    <row r="1058" spans="1:2" x14ac:dyDescent="0.2">
      <c r="A1058" t="s">
        <v>3961</v>
      </c>
      <c r="B1058"/>
    </row>
    <row r="1059" spans="1:2" x14ac:dyDescent="0.2">
      <c r="A1059" t="s">
        <v>3962</v>
      </c>
      <c r="B1059"/>
    </row>
    <row r="1060" spans="1:2" x14ac:dyDescent="0.2">
      <c r="A1060" t="s">
        <v>3963</v>
      </c>
      <c r="B1060"/>
    </row>
    <row r="1061" spans="1:2" x14ac:dyDescent="0.2">
      <c r="A1061" t="s">
        <v>3964</v>
      </c>
      <c r="B1061"/>
    </row>
    <row r="1062" spans="1:2" x14ac:dyDescent="0.2">
      <c r="A1062" t="s">
        <v>3965</v>
      </c>
      <c r="B1062"/>
    </row>
    <row r="1063" spans="1:2" x14ac:dyDescent="0.2">
      <c r="A1063" t="s">
        <v>3966</v>
      </c>
      <c r="B1063"/>
    </row>
    <row r="1064" spans="1:2" x14ac:dyDescent="0.2">
      <c r="A1064" t="s">
        <v>3967</v>
      </c>
      <c r="B1064"/>
    </row>
    <row r="1065" spans="1:2" x14ac:dyDescent="0.2">
      <c r="A1065" t="s">
        <v>3968</v>
      </c>
      <c r="B1065"/>
    </row>
    <row r="1066" spans="1:2" x14ac:dyDescent="0.2">
      <c r="A1066" t="s">
        <v>3969</v>
      </c>
      <c r="B1066"/>
    </row>
    <row r="1067" spans="1:2" x14ac:dyDescent="0.2">
      <c r="A1067" t="s">
        <v>3970</v>
      </c>
      <c r="B1067"/>
    </row>
    <row r="1068" spans="1:2" x14ac:dyDescent="0.2">
      <c r="A1068" t="s">
        <v>3971</v>
      </c>
      <c r="B1068"/>
    </row>
    <row r="1069" spans="1:2" x14ac:dyDescent="0.2">
      <c r="A1069" t="s">
        <v>3972</v>
      </c>
      <c r="B1069"/>
    </row>
    <row r="1070" spans="1:2" x14ac:dyDescent="0.2">
      <c r="A1070" t="s">
        <v>3973</v>
      </c>
      <c r="B1070"/>
    </row>
    <row r="1071" spans="1:2" x14ac:dyDescent="0.2">
      <c r="A1071" t="s">
        <v>3974</v>
      </c>
      <c r="B1071"/>
    </row>
    <row r="1072" spans="1:2" x14ac:dyDescent="0.2">
      <c r="A1072" t="s">
        <v>3975</v>
      </c>
      <c r="B1072"/>
    </row>
    <row r="1073" spans="1:2" x14ac:dyDescent="0.2">
      <c r="A1073" t="s">
        <v>3976</v>
      </c>
      <c r="B1073"/>
    </row>
    <row r="1074" spans="1:2" x14ac:dyDescent="0.2">
      <c r="A1074" t="s">
        <v>3977</v>
      </c>
      <c r="B1074" t="s">
        <v>3978</v>
      </c>
    </row>
    <row r="1075" spans="1:2" x14ac:dyDescent="0.2">
      <c r="A1075" t="s">
        <v>3979</v>
      </c>
      <c r="B1075" s="159" t="s">
        <v>3980</v>
      </c>
    </row>
    <row r="1076" spans="1:2" x14ac:dyDescent="0.2">
      <c r="A1076" t="s">
        <v>3981</v>
      </c>
      <c r="B1076"/>
    </row>
    <row r="1077" spans="1:2" x14ac:dyDescent="0.2">
      <c r="A1077" t="s">
        <v>3982</v>
      </c>
      <c r="B1077"/>
    </row>
    <row r="1078" spans="1:2" x14ac:dyDescent="0.2">
      <c r="A1078" t="s">
        <v>3983</v>
      </c>
      <c r="B1078"/>
    </row>
    <row r="1079" spans="1:2" x14ac:dyDescent="0.2">
      <c r="A1079" t="s">
        <v>3984</v>
      </c>
      <c r="B1079"/>
    </row>
    <row r="1080" spans="1:2" x14ac:dyDescent="0.2">
      <c r="A1080" t="s">
        <v>3985</v>
      </c>
      <c r="B1080"/>
    </row>
    <row r="1081" spans="1:2" x14ac:dyDescent="0.2">
      <c r="A1081" t="s">
        <v>3986</v>
      </c>
      <c r="B1081"/>
    </row>
    <row r="1082" spans="1:2" x14ac:dyDescent="0.2">
      <c r="A1082" t="s">
        <v>3987</v>
      </c>
      <c r="B1082"/>
    </row>
    <row r="1083" spans="1:2" x14ac:dyDescent="0.2">
      <c r="A1083" t="s">
        <v>3988</v>
      </c>
      <c r="B1083"/>
    </row>
    <row r="1084" spans="1:2" x14ac:dyDescent="0.2">
      <c r="A1084" t="s">
        <v>3989</v>
      </c>
      <c r="B1084"/>
    </row>
    <row r="1085" spans="1:2" x14ac:dyDescent="0.2">
      <c r="A1085" t="s">
        <v>3990</v>
      </c>
      <c r="B1085"/>
    </row>
    <row r="1086" spans="1:2" x14ac:dyDescent="0.2">
      <c r="A1086" t="s">
        <v>3991</v>
      </c>
      <c r="B1086"/>
    </row>
    <row r="1087" spans="1:2" x14ac:dyDescent="0.2">
      <c r="A1087" t="s">
        <v>3992</v>
      </c>
      <c r="B1087"/>
    </row>
    <row r="1088" spans="1:2" x14ac:dyDescent="0.2">
      <c r="A1088" s="909" t="s">
        <v>3993</v>
      </c>
      <c r="B1088" t="s">
        <v>3994</v>
      </c>
    </row>
    <row r="1089" spans="1:2" x14ac:dyDescent="0.2">
      <c r="A1089" s="909" t="s">
        <v>3995</v>
      </c>
      <c r="B1089" t="s">
        <v>3994</v>
      </c>
    </row>
    <row r="1090" spans="1:2" x14ac:dyDescent="0.2">
      <c r="A1090" s="909" t="s">
        <v>3996</v>
      </c>
      <c r="B1090" t="s">
        <v>3994</v>
      </c>
    </row>
    <row r="1091" spans="1:2" x14ac:dyDescent="0.2">
      <c r="A1091" s="909" t="s">
        <v>3997</v>
      </c>
      <c r="B1091" t="s">
        <v>3994</v>
      </c>
    </row>
    <row r="1092" spans="1:2" x14ac:dyDescent="0.2">
      <c r="A1092" t="s">
        <v>3998</v>
      </c>
      <c r="B1092"/>
    </row>
    <row r="1093" spans="1:2" x14ac:dyDescent="0.2">
      <c r="A1093" t="s">
        <v>3999</v>
      </c>
      <c r="B1093"/>
    </row>
    <row r="1094" spans="1:2" x14ac:dyDescent="0.2">
      <c r="A1094" t="s">
        <v>4000</v>
      </c>
      <c r="B1094"/>
    </row>
    <row r="1095" spans="1:2" x14ac:dyDescent="0.2">
      <c r="A1095" t="s">
        <v>4001</v>
      </c>
      <c r="B1095"/>
    </row>
    <row r="1096" spans="1:2" x14ac:dyDescent="0.2">
      <c r="A1096" t="s">
        <v>4002</v>
      </c>
      <c r="B1096"/>
    </row>
    <row r="1097" spans="1:2" x14ac:dyDescent="0.2">
      <c r="A1097" t="s">
        <v>4003</v>
      </c>
      <c r="B1097"/>
    </row>
    <row r="1098" spans="1:2" x14ac:dyDescent="0.2">
      <c r="A1098" t="s">
        <v>4004</v>
      </c>
      <c r="B1098"/>
    </row>
    <row r="1099" spans="1:2" x14ac:dyDescent="0.2">
      <c r="A1099" t="s">
        <v>4005</v>
      </c>
      <c r="B1099"/>
    </row>
    <row r="1100" spans="1:2" x14ac:dyDescent="0.2">
      <c r="A1100" t="s">
        <v>4006</v>
      </c>
      <c r="B1100"/>
    </row>
    <row r="1101" spans="1:2" x14ac:dyDescent="0.2">
      <c r="A1101" t="s">
        <v>4007</v>
      </c>
      <c r="B1101"/>
    </row>
    <row r="1102" spans="1:2" x14ac:dyDescent="0.2">
      <c r="A1102" t="s">
        <v>4008</v>
      </c>
      <c r="B1102"/>
    </row>
    <row r="1103" spans="1:2" x14ac:dyDescent="0.2">
      <c r="A1103" t="s">
        <v>4009</v>
      </c>
      <c r="B1103"/>
    </row>
    <row r="1104" spans="1:2" x14ac:dyDescent="0.2">
      <c r="A1104" t="s">
        <v>4010</v>
      </c>
      <c r="B1104"/>
    </row>
    <row r="1105" spans="1:2" x14ac:dyDescent="0.2">
      <c r="A1105" t="s">
        <v>4011</v>
      </c>
      <c r="B1105"/>
    </row>
    <row r="1106" spans="1:2" x14ac:dyDescent="0.2">
      <c r="A1106" t="s">
        <v>4012</v>
      </c>
      <c r="B1106"/>
    </row>
    <row r="1107" spans="1:2" x14ac:dyDescent="0.2">
      <c r="A1107" t="s">
        <v>4013</v>
      </c>
      <c r="B1107"/>
    </row>
    <row r="1108" spans="1:2" x14ac:dyDescent="0.2">
      <c r="A1108" t="s">
        <v>4014</v>
      </c>
      <c r="B1108"/>
    </row>
    <row r="1109" spans="1:2" x14ac:dyDescent="0.2">
      <c r="A1109" t="s">
        <v>4015</v>
      </c>
      <c r="B1109"/>
    </row>
    <row r="1110" spans="1:2" x14ac:dyDescent="0.2">
      <c r="A1110" t="s">
        <v>4016</v>
      </c>
      <c r="B1110"/>
    </row>
    <row r="1111" spans="1:2" x14ac:dyDescent="0.2">
      <c r="A1111" t="s">
        <v>4017</v>
      </c>
      <c r="B1111"/>
    </row>
    <row r="1112" spans="1:2" x14ac:dyDescent="0.2">
      <c r="A1112" t="s">
        <v>4018</v>
      </c>
      <c r="B1112"/>
    </row>
    <row r="1113" spans="1:2" x14ac:dyDescent="0.2">
      <c r="A1113" t="s">
        <v>4019</v>
      </c>
      <c r="B1113"/>
    </row>
    <row r="1114" spans="1:2" x14ac:dyDescent="0.2">
      <c r="A1114" t="s">
        <v>4020</v>
      </c>
      <c r="B1114"/>
    </row>
    <row r="1115" spans="1:2" x14ac:dyDescent="0.2">
      <c r="A1115" t="s">
        <v>4021</v>
      </c>
      <c r="B1115"/>
    </row>
    <row r="1116" spans="1:2" x14ac:dyDescent="0.2">
      <c r="A1116" t="s">
        <v>4022</v>
      </c>
      <c r="B1116"/>
    </row>
    <row r="1117" spans="1:2" x14ac:dyDescent="0.2">
      <c r="A1117" t="s">
        <v>4023</v>
      </c>
      <c r="B1117"/>
    </row>
    <row r="1118" spans="1:2" x14ac:dyDescent="0.2">
      <c r="A1118" t="s">
        <v>4024</v>
      </c>
      <c r="B1118"/>
    </row>
    <row r="1119" spans="1:2" x14ac:dyDescent="0.2">
      <c r="A1119" t="s">
        <v>4025</v>
      </c>
      <c r="B1119"/>
    </row>
    <row r="1120" spans="1:2" x14ac:dyDescent="0.2">
      <c r="A1120" t="s">
        <v>4026</v>
      </c>
      <c r="B1120"/>
    </row>
    <row r="1121" spans="1:2" x14ac:dyDescent="0.2">
      <c r="A1121" t="s">
        <v>4027</v>
      </c>
      <c r="B1121"/>
    </row>
    <row r="1122" spans="1:2" x14ac:dyDescent="0.2">
      <c r="A1122" t="s">
        <v>4028</v>
      </c>
      <c r="B1122"/>
    </row>
    <row r="1123" spans="1:2" x14ac:dyDescent="0.2">
      <c r="A1123" t="s">
        <v>4029</v>
      </c>
      <c r="B1123"/>
    </row>
    <row r="1124" spans="1:2" x14ac:dyDescent="0.2">
      <c r="A1124" t="s">
        <v>4030</v>
      </c>
      <c r="B1124"/>
    </row>
    <row r="1125" spans="1:2" x14ac:dyDescent="0.2">
      <c r="A1125" t="s">
        <v>4031</v>
      </c>
      <c r="B1125"/>
    </row>
    <row r="1126" spans="1:2" x14ac:dyDescent="0.2">
      <c r="A1126" t="s">
        <v>4032</v>
      </c>
      <c r="B1126"/>
    </row>
    <row r="1127" spans="1:2" x14ac:dyDescent="0.2">
      <c r="A1127" t="s">
        <v>4033</v>
      </c>
      <c r="B1127"/>
    </row>
    <row r="1128" spans="1:2" x14ac:dyDescent="0.2">
      <c r="A1128" t="s">
        <v>4034</v>
      </c>
      <c r="B1128"/>
    </row>
    <row r="1129" spans="1:2" x14ac:dyDescent="0.2">
      <c r="A1129" t="s">
        <v>4035</v>
      </c>
      <c r="B1129"/>
    </row>
    <row r="1130" spans="1:2" x14ac:dyDescent="0.2">
      <c r="A1130" t="s">
        <v>4036</v>
      </c>
      <c r="B1130"/>
    </row>
    <row r="1131" spans="1:2" x14ac:dyDescent="0.2">
      <c r="A1131" t="s">
        <v>4037</v>
      </c>
      <c r="B1131"/>
    </row>
    <row r="1132" spans="1:2" x14ac:dyDescent="0.2">
      <c r="A1132" t="s">
        <v>4038</v>
      </c>
      <c r="B1132" s="2281" t="s">
        <v>4039</v>
      </c>
    </row>
    <row r="1133" spans="1:2" x14ac:dyDescent="0.2">
      <c r="A1133" t="s">
        <v>4040</v>
      </c>
      <c r="B1133"/>
    </row>
    <row r="1134" spans="1:2" x14ac:dyDescent="0.2">
      <c r="A1134" t="s">
        <v>4041</v>
      </c>
      <c r="B1134"/>
    </row>
    <row r="1135" spans="1:2" x14ac:dyDescent="0.2">
      <c r="A1135" t="s">
        <v>4042</v>
      </c>
      <c r="B1135"/>
    </row>
    <row r="1136" spans="1:2" x14ac:dyDescent="0.2">
      <c r="A1136" t="s">
        <v>4043</v>
      </c>
      <c r="B1136"/>
    </row>
    <row r="1137" spans="1:3" x14ac:dyDescent="0.2">
      <c r="A1137" t="s">
        <v>4044</v>
      </c>
      <c r="B1137"/>
    </row>
    <row r="1138" spans="1:3" x14ac:dyDescent="0.2">
      <c r="A1138" t="s">
        <v>4045</v>
      </c>
      <c r="B1138"/>
    </row>
    <row r="1139" spans="1:3" x14ac:dyDescent="0.2">
      <c r="A1139" t="s">
        <v>4046</v>
      </c>
      <c r="B1139"/>
    </row>
    <row r="1140" spans="1:3" x14ac:dyDescent="0.2">
      <c r="A1140" t="s">
        <v>4047</v>
      </c>
      <c r="B1140"/>
    </row>
    <row r="1141" spans="1:3" x14ac:dyDescent="0.2">
      <c r="A1141" t="s">
        <v>4048</v>
      </c>
      <c r="B1141"/>
    </row>
    <row r="1142" spans="1:3" x14ac:dyDescent="0.2">
      <c r="A1142" t="s">
        <v>4049</v>
      </c>
      <c r="B1142"/>
    </row>
    <row r="1143" spans="1:3" x14ac:dyDescent="0.2">
      <c r="A1143" t="s">
        <v>4050</v>
      </c>
      <c r="B1143"/>
    </row>
    <row r="1144" spans="1:3" x14ac:dyDescent="0.2">
      <c r="A1144" t="s">
        <v>4051</v>
      </c>
      <c r="B1144"/>
    </row>
    <row r="1145" spans="1:3" x14ac:dyDescent="0.2">
      <c r="A1145" t="s">
        <v>4052</v>
      </c>
      <c r="B1145"/>
    </row>
    <row r="1146" spans="1:3" x14ac:dyDescent="0.2">
      <c r="A1146" s="900" t="s">
        <v>4053</v>
      </c>
      <c r="B1146" s="938" t="s">
        <v>2843</v>
      </c>
      <c r="C1146" s="166">
        <v>2490</v>
      </c>
    </row>
    <row r="1147" spans="1:3" x14ac:dyDescent="0.2">
      <c r="A1147" t="s">
        <v>4054</v>
      </c>
      <c r="B1147"/>
    </row>
    <row r="1148" spans="1:3" x14ac:dyDescent="0.2">
      <c r="A1148" t="s">
        <v>4055</v>
      </c>
      <c r="B1148"/>
    </row>
    <row r="1149" spans="1:3" x14ac:dyDescent="0.2">
      <c r="A1149" t="s">
        <v>4056</v>
      </c>
      <c r="B1149" t="s">
        <v>4057</v>
      </c>
    </row>
    <row r="1150" spans="1:3" x14ac:dyDescent="0.2">
      <c r="A1150" t="s">
        <v>4058</v>
      </c>
      <c r="B1150"/>
    </row>
    <row r="1151" spans="1:3" x14ac:dyDescent="0.2">
      <c r="A1151" t="s">
        <v>4059</v>
      </c>
      <c r="B1151"/>
    </row>
    <row r="1152" spans="1:3" x14ac:dyDescent="0.2">
      <c r="A1152" t="s">
        <v>4060</v>
      </c>
      <c r="B1152"/>
    </row>
    <row r="1153" spans="1:2" x14ac:dyDescent="0.2">
      <c r="A1153" t="s">
        <v>4061</v>
      </c>
      <c r="B1153" s="159" t="s">
        <v>2921</v>
      </c>
    </row>
    <row r="1154" spans="1:2" x14ac:dyDescent="0.2">
      <c r="A1154" t="s">
        <v>4062</v>
      </c>
      <c r="B1154" s="159" t="s">
        <v>4063</v>
      </c>
    </row>
    <row r="1155" spans="1:2" x14ac:dyDescent="0.2">
      <c r="A1155" s="159" t="s">
        <v>4064</v>
      </c>
      <c r="B1155" s="159"/>
    </row>
    <row r="1156" spans="1:2" x14ac:dyDescent="0.2">
      <c r="A1156" s="159" t="s">
        <v>4065</v>
      </c>
      <c r="B1156" s="159" t="s">
        <v>4066</v>
      </c>
    </row>
    <row r="1157" spans="1:2" x14ac:dyDescent="0.2">
      <c r="A1157" t="s">
        <v>4067</v>
      </c>
      <c r="B1157" s="159"/>
    </row>
    <row r="1158" spans="1:2" x14ac:dyDescent="0.2">
      <c r="A1158" t="s">
        <v>4068</v>
      </c>
      <c r="B1158" s="159"/>
    </row>
    <row r="1159" spans="1:2" x14ac:dyDescent="0.2">
      <c r="A1159" t="s">
        <v>4069</v>
      </c>
      <c r="B1159" s="159"/>
    </row>
    <row r="1160" spans="1:2" x14ac:dyDescent="0.2">
      <c r="A1160" t="s">
        <v>4070</v>
      </c>
      <c r="B1160" s="159"/>
    </row>
    <row r="1161" spans="1:2" x14ac:dyDescent="0.2">
      <c r="A1161" t="s">
        <v>4071</v>
      </c>
      <c r="B1161" s="159"/>
    </row>
    <row r="1162" spans="1:2" x14ac:dyDescent="0.2">
      <c r="A1162" t="s">
        <v>4072</v>
      </c>
      <c r="B1162" s="159"/>
    </row>
    <row r="1163" spans="1:2" x14ac:dyDescent="0.2">
      <c r="A1163" t="s">
        <v>4073</v>
      </c>
      <c r="B1163" s="159"/>
    </row>
    <row r="1164" spans="1:2" x14ac:dyDescent="0.2">
      <c r="A1164" t="s">
        <v>4074</v>
      </c>
      <c r="B1164" s="159"/>
    </row>
    <row r="1165" spans="1:2" x14ac:dyDescent="0.2">
      <c r="A1165" t="s">
        <v>4075</v>
      </c>
      <c r="B1165" s="159"/>
    </row>
    <row r="1166" spans="1:2" x14ac:dyDescent="0.2">
      <c r="A1166" t="s">
        <v>4076</v>
      </c>
      <c r="B1166" s="159"/>
    </row>
    <row r="1167" spans="1:2" x14ac:dyDescent="0.2">
      <c r="A1167" t="s">
        <v>4077</v>
      </c>
      <c r="B1167" s="159"/>
    </row>
    <row r="1168" spans="1:2" x14ac:dyDescent="0.2">
      <c r="A1168" t="s">
        <v>4078</v>
      </c>
      <c r="B1168" s="159"/>
    </row>
    <row r="1169" spans="1:2" x14ac:dyDescent="0.2">
      <c r="A1169" t="s">
        <v>4079</v>
      </c>
      <c r="B1169" s="159"/>
    </row>
    <row r="1170" spans="1:2" x14ac:dyDescent="0.2">
      <c r="A1170" t="s">
        <v>4080</v>
      </c>
      <c r="B1170" s="159"/>
    </row>
    <row r="1171" spans="1:2" x14ac:dyDescent="0.2">
      <c r="A1171" t="s">
        <v>4081</v>
      </c>
      <c r="B1171" s="159"/>
    </row>
    <row r="1172" spans="1:2" x14ac:dyDescent="0.2">
      <c r="A1172" s="207" t="s">
        <v>4082</v>
      </c>
      <c r="B1172" s="159"/>
    </row>
    <row r="1173" spans="1:2" x14ac:dyDescent="0.2">
      <c r="A1173" t="s">
        <v>4083</v>
      </c>
      <c r="B1173" s="159"/>
    </row>
    <row r="1174" spans="1:2" x14ac:dyDescent="0.2">
      <c r="A1174" s="159" t="s">
        <v>4084</v>
      </c>
      <c r="B1174" s="159" t="s">
        <v>4085</v>
      </c>
    </row>
    <row r="1175" spans="1:2" x14ac:dyDescent="0.2">
      <c r="A1175" s="159" t="s">
        <v>4086</v>
      </c>
      <c r="B1175" s="159" t="s">
        <v>4063</v>
      </c>
    </row>
    <row r="1176" spans="1:2" x14ac:dyDescent="0.2">
      <c r="A1176" s="159" t="s">
        <v>4087</v>
      </c>
      <c r="B1176" s="159" t="s">
        <v>4063</v>
      </c>
    </row>
    <row r="1177" spans="1:2" x14ac:dyDescent="0.2">
      <c r="A1177" s="159" t="s">
        <v>4088</v>
      </c>
      <c r="B1177" s="159" t="s">
        <v>4063</v>
      </c>
    </row>
    <row r="1178" spans="1:2" x14ac:dyDescent="0.2">
      <c r="A1178" t="s">
        <v>4089</v>
      </c>
      <c r="B1178" s="159"/>
    </row>
    <row r="1179" spans="1:2" x14ac:dyDescent="0.2">
      <c r="A1179" t="s">
        <v>4090</v>
      </c>
      <c r="B1179"/>
    </row>
    <row r="1180" spans="1:2" x14ac:dyDescent="0.2">
      <c r="A1180" t="s">
        <v>4091</v>
      </c>
      <c r="B1180"/>
    </row>
    <row r="1181" spans="1:2" x14ac:dyDescent="0.2">
      <c r="A1181" t="s">
        <v>4092</v>
      </c>
      <c r="B1181"/>
    </row>
    <row r="1182" spans="1:2" x14ac:dyDescent="0.2">
      <c r="A1182" t="s">
        <v>4093</v>
      </c>
      <c r="B1182" s="159"/>
    </row>
    <row r="1183" spans="1:2" x14ac:dyDescent="0.2">
      <c r="A1183" t="s">
        <v>4094</v>
      </c>
      <c r="B1183" s="159" t="s">
        <v>4095</v>
      </c>
    </row>
    <row r="1184" spans="1:2" x14ac:dyDescent="0.2">
      <c r="A1184" t="s">
        <v>4096</v>
      </c>
      <c r="B1184" s="159"/>
    </row>
    <row r="1185" spans="1:2" x14ac:dyDescent="0.2">
      <c r="A1185" t="s">
        <v>4097</v>
      </c>
      <c r="B1185" s="159" t="s">
        <v>3439</v>
      </c>
    </row>
    <row r="1186" spans="1:2" x14ac:dyDescent="0.2">
      <c r="A1186" t="s">
        <v>4098</v>
      </c>
      <c r="B1186" s="159" t="s">
        <v>2938</v>
      </c>
    </row>
    <row r="1187" spans="1:2" x14ac:dyDescent="0.2">
      <c r="A1187" t="s">
        <v>4099</v>
      </c>
      <c r="B1187" s="159" t="s">
        <v>2921</v>
      </c>
    </row>
    <row r="1188" spans="1:2" x14ac:dyDescent="0.2">
      <c r="A1188" t="s">
        <v>4100</v>
      </c>
      <c r="B1188" s="159" t="s">
        <v>4101</v>
      </c>
    </row>
    <row r="1189" spans="1:2" x14ac:dyDescent="0.2">
      <c r="A1189" t="s">
        <v>4102</v>
      </c>
      <c r="B1189" s="159"/>
    </row>
    <row r="1190" spans="1:2" x14ac:dyDescent="0.2">
      <c r="A1190" t="s">
        <v>4103</v>
      </c>
      <c r="B1190" s="159" t="s">
        <v>4104</v>
      </c>
    </row>
    <row r="1191" spans="1:2" x14ac:dyDescent="0.2">
      <c r="A1191" s="159" t="s">
        <v>4105</v>
      </c>
      <c r="B1191" s="159" t="s">
        <v>4106</v>
      </c>
    </row>
    <row r="1192" spans="1:2" x14ac:dyDescent="0.2">
      <c r="A1192" t="s">
        <v>4107</v>
      </c>
      <c r="B1192" s="159"/>
    </row>
    <row r="1193" spans="1:2" x14ac:dyDescent="0.2">
      <c r="A1193" t="s">
        <v>4108</v>
      </c>
      <c r="B1193"/>
    </row>
    <row r="1194" spans="1:2" x14ac:dyDescent="0.2">
      <c r="A1194" t="s">
        <v>4109</v>
      </c>
      <c r="B1194"/>
    </row>
    <row r="1195" spans="1:2" x14ac:dyDescent="0.2">
      <c r="A1195" t="s">
        <v>4110</v>
      </c>
      <c r="B1195"/>
    </row>
    <row r="1196" spans="1:2" x14ac:dyDescent="0.2">
      <c r="A1196" t="s">
        <v>4111</v>
      </c>
      <c r="B1196" t="s">
        <v>3956</v>
      </c>
    </row>
    <row r="1197" spans="1:2" x14ac:dyDescent="0.2">
      <c r="A1197" t="s">
        <v>4112</v>
      </c>
      <c r="B1197" t="s">
        <v>3956</v>
      </c>
    </row>
    <row r="1198" spans="1:2" x14ac:dyDescent="0.2">
      <c r="A1198" t="s">
        <v>4113</v>
      </c>
      <c r="B1198"/>
    </row>
    <row r="1199" spans="1:2" x14ac:dyDescent="0.2">
      <c r="A1199" t="s">
        <v>4114</v>
      </c>
      <c r="B1199"/>
    </row>
    <row r="1200" spans="1:2" x14ac:dyDescent="0.2">
      <c r="A1200" t="s">
        <v>4115</v>
      </c>
      <c r="B1200"/>
    </row>
    <row r="1201" spans="1:3" x14ac:dyDescent="0.2">
      <c r="A1201" t="s">
        <v>4116</v>
      </c>
      <c r="B1201"/>
    </row>
    <row r="1202" spans="1:3" x14ac:dyDescent="0.2">
      <c r="A1202" t="s">
        <v>4117</v>
      </c>
      <c r="B1202"/>
    </row>
    <row r="1203" spans="1:3" x14ac:dyDescent="0.2">
      <c r="A1203" t="s">
        <v>4118</v>
      </c>
      <c r="B1203"/>
    </row>
    <row r="1204" spans="1:3" x14ac:dyDescent="0.2">
      <c r="A1204" t="s">
        <v>4119</v>
      </c>
      <c r="B1204"/>
    </row>
    <row r="1205" spans="1:3" x14ac:dyDescent="0.2">
      <c r="A1205" t="s">
        <v>4120</v>
      </c>
      <c r="B1205" t="s">
        <v>2921</v>
      </c>
    </row>
    <row r="1206" spans="1:3" x14ac:dyDescent="0.2">
      <c r="A1206" t="s">
        <v>4121</v>
      </c>
      <c r="B1206" s="159" t="s">
        <v>4122</v>
      </c>
    </row>
    <row r="1207" spans="1:3" x14ac:dyDescent="0.2">
      <c r="A1207" t="s">
        <v>4123</v>
      </c>
      <c r="B1207" t="s">
        <v>4124</v>
      </c>
    </row>
    <row r="1208" spans="1:3" x14ac:dyDescent="0.2">
      <c r="A1208" t="s">
        <v>4125</v>
      </c>
      <c r="B1208"/>
    </row>
    <row r="1209" spans="1:3" x14ac:dyDescent="0.2">
      <c r="A1209" t="s">
        <v>4126</v>
      </c>
      <c r="B1209"/>
    </row>
    <row r="1210" spans="1:3" x14ac:dyDescent="0.2">
      <c r="A1210" t="s">
        <v>4127</v>
      </c>
      <c r="B1210"/>
    </row>
    <row r="1211" spans="1:3" x14ac:dyDescent="0.2">
      <c r="A1211" t="s">
        <v>4128</v>
      </c>
      <c r="B1211" t="s">
        <v>4129</v>
      </c>
    </row>
    <row r="1212" spans="1:3" x14ac:dyDescent="0.2">
      <c r="A1212" t="s">
        <v>4130</v>
      </c>
      <c r="B1212" t="s">
        <v>4129</v>
      </c>
    </row>
    <row r="1213" spans="1:3" x14ac:dyDescent="0.2">
      <c r="A1213" t="s">
        <v>4131</v>
      </c>
      <c r="B1213"/>
    </row>
    <row r="1214" spans="1:3" x14ac:dyDescent="0.2">
      <c r="A1214" t="s">
        <v>4132</v>
      </c>
      <c r="B1214"/>
    </row>
    <row r="1215" spans="1:3" x14ac:dyDescent="0.2">
      <c r="A1215" t="s">
        <v>4133</v>
      </c>
      <c r="B1215"/>
    </row>
    <row r="1216" spans="1:3" x14ac:dyDescent="0.2">
      <c r="A1216" s="900" t="s">
        <v>4134</v>
      </c>
      <c r="B1216" s="938" t="s">
        <v>2843</v>
      </c>
      <c r="C1216" s="166">
        <v>2490</v>
      </c>
    </row>
    <row r="1217" spans="1:3" x14ac:dyDescent="0.2">
      <c r="A1217" s="2248" t="s">
        <v>4135</v>
      </c>
      <c r="B1217" s="2262"/>
    </row>
    <row r="1218" spans="1:3" x14ac:dyDescent="0.2">
      <c r="A1218" s="809" t="s">
        <v>2781</v>
      </c>
      <c r="B1218" s="938"/>
      <c r="C1218" s="166">
        <v>2510</v>
      </c>
    </row>
    <row r="1219" spans="1:3" x14ac:dyDescent="0.2">
      <c r="A1219" s="159" t="s">
        <v>4136</v>
      </c>
      <c r="B1219" s="2269"/>
    </row>
    <row r="1220" spans="1:3" ht="25.5" x14ac:dyDescent="0.2">
      <c r="A1220" s="904" t="s">
        <v>4137</v>
      </c>
      <c r="B1220" s="2263" t="s">
        <v>4138</v>
      </c>
    </row>
    <row r="1221" spans="1:3" x14ac:dyDescent="0.2">
      <c r="A1221" s="900" t="s">
        <v>2782</v>
      </c>
      <c r="B1221" s="964"/>
      <c r="C1221" s="166">
        <v>2520</v>
      </c>
    </row>
    <row r="1222" spans="1:3" x14ac:dyDescent="0.2">
      <c r="A1222" s="900" t="s">
        <v>4139</v>
      </c>
      <c r="B1222" s="938" t="s">
        <v>2843</v>
      </c>
      <c r="C1222" s="166">
        <v>2520</v>
      </c>
    </row>
    <row r="1223" spans="1:3" x14ac:dyDescent="0.2">
      <c r="A1223" t="s">
        <v>4140</v>
      </c>
      <c r="B1223"/>
    </row>
    <row r="1224" spans="1:3" x14ac:dyDescent="0.2">
      <c r="A1224" t="s">
        <v>4141</v>
      </c>
      <c r="B1224"/>
    </row>
    <row r="1225" spans="1:3" x14ac:dyDescent="0.2">
      <c r="A1225" s="159" t="s">
        <v>4142</v>
      </c>
      <c r="B1225"/>
    </row>
    <row r="1226" spans="1:3" x14ac:dyDescent="0.2">
      <c r="A1226" t="s">
        <v>4143</v>
      </c>
      <c r="B1226"/>
    </row>
    <row r="1227" spans="1:3" x14ac:dyDescent="0.2">
      <c r="A1227" t="s">
        <v>4144</v>
      </c>
      <c r="B1227"/>
    </row>
    <row r="1228" spans="1:3" x14ac:dyDescent="0.2">
      <c r="A1228" t="s">
        <v>4145</v>
      </c>
      <c r="B1228"/>
    </row>
    <row r="1229" spans="1:3" x14ac:dyDescent="0.2">
      <c r="A1229" s="159" t="s">
        <v>4146</v>
      </c>
      <c r="B1229" s="159" t="s">
        <v>4063</v>
      </c>
    </row>
    <row r="1230" spans="1:3" x14ac:dyDescent="0.2">
      <c r="A1230" s="159" t="s">
        <v>4147</v>
      </c>
      <c r="B1230" s="159" t="s">
        <v>4148</v>
      </c>
    </row>
    <row r="1231" spans="1:3" x14ac:dyDescent="0.2">
      <c r="A1231" t="s">
        <v>4149</v>
      </c>
      <c r="B1231" s="159" t="s">
        <v>4150</v>
      </c>
    </row>
    <row r="1232" spans="1:3" x14ac:dyDescent="0.2">
      <c r="A1232" t="s">
        <v>4151</v>
      </c>
      <c r="B1232" s="159" t="s">
        <v>4152</v>
      </c>
    </row>
    <row r="1233" spans="1:2" x14ac:dyDescent="0.2">
      <c r="A1233" t="s">
        <v>4153</v>
      </c>
      <c r="B1233" s="159" t="s">
        <v>4152</v>
      </c>
    </row>
    <row r="1234" spans="1:2" x14ac:dyDescent="0.2">
      <c r="A1234" t="s">
        <v>4154</v>
      </c>
      <c r="B1234" s="159" t="s">
        <v>4152</v>
      </c>
    </row>
    <row r="1235" spans="1:2" x14ac:dyDescent="0.2">
      <c r="A1235" s="159" t="s">
        <v>4155</v>
      </c>
      <c r="B1235" s="159" t="s">
        <v>4156</v>
      </c>
    </row>
    <row r="1236" spans="1:2" x14ac:dyDescent="0.2">
      <c r="A1236" t="s">
        <v>4157</v>
      </c>
      <c r="B1236" s="159" t="s">
        <v>4152</v>
      </c>
    </row>
    <row r="1237" spans="1:2" x14ac:dyDescent="0.2">
      <c r="A1237" t="s">
        <v>4158</v>
      </c>
      <c r="B1237" s="159"/>
    </row>
    <row r="1238" spans="1:2" x14ac:dyDescent="0.2">
      <c r="A1238" t="s">
        <v>4159</v>
      </c>
      <c r="B1238" s="159"/>
    </row>
    <row r="1239" spans="1:2" x14ac:dyDescent="0.2">
      <c r="A1239" s="159" t="s">
        <v>4160</v>
      </c>
      <c r="B1239" s="159" t="s">
        <v>4101</v>
      </c>
    </row>
    <row r="1240" spans="1:2" x14ac:dyDescent="0.2">
      <c r="A1240" s="159" t="s">
        <v>4161</v>
      </c>
      <c r="B1240" s="159" t="s">
        <v>4101</v>
      </c>
    </row>
    <row r="1241" spans="1:2" x14ac:dyDescent="0.2">
      <c r="A1241" t="s">
        <v>4162</v>
      </c>
      <c r="B1241"/>
    </row>
    <row r="1242" spans="1:2" x14ac:dyDescent="0.2">
      <c r="A1242" t="s">
        <v>4163</v>
      </c>
      <c r="B1242"/>
    </row>
    <row r="1243" spans="1:2" x14ac:dyDescent="0.2">
      <c r="A1243" t="s">
        <v>4164</v>
      </c>
      <c r="B1243"/>
    </row>
    <row r="1244" spans="1:2" x14ac:dyDescent="0.2">
      <c r="A1244" t="s">
        <v>4165</v>
      </c>
      <c r="B1244"/>
    </row>
    <row r="1245" spans="1:2" x14ac:dyDescent="0.2">
      <c r="A1245" t="s">
        <v>4166</v>
      </c>
      <c r="B1245"/>
    </row>
    <row r="1246" spans="1:2" x14ac:dyDescent="0.2">
      <c r="A1246" t="s">
        <v>4167</v>
      </c>
      <c r="B1246"/>
    </row>
    <row r="1247" spans="1:2" x14ac:dyDescent="0.2">
      <c r="A1247" t="s">
        <v>4168</v>
      </c>
      <c r="B1247"/>
    </row>
    <row r="1248" spans="1:2" x14ac:dyDescent="0.2">
      <c r="A1248" t="s">
        <v>4169</v>
      </c>
      <c r="B1248" s="159"/>
    </row>
    <row r="1249" spans="1:2" x14ac:dyDescent="0.2">
      <c r="A1249" t="s">
        <v>4170</v>
      </c>
      <c r="B1249" s="159"/>
    </row>
    <row r="1250" spans="1:2" x14ac:dyDescent="0.2">
      <c r="A1250" t="s">
        <v>4171</v>
      </c>
      <c r="B1250" s="159"/>
    </row>
    <row r="1251" spans="1:2" x14ac:dyDescent="0.2">
      <c r="A1251" t="s">
        <v>4172</v>
      </c>
      <c r="B1251" s="159" t="s">
        <v>4173</v>
      </c>
    </row>
    <row r="1252" spans="1:2" x14ac:dyDescent="0.2">
      <c r="A1252" t="s">
        <v>4170</v>
      </c>
      <c r="B1252" s="159"/>
    </row>
    <row r="1253" spans="1:2" x14ac:dyDescent="0.2">
      <c r="A1253" t="s">
        <v>4174</v>
      </c>
      <c r="B1253" s="159"/>
    </row>
    <row r="1254" spans="1:2" x14ac:dyDescent="0.2">
      <c r="A1254" t="s">
        <v>4175</v>
      </c>
      <c r="B1254" s="159"/>
    </row>
    <row r="1255" spans="1:2" x14ac:dyDescent="0.2">
      <c r="A1255" t="s">
        <v>4176</v>
      </c>
      <c r="B1255" s="159"/>
    </row>
    <row r="1256" spans="1:2" x14ac:dyDescent="0.2">
      <c r="A1256" t="s">
        <v>4177</v>
      </c>
      <c r="B1256" s="159" t="s">
        <v>4178</v>
      </c>
    </row>
    <row r="1257" spans="1:2" x14ac:dyDescent="0.2">
      <c r="A1257" t="s">
        <v>4179</v>
      </c>
      <c r="B1257" s="159"/>
    </row>
    <row r="1258" spans="1:2" x14ac:dyDescent="0.2">
      <c r="A1258" t="s">
        <v>4180</v>
      </c>
      <c r="B1258" s="159"/>
    </row>
    <row r="1259" spans="1:2" x14ac:dyDescent="0.2">
      <c r="A1259" t="s">
        <v>4181</v>
      </c>
      <c r="B1259"/>
    </row>
    <row r="1260" spans="1:2" x14ac:dyDescent="0.2">
      <c r="A1260" t="s">
        <v>4182</v>
      </c>
      <c r="B1260"/>
    </row>
    <row r="1261" spans="1:2" x14ac:dyDescent="0.2">
      <c r="A1261" t="s">
        <v>4183</v>
      </c>
      <c r="B1261" t="s">
        <v>4184</v>
      </c>
    </row>
    <row r="1262" spans="1:2" x14ac:dyDescent="0.2">
      <c r="A1262" s="909" t="s">
        <v>4185</v>
      </c>
      <c r="B1262" t="s">
        <v>2938</v>
      </c>
    </row>
    <row r="1263" spans="1:2" x14ac:dyDescent="0.2">
      <c r="A1263" s="909" t="s">
        <v>4186</v>
      </c>
      <c r="B1263" t="s">
        <v>2938</v>
      </c>
    </row>
    <row r="1264" spans="1:2" x14ac:dyDescent="0.2">
      <c r="A1264" t="s">
        <v>4187</v>
      </c>
      <c r="B1264" t="s">
        <v>4188</v>
      </c>
    </row>
    <row r="1265" spans="1:2" x14ac:dyDescent="0.2">
      <c r="A1265" t="s">
        <v>4189</v>
      </c>
      <c r="B1265"/>
    </row>
    <row r="1266" spans="1:2" x14ac:dyDescent="0.2">
      <c r="A1266" t="s">
        <v>4190</v>
      </c>
      <c r="B1266"/>
    </row>
    <row r="1267" spans="1:2" x14ac:dyDescent="0.2">
      <c r="A1267" t="s">
        <v>4191</v>
      </c>
      <c r="B1267"/>
    </row>
    <row r="1268" spans="1:2" x14ac:dyDescent="0.2">
      <c r="A1268" t="s">
        <v>4192</v>
      </c>
      <c r="B1268"/>
    </row>
    <row r="1269" spans="1:2" x14ac:dyDescent="0.2">
      <c r="A1269" t="s">
        <v>4193</v>
      </c>
      <c r="B1269"/>
    </row>
    <row r="1270" spans="1:2" x14ac:dyDescent="0.2">
      <c r="A1270" t="s">
        <v>4194</v>
      </c>
      <c r="B1270"/>
    </row>
    <row r="1271" spans="1:2" x14ac:dyDescent="0.2">
      <c r="A1271" t="s">
        <v>4195</v>
      </c>
      <c r="B1271"/>
    </row>
    <row r="1272" spans="1:2" x14ac:dyDescent="0.2">
      <c r="A1272" t="s">
        <v>4196</v>
      </c>
      <c r="B1272"/>
    </row>
    <row r="1273" spans="1:2" x14ac:dyDescent="0.2">
      <c r="A1273" t="s">
        <v>4197</v>
      </c>
      <c r="B1273"/>
    </row>
    <row r="1274" spans="1:2" x14ac:dyDescent="0.2">
      <c r="A1274" t="s">
        <v>4198</v>
      </c>
      <c r="B1274"/>
    </row>
    <row r="1275" spans="1:2" x14ac:dyDescent="0.2">
      <c r="A1275" t="s">
        <v>4199</v>
      </c>
      <c r="B1275"/>
    </row>
    <row r="1276" spans="1:2" x14ac:dyDescent="0.2">
      <c r="A1276" t="s">
        <v>4200</v>
      </c>
      <c r="B1276"/>
    </row>
    <row r="1277" spans="1:2" x14ac:dyDescent="0.2">
      <c r="A1277" t="s">
        <v>4201</v>
      </c>
      <c r="B1277"/>
    </row>
    <row r="1278" spans="1:2" x14ac:dyDescent="0.2">
      <c r="A1278" t="s">
        <v>4202</v>
      </c>
      <c r="B1278"/>
    </row>
    <row r="1279" spans="1:2" x14ac:dyDescent="0.2">
      <c r="A1279" t="s">
        <v>4203</v>
      </c>
      <c r="B1279"/>
    </row>
    <row r="1280" spans="1:2" x14ac:dyDescent="0.2">
      <c r="A1280" t="s">
        <v>4204</v>
      </c>
      <c r="B1280"/>
    </row>
    <row r="1281" spans="1:3" x14ac:dyDescent="0.2">
      <c r="A1281" t="s">
        <v>4205</v>
      </c>
      <c r="B1281"/>
    </row>
    <row r="1282" spans="1:3" x14ac:dyDescent="0.2">
      <c r="A1282" t="s">
        <v>4206</v>
      </c>
      <c r="B1282"/>
    </row>
    <row r="1283" spans="1:3" x14ac:dyDescent="0.2">
      <c r="A1283" t="s">
        <v>4207</v>
      </c>
      <c r="B1283"/>
    </row>
    <row r="1284" spans="1:3" x14ac:dyDescent="0.2">
      <c r="A1284" t="s">
        <v>4208</v>
      </c>
      <c r="B1284"/>
    </row>
    <row r="1285" spans="1:3" x14ac:dyDescent="0.2">
      <c r="A1285" t="s">
        <v>4209</v>
      </c>
      <c r="B1285"/>
    </row>
    <row r="1286" spans="1:3" x14ac:dyDescent="0.2">
      <c r="A1286" t="s">
        <v>4210</v>
      </c>
      <c r="B1286"/>
    </row>
    <row r="1287" spans="1:3" x14ac:dyDescent="0.2">
      <c r="A1287" s="900" t="s">
        <v>4211</v>
      </c>
      <c r="B1287" s="938" t="s">
        <v>2843</v>
      </c>
      <c r="C1287" s="166">
        <v>2520</v>
      </c>
    </row>
    <row r="1288" spans="1:3" x14ac:dyDescent="0.2">
      <c r="A1288" t="s">
        <v>4212</v>
      </c>
      <c r="B1288"/>
    </row>
    <row r="1289" spans="1:3" x14ac:dyDescent="0.2">
      <c r="A1289" t="s">
        <v>4213</v>
      </c>
      <c r="B1289"/>
    </row>
    <row r="1290" spans="1:3" x14ac:dyDescent="0.2">
      <c r="A1290" t="s">
        <v>4214</v>
      </c>
      <c r="B1290"/>
    </row>
    <row r="1291" spans="1:3" x14ac:dyDescent="0.2">
      <c r="A1291" t="s">
        <v>4215</v>
      </c>
      <c r="B1291"/>
    </row>
    <row r="1292" spans="1:3" x14ac:dyDescent="0.2">
      <c r="A1292" t="s">
        <v>4216</v>
      </c>
      <c r="B1292"/>
    </row>
    <row r="1293" spans="1:3" x14ac:dyDescent="0.2">
      <c r="A1293" t="s">
        <v>4217</v>
      </c>
      <c r="B1293"/>
    </row>
    <row r="1294" spans="1:3" x14ac:dyDescent="0.2">
      <c r="A1294" t="s">
        <v>4218</v>
      </c>
      <c r="B1294"/>
    </row>
    <row r="1295" spans="1:3" x14ac:dyDescent="0.2">
      <c r="A1295" t="s">
        <v>4219</v>
      </c>
      <c r="B1295"/>
    </row>
    <row r="1296" spans="1:3" x14ac:dyDescent="0.2">
      <c r="A1296" t="s">
        <v>4220</v>
      </c>
      <c r="B1296"/>
    </row>
    <row r="1297" spans="1:3" x14ac:dyDescent="0.2">
      <c r="A1297" s="900" t="s">
        <v>4221</v>
      </c>
      <c r="B1297" s="938" t="s">
        <v>2843</v>
      </c>
      <c r="C1297" s="166">
        <v>2520</v>
      </c>
    </row>
    <row r="1298" spans="1:3" x14ac:dyDescent="0.2">
      <c r="A1298" t="s">
        <v>4222</v>
      </c>
      <c r="B1298"/>
    </row>
    <row r="1299" spans="1:3" x14ac:dyDescent="0.2">
      <c r="A1299" t="s">
        <v>4223</v>
      </c>
      <c r="B1299"/>
    </row>
    <row r="1300" spans="1:3" x14ac:dyDescent="0.2">
      <c r="A1300" t="s">
        <v>4224</v>
      </c>
      <c r="B1300"/>
    </row>
    <row r="1301" spans="1:3" x14ac:dyDescent="0.2">
      <c r="A1301" t="s">
        <v>4225</v>
      </c>
      <c r="B1301"/>
    </row>
    <row r="1302" spans="1:3" x14ac:dyDescent="0.2">
      <c r="A1302" t="s">
        <v>4226</v>
      </c>
      <c r="B1302"/>
    </row>
    <row r="1303" spans="1:3" x14ac:dyDescent="0.2">
      <c r="A1303" t="s">
        <v>4227</v>
      </c>
      <c r="B1303"/>
    </row>
    <row r="1304" spans="1:3" x14ac:dyDescent="0.2">
      <c r="A1304" t="s">
        <v>4228</v>
      </c>
      <c r="B1304"/>
    </row>
    <row r="1305" spans="1:3" x14ac:dyDescent="0.2">
      <c r="A1305" t="s">
        <v>4229</v>
      </c>
      <c r="B1305"/>
    </row>
    <row r="1306" spans="1:3" x14ac:dyDescent="0.2">
      <c r="A1306" t="s">
        <v>4230</v>
      </c>
      <c r="B1306"/>
    </row>
    <row r="1307" spans="1:3" x14ac:dyDescent="0.2">
      <c r="A1307" t="s">
        <v>4231</v>
      </c>
      <c r="B1307"/>
    </row>
    <row r="1308" spans="1:3" x14ac:dyDescent="0.2">
      <c r="A1308" t="s">
        <v>4232</v>
      </c>
      <c r="B1308"/>
    </row>
    <row r="1309" spans="1:3" x14ac:dyDescent="0.2">
      <c r="A1309" t="s">
        <v>4233</v>
      </c>
      <c r="B1309"/>
    </row>
    <row r="1310" spans="1:3" x14ac:dyDescent="0.2">
      <c r="A1310" t="s">
        <v>4234</v>
      </c>
      <c r="B1310"/>
    </row>
    <row r="1311" spans="1:3" x14ac:dyDescent="0.2">
      <c r="A1311" t="s">
        <v>4235</v>
      </c>
      <c r="B1311"/>
    </row>
    <row r="1312" spans="1:3" x14ac:dyDescent="0.2">
      <c r="A1312" t="s">
        <v>4236</v>
      </c>
      <c r="B1312"/>
    </row>
    <row r="1313" spans="1:3" x14ac:dyDescent="0.2">
      <c r="A1313" t="s">
        <v>4237</v>
      </c>
      <c r="B1313"/>
    </row>
    <row r="1314" spans="1:3" x14ac:dyDescent="0.2">
      <c r="A1314" t="s">
        <v>4238</v>
      </c>
      <c r="B1314"/>
    </row>
    <row r="1315" spans="1:3" x14ac:dyDescent="0.2">
      <c r="A1315" t="s">
        <v>4239</v>
      </c>
      <c r="B1315"/>
    </row>
    <row r="1316" spans="1:3" x14ac:dyDescent="0.2">
      <c r="A1316" t="s">
        <v>4240</v>
      </c>
      <c r="B1316"/>
    </row>
    <row r="1317" spans="1:3" x14ac:dyDescent="0.2">
      <c r="A1317" t="s">
        <v>4241</v>
      </c>
      <c r="B1317"/>
    </row>
    <row r="1318" spans="1:3" x14ac:dyDescent="0.2">
      <c r="A1318" t="s">
        <v>4242</v>
      </c>
      <c r="B1318"/>
    </row>
    <row r="1319" spans="1:3" x14ac:dyDescent="0.2">
      <c r="A1319" s="900" t="s">
        <v>4243</v>
      </c>
      <c r="B1319" s="938" t="s">
        <v>2843</v>
      </c>
      <c r="C1319" s="166">
        <v>2520</v>
      </c>
    </row>
    <row r="1320" spans="1:3" x14ac:dyDescent="0.2">
      <c r="A1320" s="909" t="s">
        <v>4244</v>
      </c>
      <c r="B1320" s="159" t="s">
        <v>4245</v>
      </c>
    </row>
    <row r="1321" spans="1:3" x14ac:dyDescent="0.2">
      <c r="A1321" t="s">
        <v>4246</v>
      </c>
      <c r="B1321"/>
    </row>
    <row r="1322" spans="1:3" x14ac:dyDescent="0.2">
      <c r="A1322" t="s">
        <v>4247</v>
      </c>
      <c r="B1322"/>
    </row>
    <row r="1323" spans="1:3" x14ac:dyDescent="0.2">
      <c r="A1323" t="s">
        <v>4248</v>
      </c>
      <c r="B1323"/>
    </row>
    <row r="1324" spans="1:3" x14ac:dyDescent="0.2">
      <c r="A1324" t="s">
        <v>4249</v>
      </c>
      <c r="B1324"/>
    </row>
    <row r="1325" spans="1:3" x14ac:dyDescent="0.2">
      <c r="A1325" t="s">
        <v>4250</v>
      </c>
      <c r="B1325"/>
    </row>
    <row r="1326" spans="1:3" x14ac:dyDescent="0.2">
      <c r="A1326" t="s">
        <v>4251</v>
      </c>
      <c r="B1326" t="s">
        <v>4150</v>
      </c>
    </row>
    <row r="1327" spans="1:3" x14ac:dyDescent="0.2">
      <c r="A1327" t="s">
        <v>4252</v>
      </c>
      <c r="B1327" t="s">
        <v>4150</v>
      </c>
    </row>
    <row r="1328" spans="1:3" x14ac:dyDescent="0.2">
      <c r="A1328" t="s">
        <v>4253</v>
      </c>
      <c r="B1328" t="s">
        <v>4152</v>
      </c>
    </row>
    <row r="1329" spans="1:3" x14ac:dyDescent="0.2">
      <c r="A1329" t="s">
        <v>4254</v>
      </c>
      <c r="B1329" t="s">
        <v>4152</v>
      </c>
    </row>
    <row r="1330" spans="1:3" x14ac:dyDescent="0.2">
      <c r="B1330"/>
    </row>
    <row r="1331" spans="1:3" x14ac:dyDescent="0.2">
      <c r="A1331" s="900" t="s">
        <v>4255</v>
      </c>
      <c r="B1331" s="938" t="s">
        <v>2843</v>
      </c>
      <c r="C1331" s="166">
        <v>2520</v>
      </c>
    </row>
    <row r="1332" spans="1:3" x14ac:dyDescent="0.2">
      <c r="A1332" t="s">
        <v>4256</v>
      </c>
      <c r="B1332"/>
    </row>
    <row r="1333" spans="1:3" x14ac:dyDescent="0.2">
      <c r="A1333" t="s">
        <v>4257</v>
      </c>
      <c r="B1333" s="159" t="s">
        <v>4152</v>
      </c>
    </row>
    <row r="1334" spans="1:3" x14ac:dyDescent="0.2">
      <c r="A1334" s="159" t="s">
        <v>4258</v>
      </c>
      <c r="B1334" s="159" t="s">
        <v>4101</v>
      </c>
    </row>
    <row r="1335" spans="1:3" x14ac:dyDescent="0.2">
      <c r="A1335" s="159" t="s">
        <v>4259</v>
      </c>
      <c r="B1335" s="159" t="s">
        <v>4101</v>
      </c>
    </row>
    <row r="1336" spans="1:3" x14ac:dyDescent="0.2">
      <c r="A1336" s="159" t="s">
        <v>4260</v>
      </c>
      <c r="B1336" s="159" t="s">
        <v>4101</v>
      </c>
    </row>
    <row r="1337" spans="1:3" x14ac:dyDescent="0.2">
      <c r="A1337" s="159" t="s">
        <v>4261</v>
      </c>
      <c r="B1337" s="159" t="s">
        <v>4101</v>
      </c>
    </row>
    <row r="1338" spans="1:3" x14ac:dyDescent="0.2">
      <c r="A1338" s="159" t="s">
        <v>4262</v>
      </c>
      <c r="B1338" s="159" t="s">
        <v>4101</v>
      </c>
    </row>
    <row r="1339" spans="1:3" x14ac:dyDescent="0.2">
      <c r="A1339" s="159" t="s">
        <v>4263</v>
      </c>
      <c r="B1339" s="159" t="s">
        <v>4101</v>
      </c>
    </row>
    <row r="1340" spans="1:3" x14ac:dyDescent="0.2">
      <c r="A1340" s="900" t="s">
        <v>4264</v>
      </c>
      <c r="B1340" s="938" t="s">
        <v>2843</v>
      </c>
      <c r="C1340" s="166">
        <v>2520</v>
      </c>
    </row>
    <row r="1341" spans="1:3" x14ac:dyDescent="0.2">
      <c r="A1341" t="s">
        <v>4172</v>
      </c>
      <c r="B1341"/>
    </row>
    <row r="1342" spans="1:3" x14ac:dyDescent="0.2">
      <c r="A1342" t="s">
        <v>4265</v>
      </c>
      <c r="B1342"/>
    </row>
    <row r="1343" spans="1:3" x14ac:dyDescent="0.2">
      <c r="A1343" t="s">
        <v>4266</v>
      </c>
      <c r="B1343"/>
    </row>
    <row r="1344" spans="1:3" x14ac:dyDescent="0.2">
      <c r="A1344" t="s">
        <v>4267</v>
      </c>
      <c r="B1344"/>
    </row>
    <row r="1345" spans="1:2" x14ac:dyDescent="0.2">
      <c r="A1345" t="s">
        <v>4268</v>
      </c>
      <c r="B1345"/>
    </row>
    <row r="1346" spans="1:2" x14ac:dyDescent="0.2">
      <c r="A1346" t="s">
        <v>4269</v>
      </c>
      <c r="B1346"/>
    </row>
    <row r="1347" spans="1:2" x14ac:dyDescent="0.2">
      <c r="A1347" t="s">
        <v>4270</v>
      </c>
      <c r="B1347" t="s">
        <v>4152</v>
      </c>
    </row>
    <row r="1348" spans="1:2" x14ac:dyDescent="0.2">
      <c r="A1348" t="s">
        <v>4271</v>
      </c>
      <c r="B1348" t="s">
        <v>4152</v>
      </c>
    </row>
    <row r="1349" spans="1:2" x14ac:dyDescent="0.2">
      <c r="A1349" t="s">
        <v>4272</v>
      </c>
      <c r="B1349" t="s">
        <v>4152</v>
      </c>
    </row>
    <row r="1350" spans="1:2" x14ac:dyDescent="0.2">
      <c r="A1350" t="s">
        <v>4273</v>
      </c>
      <c r="B1350" t="s">
        <v>4152</v>
      </c>
    </row>
    <row r="1351" spans="1:2" x14ac:dyDescent="0.2">
      <c r="A1351" t="s">
        <v>4274</v>
      </c>
      <c r="B1351" t="s">
        <v>4152</v>
      </c>
    </row>
    <row r="1352" spans="1:2" x14ac:dyDescent="0.2">
      <c r="A1352" t="s">
        <v>4275</v>
      </c>
      <c r="B1352"/>
    </row>
    <row r="1353" spans="1:2" x14ac:dyDescent="0.2">
      <c r="A1353" t="s">
        <v>4276</v>
      </c>
      <c r="B1353"/>
    </row>
    <row r="1354" spans="1:2" x14ac:dyDescent="0.2">
      <c r="A1354" t="s">
        <v>4277</v>
      </c>
      <c r="B1354"/>
    </row>
    <row r="1355" spans="1:2" x14ac:dyDescent="0.2">
      <c r="A1355" t="s">
        <v>4278</v>
      </c>
      <c r="B1355"/>
    </row>
    <row r="1356" spans="1:2" x14ac:dyDescent="0.2">
      <c r="A1356" t="s">
        <v>4279</v>
      </c>
      <c r="B1356"/>
    </row>
    <row r="1357" spans="1:2" x14ac:dyDescent="0.2">
      <c r="A1357" t="s">
        <v>4280</v>
      </c>
      <c r="B1357" s="159" t="s">
        <v>4281</v>
      </c>
    </row>
    <row r="1358" spans="1:2" x14ac:dyDescent="0.2">
      <c r="A1358" t="s">
        <v>4282</v>
      </c>
      <c r="B1358" s="159" t="s">
        <v>3826</v>
      </c>
    </row>
    <row r="1359" spans="1:2" x14ac:dyDescent="0.2">
      <c r="A1359" t="s">
        <v>4283</v>
      </c>
      <c r="B1359"/>
    </row>
    <row r="1360" spans="1:2" x14ac:dyDescent="0.2">
      <c r="A1360" t="s">
        <v>4284</v>
      </c>
      <c r="B1360"/>
    </row>
    <row r="1361" spans="1:3" x14ac:dyDescent="0.2">
      <c r="A1361" t="s">
        <v>4285</v>
      </c>
      <c r="B1361"/>
    </row>
    <row r="1362" spans="1:3" x14ac:dyDescent="0.2">
      <c r="A1362" t="s">
        <v>4286</v>
      </c>
      <c r="B1362"/>
    </row>
    <row r="1363" spans="1:3" x14ac:dyDescent="0.2">
      <c r="A1363" t="s">
        <v>4287</v>
      </c>
      <c r="B1363"/>
    </row>
    <row r="1364" spans="1:3" x14ac:dyDescent="0.2">
      <c r="A1364" t="s">
        <v>4288</v>
      </c>
      <c r="B1364"/>
    </row>
    <row r="1365" spans="1:3" x14ac:dyDescent="0.2">
      <c r="A1365" t="s">
        <v>4289</v>
      </c>
      <c r="B1365"/>
    </row>
    <row r="1366" spans="1:3" x14ac:dyDescent="0.2">
      <c r="A1366" t="s">
        <v>4290</v>
      </c>
      <c r="B1366"/>
    </row>
    <row r="1367" spans="1:3" x14ac:dyDescent="0.2">
      <c r="A1367" t="s">
        <v>4291</v>
      </c>
      <c r="B1367"/>
    </row>
    <row r="1368" spans="1:3" x14ac:dyDescent="0.2">
      <c r="A1368" s="900" t="s">
        <v>4292</v>
      </c>
      <c r="B1368" s="938" t="s">
        <v>4293</v>
      </c>
      <c r="C1368" s="2246" t="s">
        <v>2402</v>
      </c>
    </row>
    <row r="1369" spans="1:3" x14ac:dyDescent="0.2">
      <c r="A1369" s="159" t="s">
        <v>4294</v>
      </c>
      <c r="B1369" t="s">
        <v>2938</v>
      </c>
    </row>
    <row r="1370" spans="1:3" x14ac:dyDescent="0.2">
      <c r="A1370" s="900" t="s">
        <v>4295</v>
      </c>
      <c r="B1370" s="938" t="s">
        <v>2843</v>
      </c>
      <c r="C1370" s="166">
        <v>2540</v>
      </c>
    </row>
    <row r="1371" spans="1:3" x14ac:dyDescent="0.2">
      <c r="A1371" t="s">
        <v>4296</v>
      </c>
      <c r="B1371"/>
    </row>
    <row r="1372" spans="1:3" x14ac:dyDescent="0.2">
      <c r="A1372" t="s">
        <v>4297</v>
      </c>
      <c r="B1372"/>
    </row>
    <row r="1373" spans="1:3" x14ac:dyDescent="0.2">
      <c r="A1373" t="s">
        <v>4298</v>
      </c>
      <c r="B1373"/>
    </row>
    <row r="1374" spans="1:3" x14ac:dyDescent="0.2">
      <c r="A1374" t="s">
        <v>4299</v>
      </c>
      <c r="B1374"/>
    </row>
    <row r="1375" spans="1:3" x14ac:dyDescent="0.2">
      <c r="A1375" t="s">
        <v>4300</v>
      </c>
      <c r="B1375"/>
    </row>
    <row r="1376" spans="1:3" x14ac:dyDescent="0.2">
      <c r="A1376" t="s">
        <v>4301</v>
      </c>
      <c r="B1376"/>
    </row>
    <row r="1377" spans="1:3" x14ac:dyDescent="0.2">
      <c r="A1377" t="s">
        <v>4302</v>
      </c>
      <c r="B1377"/>
    </row>
    <row r="1378" spans="1:3" x14ac:dyDescent="0.2">
      <c r="A1378" t="s">
        <v>4303</v>
      </c>
      <c r="B1378"/>
    </row>
    <row r="1379" spans="1:3" x14ac:dyDescent="0.2">
      <c r="A1379" t="s">
        <v>4304</v>
      </c>
      <c r="B1379" t="s">
        <v>2921</v>
      </c>
    </row>
    <row r="1380" spans="1:3" x14ac:dyDescent="0.2">
      <c r="A1380" t="s">
        <v>4305</v>
      </c>
      <c r="B1380"/>
    </row>
    <row r="1381" spans="1:3" x14ac:dyDescent="0.2">
      <c r="A1381" t="s">
        <v>4306</v>
      </c>
      <c r="B1381"/>
    </row>
    <row r="1382" spans="1:3" x14ac:dyDescent="0.2">
      <c r="A1382" t="s">
        <v>4307</v>
      </c>
      <c r="B1382"/>
    </row>
    <row r="1383" spans="1:3" x14ac:dyDescent="0.2">
      <c r="A1383" t="s">
        <v>4308</v>
      </c>
      <c r="B1383"/>
    </row>
    <row r="1384" spans="1:3" x14ac:dyDescent="0.2">
      <c r="A1384" s="900" t="s">
        <v>2783</v>
      </c>
      <c r="B1384" s="938" t="s">
        <v>2843</v>
      </c>
      <c r="C1384" s="166">
        <v>2550</v>
      </c>
    </row>
    <row r="1385" spans="1:3" x14ac:dyDescent="0.2">
      <c r="A1385" t="s">
        <v>4309</v>
      </c>
      <c r="B1385"/>
    </row>
    <row r="1386" spans="1:3" x14ac:dyDescent="0.2">
      <c r="A1386" s="900" t="s">
        <v>676</v>
      </c>
      <c r="B1386" s="938" t="s">
        <v>2843</v>
      </c>
      <c r="C1386" s="166">
        <v>2560</v>
      </c>
    </row>
    <row r="1387" spans="1:3" x14ac:dyDescent="0.2">
      <c r="A1387" t="s">
        <v>4310</v>
      </c>
      <c r="B1387"/>
    </row>
    <row r="1388" spans="1:3" x14ac:dyDescent="0.2">
      <c r="A1388" s="900" t="s">
        <v>2785</v>
      </c>
      <c r="B1388" s="938" t="s">
        <v>2843</v>
      </c>
      <c r="C1388" s="166">
        <v>2570</v>
      </c>
    </row>
    <row r="1389" spans="1:3" x14ac:dyDescent="0.2">
      <c r="A1389" t="s">
        <v>4311</v>
      </c>
      <c r="B1389"/>
    </row>
    <row r="1390" spans="1:3" x14ac:dyDescent="0.2">
      <c r="A1390" t="s">
        <v>4312</v>
      </c>
      <c r="B1390"/>
    </row>
    <row r="1391" spans="1:3" x14ac:dyDescent="0.2">
      <c r="A1391" t="s">
        <v>4313</v>
      </c>
      <c r="B1391"/>
    </row>
    <row r="1392" spans="1:3" x14ac:dyDescent="0.2">
      <c r="A1392" t="s">
        <v>4314</v>
      </c>
      <c r="B1392"/>
    </row>
    <row r="1393" spans="1:3" x14ac:dyDescent="0.2">
      <c r="A1393" t="s">
        <v>4315</v>
      </c>
      <c r="B1393"/>
    </row>
    <row r="1394" spans="1:3" x14ac:dyDescent="0.2">
      <c r="A1394" s="900" t="s">
        <v>4316</v>
      </c>
      <c r="B1394" s="938" t="s">
        <v>2843</v>
      </c>
      <c r="C1394" s="2246" t="s">
        <v>2402</v>
      </c>
    </row>
    <row r="1395" spans="1:3" x14ac:dyDescent="0.2">
      <c r="A1395" t="s">
        <v>4317</v>
      </c>
      <c r="B1395"/>
    </row>
    <row r="1396" spans="1:3" x14ac:dyDescent="0.2">
      <c r="A1396" s="900" t="s">
        <v>2786</v>
      </c>
      <c r="B1396" s="938" t="s">
        <v>2843</v>
      </c>
      <c r="C1396" s="166">
        <v>2590</v>
      </c>
    </row>
    <row r="1397" spans="1:3" x14ac:dyDescent="0.2">
      <c r="A1397" t="s">
        <v>4318</v>
      </c>
      <c r="B1397"/>
    </row>
    <row r="1398" spans="1:3" x14ac:dyDescent="0.2">
      <c r="A1398" t="s">
        <v>4319</v>
      </c>
      <c r="B1398"/>
    </row>
    <row r="1399" spans="1:3" x14ac:dyDescent="0.2">
      <c r="A1399" t="s">
        <v>4320</v>
      </c>
      <c r="B1399"/>
    </row>
    <row r="1400" spans="1:3" x14ac:dyDescent="0.2">
      <c r="A1400" t="s">
        <v>4321</v>
      </c>
      <c r="B1400"/>
    </row>
    <row r="1401" spans="1:3" x14ac:dyDescent="0.2">
      <c r="A1401" t="s">
        <v>4322</v>
      </c>
      <c r="B1401"/>
    </row>
    <row r="1402" spans="1:3" x14ac:dyDescent="0.2">
      <c r="A1402" t="s">
        <v>4323</v>
      </c>
      <c r="B1402"/>
    </row>
    <row r="1403" spans="1:3" x14ac:dyDescent="0.2">
      <c r="A1403" t="s">
        <v>4324</v>
      </c>
      <c r="B1403"/>
    </row>
    <row r="1404" spans="1:3" x14ac:dyDescent="0.2">
      <c r="A1404" t="s">
        <v>4325</v>
      </c>
      <c r="B1404"/>
    </row>
    <row r="1405" spans="1:3" x14ac:dyDescent="0.2">
      <c r="A1405" t="s">
        <v>4326</v>
      </c>
      <c r="B1405"/>
    </row>
    <row r="1406" spans="1:3" x14ac:dyDescent="0.2">
      <c r="A1406" t="s">
        <v>4327</v>
      </c>
      <c r="B1406"/>
    </row>
    <row r="1407" spans="1:3" x14ac:dyDescent="0.2">
      <c r="A1407" t="s">
        <v>4328</v>
      </c>
      <c r="B1407"/>
    </row>
    <row r="1408" spans="1:3" x14ac:dyDescent="0.2">
      <c r="A1408" s="1" t="s">
        <v>4329</v>
      </c>
      <c r="B1408"/>
    </row>
    <row r="1409" spans="1:3" x14ac:dyDescent="0.2">
      <c r="A1409" s="900" t="s">
        <v>4330</v>
      </c>
      <c r="B1409" s="938" t="s">
        <v>2843</v>
      </c>
      <c r="C1409" s="166">
        <v>2610</v>
      </c>
    </row>
    <row r="1410" spans="1:3" x14ac:dyDescent="0.2">
      <c r="A1410" t="s">
        <v>4331</v>
      </c>
      <c r="B1410"/>
    </row>
    <row r="1411" spans="1:3" x14ac:dyDescent="0.2">
      <c r="A1411" t="s">
        <v>4332</v>
      </c>
      <c r="B1411"/>
    </row>
    <row r="1412" spans="1:3" x14ac:dyDescent="0.2">
      <c r="A1412" t="s">
        <v>4333</v>
      </c>
      <c r="B1412"/>
    </row>
    <row r="1413" spans="1:3" x14ac:dyDescent="0.2">
      <c r="A1413" t="s">
        <v>4334</v>
      </c>
      <c r="B1413"/>
    </row>
    <row r="1414" spans="1:3" x14ac:dyDescent="0.2">
      <c r="A1414" t="s">
        <v>4335</v>
      </c>
      <c r="B1414" t="s">
        <v>4336</v>
      </c>
    </row>
    <row r="1415" spans="1:3" x14ac:dyDescent="0.2">
      <c r="A1415" t="s">
        <v>4337</v>
      </c>
      <c r="B1415" t="s">
        <v>4336</v>
      </c>
    </row>
    <row r="1416" spans="1:3" x14ac:dyDescent="0.2">
      <c r="A1416" t="s">
        <v>4338</v>
      </c>
      <c r="B1416" t="s">
        <v>4336</v>
      </c>
    </row>
    <row r="1417" spans="1:3" x14ac:dyDescent="0.2">
      <c r="A1417" t="s">
        <v>4339</v>
      </c>
      <c r="B1417" t="s">
        <v>4336</v>
      </c>
    </row>
    <row r="1418" spans="1:3" x14ac:dyDescent="0.2">
      <c r="A1418" t="s">
        <v>4340</v>
      </c>
      <c r="B1418" t="s">
        <v>4341</v>
      </c>
    </row>
    <row r="1419" spans="1:3" x14ac:dyDescent="0.2">
      <c r="A1419" t="s">
        <v>4342</v>
      </c>
      <c r="B1419" t="s">
        <v>4341</v>
      </c>
    </row>
    <row r="1420" spans="1:3" x14ac:dyDescent="0.2">
      <c r="A1420" t="s">
        <v>4343</v>
      </c>
      <c r="B1420" t="s">
        <v>4341</v>
      </c>
    </row>
    <row r="1421" spans="1:3" x14ac:dyDescent="0.2">
      <c r="A1421" t="s">
        <v>4344</v>
      </c>
      <c r="B1421" t="s">
        <v>4341</v>
      </c>
    </row>
    <row r="1422" spans="1:3" x14ac:dyDescent="0.2">
      <c r="A1422" t="s">
        <v>4345</v>
      </c>
      <c r="B1422" t="s">
        <v>4341</v>
      </c>
    </row>
    <row r="1423" spans="1:3" x14ac:dyDescent="0.2">
      <c r="A1423" t="s">
        <v>4346</v>
      </c>
      <c r="B1423" t="s">
        <v>4341</v>
      </c>
    </row>
    <row r="1424" spans="1:3" x14ac:dyDescent="0.2">
      <c r="A1424" t="s">
        <v>4347</v>
      </c>
      <c r="B1424" t="s">
        <v>4341</v>
      </c>
    </row>
    <row r="1425" spans="1:3" x14ac:dyDescent="0.2">
      <c r="A1425" t="s">
        <v>4348</v>
      </c>
      <c r="B1425"/>
    </row>
    <row r="1426" spans="1:3" x14ac:dyDescent="0.2">
      <c r="A1426" t="s">
        <v>4349</v>
      </c>
      <c r="B1426"/>
    </row>
    <row r="1427" spans="1:3" x14ac:dyDescent="0.2">
      <c r="A1427" t="s">
        <v>4350</v>
      </c>
      <c r="B1427"/>
    </row>
    <row r="1428" spans="1:3" x14ac:dyDescent="0.2">
      <c r="A1428" t="s">
        <v>4351</v>
      </c>
      <c r="B1428"/>
    </row>
    <row r="1429" spans="1:3" x14ac:dyDescent="0.2">
      <c r="A1429" t="s">
        <v>4352</v>
      </c>
      <c r="B1429"/>
    </row>
    <row r="1430" spans="1:3" x14ac:dyDescent="0.2">
      <c r="A1430" t="s">
        <v>4353</v>
      </c>
      <c r="B1430"/>
    </row>
    <row r="1431" spans="1:3" x14ac:dyDescent="0.2">
      <c r="A1431" t="s">
        <v>4354</v>
      </c>
      <c r="B1431"/>
    </row>
    <row r="1432" spans="1:3" x14ac:dyDescent="0.2">
      <c r="A1432" t="s">
        <v>4355</v>
      </c>
      <c r="B1432"/>
    </row>
    <row r="1433" spans="1:3" x14ac:dyDescent="0.2">
      <c r="A1433" s="900" t="s">
        <v>4356</v>
      </c>
      <c r="B1433" s="938" t="s">
        <v>2843</v>
      </c>
      <c r="C1433" s="166">
        <v>2625</v>
      </c>
    </row>
    <row r="1434" spans="1:3" x14ac:dyDescent="0.2">
      <c r="A1434" s="909" t="s">
        <v>4357</v>
      </c>
      <c r="B1434" s="159" t="s">
        <v>4358</v>
      </c>
    </row>
    <row r="1435" spans="1:3" x14ac:dyDescent="0.2">
      <c r="A1435" t="s">
        <v>4359</v>
      </c>
      <c r="B1435"/>
    </row>
    <row r="1436" spans="1:3" x14ac:dyDescent="0.2">
      <c r="A1436" t="s">
        <v>4360</v>
      </c>
      <c r="B1436"/>
    </row>
    <row r="1437" spans="1:3" x14ac:dyDescent="0.2">
      <c r="A1437" s="900" t="s">
        <v>4361</v>
      </c>
      <c r="B1437" s="938" t="s">
        <v>2843</v>
      </c>
      <c r="C1437" s="166">
        <v>2630</v>
      </c>
    </row>
    <row r="1438" spans="1:3" x14ac:dyDescent="0.2">
      <c r="A1438" t="s">
        <v>4362</v>
      </c>
      <c r="B1438"/>
    </row>
    <row r="1439" spans="1:3" x14ac:dyDescent="0.2">
      <c r="A1439" t="s">
        <v>4363</v>
      </c>
      <c r="B1439"/>
    </row>
    <row r="1440" spans="1:3" x14ac:dyDescent="0.2">
      <c r="A1440" t="s">
        <v>4364</v>
      </c>
      <c r="B1440"/>
    </row>
    <row r="1441" spans="1:2" x14ac:dyDescent="0.2">
      <c r="A1441" t="s">
        <v>4365</v>
      </c>
      <c r="B1441"/>
    </row>
    <row r="1442" spans="1:2" x14ac:dyDescent="0.2">
      <c r="A1442" t="s">
        <v>4366</v>
      </c>
      <c r="B1442"/>
    </row>
    <row r="1443" spans="1:2" x14ac:dyDescent="0.2">
      <c r="A1443" t="s">
        <v>4367</v>
      </c>
      <c r="B1443"/>
    </row>
    <row r="1444" spans="1:2" x14ac:dyDescent="0.2">
      <c r="A1444" t="s">
        <v>4368</v>
      </c>
      <c r="B1444"/>
    </row>
    <row r="1445" spans="1:2" x14ac:dyDescent="0.2">
      <c r="A1445" t="s">
        <v>4369</v>
      </c>
      <c r="B1445" t="s">
        <v>4150</v>
      </c>
    </row>
    <row r="1446" spans="1:2" x14ac:dyDescent="0.2">
      <c r="A1446" t="s">
        <v>4370</v>
      </c>
      <c r="B1446" t="s">
        <v>4150</v>
      </c>
    </row>
    <row r="1447" spans="1:2" x14ac:dyDescent="0.2">
      <c r="A1447" t="s">
        <v>4371</v>
      </c>
      <c r="B1447" t="s">
        <v>4150</v>
      </c>
    </row>
    <row r="1448" spans="1:2" x14ac:dyDescent="0.2">
      <c r="A1448" t="s">
        <v>4372</v>
      </c>
      <c r="B1448" t="s">
        <v>4152</v>
      </c>
    </row>
    <row r="1449" spans="1:2" x14ac:dyDescent="0.2">
      <c r="A1449" t="s">
        <v>4373</v>
      </c>
      <c r="B1449" t="s">
        <v>4152</v>
      </c>
    </row>
    <row r="1450" spans="1:2" x14ac:dyDescent="0.2">
      <c r="A1450" t="s">
        <v>4374</v>
      </c>
      <c r="B1450" t="s">
        <v>4152</v>
      </c>
    </row>
    <row r="1451" spans="1:2" x14ac:dyDescent="0.2">
      <c r="A1451" t="s">
        <v>4375</v>
      </c>
      <c r="B1451" t="s">
        <v>4152</v>
      </c>
    </row>
    <row r="1452" spans="1:2" x14ac:dyDescent="0.2">
      <c r="A1452" t="s">
        <v>4376</v>
      </c>
      <c r="B1452" t="s">
        <v>4152</v>
      </c>
    </row>
    <row r="1453" spans="1:2" x14ac:dyDescent="0.2">
      <c r="A1453" t="s">
        <v>4377</v>
      </c>
      <c r="B1453" t="s">
        <v>4152</v>
      </c>
    </row>
    <row r="1454" spans="1:2" x14ac:dyDescent="0.2">
      <c r="A1454" t="s">
        <v>4378</v>
      </c>
      <c r="B1454" t="s">
        <v>4152</v>
      </c>
    </row>
    <row r="1455" spans="1:2" x14ac:dyDescent="0.2">
      <c r="A1455" t="s">
        <v>4379</v>
      </c>
      <c r="B1455"/>
    </row>
    <row r="1456" spans="1:2" x14ac:dyDescent="0.2">
      <c r="A1456" s="159" t="s">
        <v>4380</v>
      </c>
      <c r="B1456" t="s">
        <v>4381</v>
      </c>
    </row>
    <row r="1457" spans="1:3" x14ac:dyDescent="0.2">
      <c r="A1457" t="s">
        <v>4382</v>
      </c>
      <c r="B1457"/>
    </row>
    <row r="1458" spans="1:3" x14ac:dyDescent="0.2">
      <c r="A1458" t="s">
        <v>4383</v>
      </c>
      <c r="B1458"/>
    </row>
    <row r="1459" spans="1:3" x14ac:dyDescent="0.2">
      <c r="A1459" t="s">
        <v>4384</v>
      </c>
      <c r="B1459"/>
    </row>
    <row r="1460" spans="1:3" x14ac:dyDescent="0.2">
      <c r="A1460" t="s">
        <v>4385</v>
      </c>
      <c r="B1460"/>
    </row>
    <row r="1461" spans="1:3" x14ac:dyDescent="0.2">
      <c r="A1461" t="s">
        <v>4386</v>
      </c>
      <c r="B1461"/>
    </row>
    <row r="1462" spans="1:3" x14ac:dyDescent="0.2">
      <c r="A1462" t="s">
        <v>4387</v>
      </c>
      <c r="B1462" s="159" t="s">
        <v>4388</v>
      </c>
    </row>
    <row r="1463" spans="1:3" x14ac:dyDescent="0.2">
      <c r="A1463" t="s">
        <v>4389</v>
      </c>
      <c r="B1463"/>
    </row>
    <row r="1464" spans="1:3" x14ac:dyDescent="0.2">
      <c r="A1464" t="s">
        <v>4390</v>
      </c>
      <c r="B1464"/>
    </row>
    <row r="1465" spans="1:3" x14ac:dyDescent="0.2">
      <c r="A1465" s="809" t="s">
        <v>4391</v>
      </c>
      <c r="B1465" s="938" t="s">
        <v>2843</v>
      </c>
      <c r="C1465" s="2246" t="s">
        <v>2402</v>
      </c>
    </row>
    <row r="1466" spans="1:3" x14ac:dyDescent="0.2">
      <c r="B1466"/>
    </row>
    <row r="1467" spans="1:3" x14ac:dyDescent="0.2">
      <c r="A1467" s="809" t="s">
        <v>4392</v>
      </c>
      <c r="B1467" s="1024" t="s">
        <v>2843</v>
      </c>
      <c r="C1467" s="2246" t="s">
        <v>2402</v>
      </c>
    </row>
    <row r="1468" spans="1:3" x14ac:dyDescent="0.2">
      <c r="A1468" s="159" t="s">
        <v>4393</v>
      </c>
      <c r="B1468" s="643" t="s">
        <v>4394</v>
      </c>
    </row>
    <row r="1469" spans="1:3" x14ac:dyDescent="0.2">
      <c r="A1469" t="s">
        <v>4395</v>
      </c>
      <c r="B1469" t="s">
        <v>4396</v>
      </c>
    </row>
    <row r="1470" spans="1:3" x14ac:dyDescent="0.2">
      <c r="A1470" s="159" t="s">
        <v>4397</v>
      </c>
      <c r="B1470" s="159" t="s">
        <v>3224</v>
      </c>
    </row>
    <row r="1471" spans="1:3" x14ac:dyDescent="0.2">
      <c r="A1471" s="159" t="s">
        <v>4398</v>
      </c>
      <c r="B1471" s="159" t="s">
        <v>3224</v>
      </c>
    </row>
    <row r="1472" spans="1:3" x14ac:dyDescent="0.2">
      <c r="A1472" s="159" t="s">
        <v>4399</v>
      </c>
      <c r="B1472" s="159" t="s">
        <v>3224</v>
      </c>
    </row>
    <row r="1473" spans="1:2" x14ac:dyDescent="0.2">
      <c r="A1473" t="s">
        <v>4400</v>
      </c>
      <c r="B1473" s="159" t="s">
        <v>3224</v>
      </c>
    </row>
    <row r="1474" spans="1:2" x14ac:dyDescent="0.2">
      <c r="A1474" s="159" t="s">
        <v>4401</v>
      </c>
      <c r="B1474" s="1021" t="s">
        <v>3197</v>
      </c>
    </row>
    <row r="1475" spans="1:2" x14ac:dyDescent="0.2">
      <c r="A1475" s="159" t="s">
        <v>4402</v>
      </c>
      <c r="B1475" s="1021" t="s">
        <v>3197</v>
      </c>
    </row>
    <row r="1476" spans="1:2" x14ac:dyDescent="0.2">
      <c r="A1476" t="s">
        <v>4403</v>
      </c>
      <c r="B1476" t="s">
        <v>3262</v>
      </c>
    </row>
    <row r="1477" spans="1:2" x14ac:dyDescent="0.2">
      <c r="A1477" t="s">
        <v>4404</v>
      </c>
      <c r="B1477" t="s">
        <v>3262</v>
      </c>
    </row>
    <row r="1478" spans="1:2" x14ac:dyDescent="0.2">
      <c r="A1478" t="s">
        <v>4405</v>
      </c>
      <c r="B1478" t="s">
        <v>3262</v>
      </c>
    </row>
    <row r="1479" spans="1:2" x14ac:dyDescent="0.2">
      <c r="A1479" s="159" t="s">
        <v>4406</v>
      </c>
      <c r="B1479" s="159" t="s">
        <v>4407</v>
      </c>
    </row>
    <row r="1480" spans="1:2" x14ac:dyDescent="0.2">
      <c r="A1480" t="s">
        <v>4408</v>
      </c>
      <c r="B1480" t="s">
        <v>3262</v>
      </c>
    </row>
    <row r="1481" spans="1:2" x14ac:dyDescent="0.2">
      <c r="A1481" s="159" t="s">
        <v>4409</v>
      </c>
      <c r="B1481" s="1021" t="s">
        <v>3197</v>
      </c>
    </row>
    <row r="1482" spans="1:2" x14ac:dyDescent="0.2">
      <c r="A1482" t="s">
        <v>4410</v>
      </c>
      <c r="B1482" t="s">
        <v>3262</v>
      </c>
    </row>
    <row r="1483" spans="1:2" x14ac:dyDescent="0.2">
      <c r="A1483" s="159" t="s">
        <v>4411</v>
      </c>
      <c r="B1483"/>
    </row>
    <row r="1484" spans="1:2" x14ac:dyDescent="0.2">
      <c r="A1484" s="909" t="s">
        <v>4412</v>
      </c>
      <c r="B1484" t="s">
        <v>3262</v>
      </c>
    </row>
    <row r="1485" spans="1:2" x14ac:dyDescent="0.2">
      <c r="A1485" t="s">
        <v>4413</v>
      </c>
      <c r="B1485" t="s">
        <v>4414</v>
      </c>
    </row>
    <row r="1486" spans="1:2" x14ac:dyDescent="0.2">
      <c r="A1486" s="909" t="s">
        <v>4415</v>
      </c>
      <c r="B1486" t="s">
        <v>3262</v>
      </c>
    </row>
    <row r="1487" spans="1:2" x14ac:dyDescent="0.2">
      <c r="A1487" t="s">
        <v>4416</v>
      </c>
      <c r="B1487" t="s">
        <v>4417</v>
      </c>
    </row>
    <row r="1488" spans="1:2" x14ac:dyDescent="0.2">
      <c r="A1488" s="909" t="s">
        <v>4418</v>
      </c>
      <c r="B1488" t="s">
        <v>3874</v>
      </c>
    </row>
    <row r="1489" spans="1:3" ht="12" customHeight="1" x14ac:dyDescent="0.2">
      <c r="A1489" t="s">
        <v>4419</v>
      </c>
      <c r="B1489" t="s">
        <v>3874</v>
      </c>
    </row>
    <row r="1490" spans="1:3" x14ac:dyDescent="0.2">
      <c r="A1490" t="s">
        <v>4420</v>
      </c>
      <c r="B1490" t="s">
        <v>3262</v>
      </c>
    </row>
    <row r="1491" spans="1:3" x14ac:dyDescent="0.2">
      <c r="A1491" t="s">
        <v>4421</v>
      </c>
      <c r="B1491" t="s">
        <v>3262</v>
      </c>
    </row>
    <row r="1492" spans="1:3" x14ac:dyDescent="0.2">
      <c r="A1492" t="s">
        <v>4422</v>
      </c>
      <c r="B1492" t="s">
        <v>3262</v>
      </c>
    </row>
    <row r="1493" spans="1:3" x14ac:dyDescent="0.2">
      <c r="A1493" t="s">
        <v>4423</v>
      </c>
      <c r="B1493" t="s">
        <v>4424</v>
      </c>
    </row>
    <row r="1494" spans="1:3" x14ac:dyDescent="0.2">
      <c r="A1494" s="159" t="s">
        <v>4425</v>
      </c>
      <c r="B1494" s="159" t="s">
        <v>3879</v>
      </c>
    </row>
    <row r="1495" spans="1:3" x14ac:dyDescent="0.2">
      <c r="A1495" s="809" t="s">
        <v>4426</v>
      </c>
      <c r="B1495" s="938" t="s">
        <v>4427</v>
      </c>
      <c r="C1495" s="2246" t="s">
        <v>2402</v>
      </c>
    </row>
    <row r="1496" spans="1:3" x14ac:dyDescent="0.2">
      <c r="A1496" t="s">
        <v>4428</v>
      </c>
      <c r="B1496"/>
    </row>
    <row r="1497" spans="1:3" x14ac:dyDescent="0.2">
      <c r="A1497" t="s">
        <v>4429</v>
      </c>
      <c r="B1497" t="s">
        <v>4430</v>
      </c>
    </row>
    <row r="1498" spans="1:3" x14ac:dyDescent="0.2">
      <c r="A1498" t="s">
        <v>4431</v>
      </c>
      <c r="B1498" s="159" t="s">
        <v>4432</v>
      </c>
    </row>
    <row r="1499" spans="1:3" x14ac:dyDescent="0.2">
      <c r="A1499" t="s">
        <v>4433</v>
      </c>
      <c r="B1499" t="s">
        <v>4434</v>
      </c>
    </row>
    <row r="1500" spans="1:3" x14ac:dyDescent="0.2">
      <c r="A1500" t="s">
        <v>4435</v>
      </c>
      <c r="B1500" t="s">
        <v>4434</v>
      </c>
    </row>
    <row r="1501" spans="1:3" x14ac:dyDescent="0.2">
      <c r="A1501" s="159" t="s">
        <v>4436</v>
      </c>
      <c r="B1501" s="965"/>
    </row>
    <row r="1502" spans="1:3" x14ac:dyDescent="0.2">
      <c r="A1502" s="159" t="s">
        <v>4437</v>
      </c>
      <c r="B1502" s="965"/>
    </row>
    <row r="1503" spans="1:3" x14ac:dyDescent="0.2">
      <c r="A1503" t="s">
        <v>4438</v>
      </c>
      <c r="B1503" t="s">
        <v>4434</v>
      </c>
    </row>
    <row r="1504" spans="1:3" x14ac:dyDescent="0.2">
      <c r="A1504" t="s">
        <v>4439</v>
      </c>
      <c r="B1504" t="s">
        <v>4434</v>
      </c>
    </row>
    <row r="1505" spans="1:2" x14ac:dyDescent="0.2">
      <c r="A1505" t="s">
        <v>4440</v>
      </c>
      <c r="B1505" t="s">
        <v>4441</v>
      </c>
    </row>
    <row r="1506" spans="1:2" x14ac:dyDescent="0.2">
      <c r="A1506" t="s">
        <v>4442</v>
      </c>
      <c r="B1506"/>
    </row>
    <row r="1507" spans="1:2" x14ac:dyDescent="0.2">
      <c r="A1507" t="s">
        <v>4443</v>
      </c>
      <c r="B1507" s="159" t="s">
        <v>4444</v>
      </c>
    </row>
    <row r="1508" spans="1:2" x14ac:dyDescent="0.2">
      <c r="A1508" t="s">
        <v>4445</v>
      </c>
      <c r="B1508" t="s">
        <v>4446</v>
      </c>
    </row>
    <row r="1509" spans="1:2" x14ac:dyDescent="0.2">
      <c r="A1509" t="s">
        <v>4447</v>
      </c>
      <c r="B1509" t="s">
        <v>4446</v>
      </c>
    </row>
    <row r="1510" spans="1:2" x14ac:dyDescent="0.2">
      <c r="A1510" t="s">
        <v>4448</v>
      </c>
      <c r="B1510"/>
    </row>
    <row r="1511" spans="1:2" x14ac:dyDescent="0.2">
      <c r="A1511" t="s">
        <v>4449</v>
      </c>
      <c r="B1511" t="s">
        <v>4450</v>
      </c>
    </row>
    <row r="1512" spans="1:2" x14ac:dyDescent="0.2">
      <c r="A1512" t="s">
        <v>4451</v>
      </c>
      <c r="B1512"/>
    </row>
    <row r="1513" spans="1:2" x14ac:dyDescent="0.2">
      <c r="A1513" t="s">
        <v>4452</v>
      </c>
      <c r="B1513"/>
    </row>
    <row r="1514" spans="1:2" x14ac:dyDescent="0.2">
      <c r="A1514" t="s">
        <v>4453</v>
      </c>
      <c r="B1514"/>
    </row>
    <row r="1515" spans="1:2" x14ac:dyDescent="0.2">
      <c r="A1515" t="s">
        <v>4454</v>
      </c>
      <c r="B1515"/>
    </row>
    <row r="1516" spans="1:2" x14ac:dyDescent="0.2">
      <c r="A1516" t="s">
        <v>4455</v>
      </c>
      <c r="B1516"/>
    </row>
    <row r="1517" spans="1:2" x14ac:dyDescent="0.2">
      <c r="A1517" t="s">
        <v>4456</v>
      </c>
      <c r="B1517"/>
    </row>
    <row r="1518" spans="1:2" x14ac:dyDescent="0.2">
      <c r="A1518" s="159" t="s">
        <v>4457</v>
      </c>
      <c r="B1518"/>
    </row>
    <row r="1519" spans="1:2" x14ac:dyDescent="0.2">
      <c r="A1519" t="s">
        <v>4458</v>
      </c>
      <c r="B1519"/>
    </row>
    <row r="1520" spans="1:2" x14ac:dyDescent="0.2">
      <c r="A1520" t="s">
        <v>4459</v>
      </c>
      <c r="B1520"/>
    </row>
    <row r="1521" spans="1:3" x14ac:dyDescent="0.2">
      <c r="A1521" s="159" t="s">
        <v>4460</v>
      </c>
      <c r="B1521" s="159" t="s">
        <v>4461</v>
      </c>
    </row>
    <row r="1522" spans="1:3" x14ac:dyDescent="0.2">
      <c r="A1522" s="159" t="s">
        <v>4462</v>
      </c>
      <c r="B1522" s="965"/>
    </row>
    <row r="1523" spans="1:3" x14ac:dyDescent="0.2">
      <c r="A1523" s="809" t="s">
        <v>4463</v>
      </c>
      <c r="B1523"/>
    </row>
    <row r="1524" spans="1:3" x14ac:dyDescent="0.2">
      <c r="A1524" s="809" t="s">
        <v>2793</v>
      </c>
      <c r="B1524" s="938" t="s">
        <v>3673</v>
      </c>
      <c r="C1524" s="166">
        <v>2690</v>
      </c>
    </row>
    <row r="1525" spans="1:3" x14ac:dyDescent="0.2">
      <c r="A1525" s="159" t="s">
        <v>4464</v>
      </c>
      <c r="B1525" s="966"/>
    </row>
    <row r="1526" spans="1:3" x14ac:dyDescent="0.2">
      <c r="A1526" s="159" t="s">
        <v>4465</v>
      </c>
      <c r="B1526" s="967"/>
    </row>
    <row r="1527" spans="1:3" x14ac:dyDescent="0.2">
      <c r="A1527" s="809" t="s">
        <v>4466</v>
      </c>
      <c r="B1527" s="938" t="s">
        <v>3673</v>
      </c>
      <c r="C1527" s="166">
        <v>2691</v>
      </c>
    </row>
    <row r="1528" spans="1:3" x14ac:dyDescent="0.2">
      <c r="A1528" s="159" t="s">
        <v>4467</v>
      </c>
      <c r="B1528" s="968"/>
    </row>
    <row r="1529" spans="1:3" x14ac:dyDescent="0.2">
      <c r="A1529" s="809" t="s">
        <v>4468</v>
      </c>
      <c r="B1529" s="938" t="s">
        <v>3673</v>
      </c>
      <c r="C1529" s="166">
        <v>2692</v>
      </c>
    </row>
    <row r="1530" spans="1:3" x14ac:dyDescent="0.2">
      <c r="A1530" s="159" t="s">
        <v>4469</v>
      </c>
      <c r="B1530" s="968"/>
    </row>
    <row r="1531" spans="1:3" x14ac:dyDescent="0.2">
      <c r="A1531" s="159" t="s">
        <v>4470</v>
      </c>
      <c r="B1531" s="968"/>
    </row>
    <row r="1532" spans="1:3" x14ac:dyDescent="0.2">
      <c r="A1532" s="809" t="s">
        <v>4471</v>
      </c>
      <c r="B1532" s="1653" t="s">
        <v>4472</v>
      </c>
    </row>
    <row r="1533" spans="1:3" x14ac:dyDescent="0.2">
      <c r="A1533" s="159" t="s">
        <v>4473</v>
      </c>
      <c r="B1533" s="968"/>
    </row>
    <row r="1534" spans="1:3" x14ac:dyDescent="0.2">
      <c r="A1534" s="809" t="s">
        <v>4474</v>
      </c>
      <c r="B1534" s="938" t="s">
        <v>3673</v>
      </c>
      <c r="C1534" s="166">
        <v>2700</v>
      </c>
    </row>
    <row r="1535" spans="1:3" x14ac:dyDescent="0.2">
      <c r="A1535" s="905" t="s">
        <v>4475</v>
      </c>
      <c r="B1535" s="1"/>
    </row>
    <row r="1536" spans="1:3" x14ac:dyDescent="0.2">
      <c r="A1536" s="863" t="s">
        <v>4476</v>
      </c>
      <c r="B1536" s="969" t="s">
        <v>4477</v>
      </c>
      <c r="C1536" s="166">
        <v>2700</v>
      </c>
    </row>
    <row r="1537" spans="1:7" x14ac:dyDescent="0.2">
      <c r="A1537" s="941"/>
      <c r="B1537" s="963" t="s">
        <v>4478</v>
      </c>
    </row>
    <row r="1538" spans="1:7" x14ac:dyDescent="0.2">
      <c r="A1538" s="809" t="s">
        <v>2802</v>
      </c>
      <c r="B1538" s="970" t="s">
        <v>3673</v>
      </c>
      <c r="C1538" s="166">
        <v>2710</v>
      </c>
    </row>
    <row r="1539" spans="1:7" x14ac:dyDescent="0.2">
      <c r="A1539" t="s">
        <v>4479</v>
      </c>
      <c r="B1539"/>
    </row>
    <row r="1540" spans="1:7" x14ac:dyDescent="0.2">
      <c r="A1540" t="s">
        <v>4480</v>
      </c>
      <c r="B1540"/>
    </row>
    <row r="1541" spans="1:7" x14ac:dyDescent="0.2">
      <c r="A1541" s="809" t="s">
        <v>2803</v>
      </c>
      <c r="B1541" s="1652" t="s">
        <v>4481</v>
      </c>
      <c r="C1541" s="166">
        <v>2711</v>
      </c>
    </row>
    <row r="1542" spans="1:7" x14ac:dyDescent="0.2">
      <c r="A1542" s="1552" t="s">
        <v>4482</v>
      </c>
      <c r="B1542" s="1"/>
    </row>
    <row r="1543" spans="1:7" x14ac:dyDescent="0.2">
      <c r="A1543" s="942" t="s">
        <v>2811</v>
      </c>
      <c r="B1543" s="1021"/>
    </row>
    <row r="1544" spans="1:7" x14ac:dyDescent="0.2">
      <c r="A1544" s="159" t="s">
        <v>4483</v>
      </c>
      <c r="B1544" s="159" t="s">
        <v>3224</v>
      </c>
    </row>
    <row r="1545" spans="1:7" x14ac:dyDescent="0.2">
      <c r="A1545" s="809" t="s">
        <v>4484</v>
      </c>
      <c r="B1545"/>
      <c r="C1545" s="166">
        <v>2720</v>
      </c>
    </row>
    <row r="1546" spans="1:7" x14ac:dyDescent="0.2">
      <c r="A1546" s="900" t="s">
        <v>4485</v>
      </c>
      <c r="B1546" s="970" t="s">
        <v>3673</v>
      </c>
      <c r="C1546" s="166">
        <v>2720</v>
      </c>
    </row>
    <row r="1547" spans="1:7" x14ac:dyDescent="0.2">
      <c r="A1547" t="s">
        <v>4486</v>
      </c>
      <c r="B1547"/>
    </row>
    <row r="1548" spans="1:7" x14ac:dyDescent="0.2">
      <c r="A1548" t="s">
        <v>4487</v>
      </c>
      <c r="B1548"/>
    </row>
    <row r="1549" spans="1:7" x14ac:dyDescent="0.2">
      <c r="A1549" s="159" t="s">
        <v>4488</v>
      </c>
      <c r="B1549" s="159" t="s">
        <v>3224</v>
      </c>
    </row>
    <row r="1550" spans="1:7" x14ac:dyDescent="0.2">
      <c r="A1550" t="s">
        <v>4489</v>
      </c>
      <c r="B1550"/>
    </row>
    <row r="1551" spans="1:7" x14ac:dyDescent="0.2">
      <c r="A1551" t="s">
        <v>4490</v>
      </c>
      <c r="B1551"/>
      <c r="G1551">
        <v>0</v>
      </c>
    </row>
    <row r="1552" spans="1:7" x14ac:dyDescent="0.2">
      <c r="A1552" s="159" t="s">
        <v>4491</v>
      </c>
      <c r="B1552" s="159" t="s">
        <v>4492</v>
      </c>
    </row>
    <row r="1553" spans="1:3" x14ac:dyDescent="0.2">
      <c r="A1553" s="159" t="s">
        <v>4493</v>
      </c>
      <c r="B1553" s="1021" t="s">
        <v>3197</v>
      </c>
    </row>
    <row r="1554" spans="1:3" x14ac:dyDescent="0.2">
      <c r="A1554" s="900" t="s">
        <v>4494</v>
      </c>
      <c r="B1554" s="938" t="s">
        <v>2843</v>
      </c>
      <c r="C1554" s="166">
        <v>2720</v>
      </c>
    </row>
    <row r="1555" spans="1:3" x14ac:dyDescent="0.2">
      <c r="A1555" t="s">
        <v>4495</v>
      </c>
      <c r="B1555"/>
    </row>
    <row r="1556" spans="1:3" x14ac:dyDescent="0.2">
      <c r="A1556" t="s">
        <v>4496</v>
      </c>
      <c r="B1556"/>
    </row>
    <row r="1557" spans="1:3" x14ac:dyDescent="0.2">
      <c r="A1557" s="900" t="s">
        <v>4497</v>
      </c>
      <c r="B1557" s="938" t="s">
        <v>4498</v>
      </c>
      <c r="C1557" s="166" t="s">
        <v>4499</v>
      </c>
    </row>
    <row r="1558" spans="1:3" x14ac:dyDescent="0.2">
      <c r="A1558" s="900" t="s">
        <v>4500</v>
      </c>
      <c r="B1558" s="938" t="s">
        <v>2843</v>
      </c>
      <c r="C1558" s="166" t="s">
        <v>4499</v>
      </c>
    </row>
    <row r="1559" spans="1:3" x14ac:dyDescent="0.2">
      <c r="A1559" s="906" t="s">
        <v>4501</v>
      </c>
      <c r="B1559" s="159" t="s">
        <v>4492</v>
      </c>
    </row>
    <row r="1560" spans="1:3" x14ac:dyDescent="0.2">
      <c r="A1560" s="1222" t="s">
        <v>4502</v>
      </c>
      <c r="B1560" s="938" t="s">
        <v>2843</v>
      </c>
      <c r="C1560" s="2282">
        <v>2755</v>
      </c>
    </row>
    <row r="1561" spans="1:3" x14ac:dyDescent="0.2">
      <c r="A1561" s="906" t="s">
        <v>4503</v>
      </c>
      <c r="B1561" s="159" t="s">
        <v>3037</v>
      </c>
    </row>
    <row r="1562" spans="1:3" x14ac:dyDescent="0.2">
      <c r="A1562" s="900" t="s">
        <v>4504</v>
      </c>
      <c r="B1562" s="938" t="s">
        <v>2843</v>
      </c>
      <c r="C1562" s="166">
        <v>2760</v>
      </c>
    </row>
    <row r="1563" spans="1:3" x14ac:dyDescent="0.2">
      <c r="A1563" t="s">
        <v>4505</v>
      </c>
      <c r="B1563"/>
    </row>
    <row r="1564" spans="1:3" x14ac:dyDescent="0.2">
      <c r="A1564" t="s">
        <v>4506</v>
      </c>
      <c r="B1564"/>
    </row>
    <row r="1565" spans="1:3" x14ac:dyDescent="0.2">
      <c r="A1565" s="159" t="s">
        <v>4507</v>
      </c>
      <c r="B1565"/>
    </row>
    <row r="1566" spans="1:3" x14ac:dyDescent="0.2">
      <c r="A1566" t="s">
        <v>4508</v>
      </c>
      <c r="B1566"/>
    </row>
    <row r="1567" spans="1:3" x14ac:dyDescent="0.2">
      <c r="A1567" s="159" t="s">
        <v>4509</v>
      </c>
      <c r="B1567" s="159" t="s">
        <v>3559</v>
      </c>
    </row>
    <row r="1568" spans="1:3" x14ac:dyDescent="0.2">
      <c r="A1568" t="s">
        <v>4510</v>
      </c>
      <c r="B1568"/>
    </row>
    <row r="1569" spans="1:3" x14ac:dyDescent="0.2">
      <c r="A1569" t="s">
        <v>4511</v>
      </c>
      <c r="B1569"/>
    </row>
    <row r="1570" spans="1:3" x14ac:dyDescent="0.2">
      <c r="A1570" t="s">
        <v>4512</v>
      </c>
      <c r="B1570"/>
    </row>
    <row r="1571" spans="1:3" x14ac:dyDescent="0.2">
      <c r="A1571" t="s">
        <v>4513</v>
      </c>
      <c r="B1571"/>
    </row>
    <row r="1572" spans="1:3" ht="13.5" customHeight="1" x14ac:dyDescent="0.2">
      <c r="A1572" t="s">
        <v>4514</v>
      </c>
      <c r="B1572"/>
    </row>
    <row r="1573" spans="1:3" x14ac:dyDescent="0.2">
      <c r="A1573" t="s">
        <v>4515</v>
      </c>
      <c r="B1573"/>
    </row>
    <row r="1574" spans="1:3" x14ac:dyDescent="0.2">
      <c r="A1574" t="s">
        <v>4516</v>
      </c>
      <c r="B1574"/>
    </row>
    <row r="1575" spans="1:3" x14ac:dyDescent="0.2">
      <c r="A1575" t="s">
        <v>4517</v>
      </c>
      <c r="B1575"/>
    </row>
    <row r="1576" spans="1:3" x14ac:dyDescent="0.2">
      <c r="A1576" s="900" t="s">
        <v>2808</v>
      </c>
      <c r="B1576" s="938" t="s">
        <v>2843</v>
      </c>
      <c r="C1576" s="166">
        <v>2770</v>
      </c>
    </row>
    <row r="1577" spans="1:3" x14ac:dyDescent="0.2">
      <c r="A1577" t="s">
        <v>4518</v>
      </c>
      <c r="B1577"/>
    </row>
    <row r="1578" spans="1:3" x14ac:dyDescent="0.2">
      <c r="A1578" s="809" t="s">
        <v>4519</v>
      </c>
      <c r="B1578" s="938" t="s">
        <v>2843</v>
      </c>
      <c r="C1578" s="166">
        <v>2780</v>
      </c>
    </row>
    <row r="1579" spans="1:3" x14ac:dyDescent="0.2">
      <c r="A1579" s="909" t="s">
        <v>4520</v>
      </c>
      <c r="B1579" s="159" t="s">
        <v>4358</v>
      </c>
    </row>
    <row r="1580" spans="1:3" x14ac:dyDescent="0.2">
      <c r="A1580" s="159" t="s">
        <v>4521</v>
      </c>
      <c r="B1580" s="159" t="s">
        <v>3879</v>
      </c>
    </row>
    <row r="1581" spans="1:3" x14ac:dyDescent="0.2">
      <c r="A1581" s="159" t="s">
        <v>4522</v>
      </c>
      <c r="B1581"/>
    </row>
    <row r="1582" spans="1:3" ht="38.25" x14ac:dyDescent="0.2">
      <c r="A1582" s="910" t="s">
        <v>4523</v>
      </c>
      <c r="B1582" s="154"/>
    </row>
    <row r="1583" spans="1:3" x14ac:dyDescent="0.2">
      <c r="A1583" s="809" t="s">
        <v>4524</v>
      </c>
      <c r="B1583" s="938" t="s">
        <v>2843</v>
      </c>
      <c r="C1583" s="166">
        <v>2785</v>
      </c>
    </row>
    <row r="1584" spans="1:3" x14ac:dyDescent="0.2">
      <c r="A1584" s="2248" t="s">
        <v>4525</v>
      </c>
      <c r="B1584" s="159" t="s">
        <v>3879</v>
      </c>
    </row>
    <row r="1585" spans="1:3" x14ac:dyDescent="0.2">
      <c r="A1585" s="942" t="s">
        <v>4526</v>
      </c>
      <c r="B1585" s="938" t="s">
        <v>2843</v>
      </c>
      <c r="C1585" s="2282">
        <v>2755</v>
      </c>
    </row>
    <row r="1586" spans="1:3" x14ac:dyDescent="0.2">
      <c r="A1586" s="2248" t="s">
        <v>4527</v>
      </c>
      <c r="B1586" s="159" t="s">
        <v>3037</v>
      </c>
    </row>
    <row r="1587" spans="1:3" x14ac:dyDescent="0.2">
      <c r="A1587" s="900" t="s">
        <v>4528</v>
      </c>
      <c r="B1587" s="938" t="s">
        <v>2843</v>
      </c>
    </row>
    <row r="1588" spans="1:3" x14ac:dyDescent="0.2">
      <c r="A1588" s="900" t="s">
        <v>4529</v>
      </c>
      <c r="B1588"/>
      <c r="C1588" s="166">
        <v>2800</v>
      </c>
    </row>
    <row r="1589" spans="1:3" x14ac:dyDescent="0.2">
      <c r="A1589" t="s">
        <v>4530</v>
      </c>
      <c r="B1589"/>
    </row>
    <row r="1590" spans="1:3" x14ac:dyDescent="0.2">
      <c r="A1590" s="159" t="s">
        <v>4531</v>
      </c>
      <c r="B1590" s="159" t="s">
        <v>3037</v>
      </c>
    </row>
    <row r="1591" spans="1:3" x14ac:dyDescent="0.2">
      <c r="A1591" t="s">
        <v>4532</v>
      </c>
      <c r="B1591"/>
    </row>
    <row r="1592" spans="1:3" x14ac:dyDescent="0.2">
      <c r="A1592" s="159" t="s">
        <v>4533</v>
      </c>
      <c r="B1592" s="159" t="s">
        <v>4534</v>
      </c>
    </row>
    <row r="1593" spans="1:3" x14ac:dyDescent="0.2">
      <c r="A1593" s="159" t="s">
        <v>4535</v>
      </c>
      <c r="B1593" s="159" t="s">
        <v>4536</v>
      </c>
    </row>
    <row r="1594" spans="1:3" x14ac:dyDescent="0.2">
      <c r="A1594" s="159" t="s">
        <v>4537</v>
      </c>
      <c r="B1594" s="159" t="s">
        <v>4538</v>
      </c>
    </row>
    <row r="1595" spans="1:3" x14ac:dyDescent="0.2">
      <c r="A1595" s="900" t="s">
        <v>4539</v>
      </c>
      <c r="B1595" s="938" t="s">
        <v>2843</v>
      </c>
      <c r="C1595" s="166">
        <v>2810</v>
      </c>
    </row>
    <row r="1596" spans="1:3" x14ac:dyDescent="0.2">
      <c r="A1596" t="s">
        <v>4540</v>
      </c>
      <c r="B1596" s="159" t="s">
        <v>4541</v>
      </c>
    </row>
    <row r="1597" spans="1:3" x14ac:dyDescent="0.2">
      <c r="A1597" t="s">
        <v>4542</v>
      </c>
      <c r="B1597" s="159" t="s">
        <v>4543</v>
      </c>
    </row>
    <row r="1598" spans="1:3" x14ac:dyDescent="0.2">
      <c r="A1598" t="s">
        <v>4544</v>
      </c>
      <c r="B1598" s="159"/>
    </row>
    <row r="1599" spans="1:3" x14ac:dyDescent="0.2">
      <c r="A1599" s="159" t="s">
        <v>4545</v>
      </c>
      <c r="B1599" s="159" t="s">
        <v>4546</v>
      </c>
    </row>
    <row r="1600" spans="1:3" x14ac:dyDescent="0.2">
      <c r="A1600" t="s">
        <v>4547</v>
      </c>
      <c r="B1600"/>
    </row>
    <row r="1601" spans="1:3" x14ac:dyDescent="0.2">
      <c r="A1601" t="s">
        <v>4548</v>
      </c>
      <c r="B1601"/>
    </row>
    <row r="1602" spans="1:3" x14ac:dyDescent="0.2">
      <c r="A1602" t="s">
        <v>4549</v>
      </c>
      <c r="B1602" s="159" t="s">
        <v>4546</v>
      </c>
    </row>
    <row r="1603" spans="1:3" x14ac:dyDescent="0.2">
      <c r="A1603" s="809" t="s">
        <v>4550</v>
      </c>
      <c r="B1603" s="938" t="s">
        <v>2843</v>
      </c>
    </row>
    <row r="1604" spans="1:3" x14ac:dyDescent="0.2">
      <c r="A1604" s="809" t="s">
        <v>4551</v>
      </c>
      <c r="B1604"/>
    </row>
    <row r="1605" spans="1:3" ht="25.5" x14ac:dyDescent="0.2">
      <c r="A1605" s="901" t="s">
        <v>4552</v>
      </c>
      <c r="B1605" s="971" t="s">
        <v>4553</v>
      </c>
      <c r="C1605" s="166">
        <v>2870</v>
      </c>
    </row>
    <row r="1606" spans="1:3" x14ac:dyDescent="0.2">
      <c r="A1606" s="863" t="s">
        <v>4554</v>
      </c>
      <c r="B1606" s="969" t="s">
        <v>4555</v>
      </c>
      <c r="C1606" s="166">
        <v>2880</v>
      </c>
    </row>
    <row r="1607" spans="1:3" x14ac:dyDescent="0.2">
      <c r="A1607" s="911"/>
      <c r="B1607" s="963" t="s">
        <v>4556</v>
      </c>
    </row>
    <row r="1608" spans="1:3" x14ac:dyDescent="0.2">
      <c r="A1608" s="907" t="s">
        <v>4557</v>
      </c>
      <c r="B1608" s="938" t="s">
        <v>4558</v>
      </c>
      <c r="C1608" s="166">
        <v>2890</v>
      </c>
    </row>
    <row r="1609" spans="1:3" x14ac:dyDescent="0.2">
      <c r="A1609" s="900" t="s">
        <v>2820</v>
      </c>
      <c r="B1609" s="938" t="s">
        <v>2843</v>
      </c>
      <c r="C1609" s="166">
        <v>2900</v>
      </c>
    </row>
    <row r="1610" spans="1:3" x14ac:dyDescent="0.2">
      <c r="A1610" s="908" t="s">
        <v>4559</v>
      </c>
      <c r="B1610" s="2269"/>
    </row>
    <row r="1611" spans="1:3" x14ac:dyDescent="0.2">
      <c r="A1611" s="822" t="s">
        <v>4560</v>
      </c>
      <c r="B1611" s="2252"/>
    </row>
    <row r="1612" spans="1:3" x14ac:dyDescent="0.2">
      <c r="A1612" s="900" t="s">
        <v>2130</v>
      </c>
      <c r="B1612" s="938" t="s">
        <v>2843</v>
      </c>
      <c r="C1612" s="2246" t="s">
        <v>2402</v>
      </c>
    </row>
    <row r="1613" spans="1:3" ht="25.5" x14ac:dyDescent="0.2">
      <c r="A1613" s="157" t="s">
        <v>4561</v>
      </c>
      <c r="B1613" s="972" t="s">
        <v>4562</v>
      </c>
    </row>
    <row r="1614" spans="1:3" x14ac:dyDescent="0.2">
      <c r="A1614" t="s">
        <v>4563</v>
      </c>
      <c r="B1614"/>
    </row>
    <row r="1615" spans="1:3" x14ac:dyDescent="0.2">
      <c r="A1615" t="s">
        <v>4564</v>
      </c>
      <c r="B1615"/>
    </row>
    <row r="1616" spans="1:3" x14ac:dyDescent="0.2">
      <c r="A1616" s="900" t="s">
        <v>2131</v>
      </c>
      <c r="B1616" s="938" t="s">
        <v>2843</v>
      </c>
      <c r="C1616" s="2246" t="s">
        <v>2402</v>
      </c>
    </row>
    <row r="1617" spans="1:3" ht="51" x14ac:dyDescent="0.2">
      <c r="A1617" s="157" t="s">
        <v>4565</v>
      </c>
      <c r="B1617" s="910" t="s">
        <v>4566</v>
      </c>
    </row>
    <row r="1618" spans="1:3" x14ac:dyDescent="0.2">
      <c r="A1618" s="159" t="s">
        <v>4567</v>
      </c>
      <c r="B1618"/>
    </row>
    <row r="1619" spans="1:3" x14ac:dyDescent="0.2">
      <c r="A1619" s="159" t="s">
        <v>4568</v>
      </c>
      <c r="B1619"/>
    </row>
    <row r="1620" spans="1:3" x14ac:dyDescent="0.2">
      <c r="A1620" s="900" t="s">
        <v>4569</v>
      </c>
      <c r="B1620" s="938" t="s">
        <v>2843</v>
      </c>
      <c r="C1620" s="166">
        <v>2940</v>
      </c>
    </row>
    <row r="1621" spans="1:3" x14ac:dyDescent="0.2">
      <c r="A1621" s="207" t="s">
        <v>4570</v>
      </c>
      <c r="B1621"/>
    </row>
    <row r="1622" spans="1:3" x14ac:dyDescent="0.2">
      <c r="A1622" s="207" t="s">
        <v>4571</v>
      </c>
      <c r="B1622"/>
    </row>
    <row r="1623" spans="1:3" x14ac:dyDescent="0.2">
      <c r="A1623" s="207" t="s">
        <v>4572</v>
      </c>
      <c r="B1623"/>
    </row>
    <row r="1624" spans="1:3" x14ac:dyDescent="0.2">
      <c r="A1624" s="207" t="s">
        <v>4573</v>
      </c>
      <c r="B1624"/>
    </row>
    <row r="1625" spans="1:3" x14ac:dyDescent="0.2">
      <c r="A1625" s="207" t="s">
        <v>4574</v>
      </c>
      <c r="B1625"/>
    </row>
    <row r="1626" spans="1:3" x14ac:dyDescent="0.2">
      <c r="A1626" s="207" t="s">
        <v>4575</v>
      </c>
      <c r="B1626"/>
    </row>
    <row r="1627" spans="1:3" x14ac:dyDescent="0.2">
      <c r="A1627" s="900" t="s">
        <v>2822</v>
      </c>
      <c r="B1627" s="938" t="s">
        <v>4576</v>
      </c>
      <c r="C1627" s="166">
        <v>2950</v>
      </c>
    </row>
    <row r="1628" spans="1:3" x14ac:dyDescent="0.2">
      <c r="A1628" s="1" t="s">
        <v>4577</v>
      </c>
      <c r="B1628"/>
      <c r="C1628" s="166">
        <v>2960</v>
      </c>
    </row>
    <row r="1629" spans="1:3" x14ac:dyDescent="0.2">
      <c r="A1629" s="900" t="s">
        <v>4578</v>
      </c>
      <c r="B1629" s="938" t="s">
        <v>2843</v>
      </c>
      <c r="C1629" s="166">
        <v>2960</v>
      </c>
    </row>
    <row r="1630" spans="1:3" x14ac:dyDescent="0.2">
      <c r="A1630" t="s">
        <v>4579</v>
      </c>
      <c r="B1630"/>
    </row>
    <row r="1631" spans="1:3" x14ac:dyDescent="0.2">
      <c r="A1631" s="900" t="s">
        <v>4580</v>
      </c>
      <c r="B1631" s="938" t="s">
        <v>2843</v>
      </c>
      <c r="C1631" s="166">
        <v>2960</v>
      </c>
    </row>
    <row r="1632" spans="1:3" x14ac:dyDescent="0.2">
      <c r="A1632" t="s">
        <v>4581</v>
      </c>
      <c r="B1632"/>
    </row>
    <row r="1633" spans="1:3" x14ac:dyDescent="0.2">
      <c r="A1633" s="900" t="s">
        <v>1737</v>
      </c>
      <c r="B1633" s="938" t="s">
        <v>4582</v>
      </c>
      <c r="C1633" s="166">
        <v>2990</v>
      </c>
    </row>
    <row r="1634" spans="1:3" x14ac:dyDescent="0.2">
      <c r="B1634"/>
    </row>
    <row r="1635" spans="1:3" x14ac:dyDescent="0.2">
      <c r="A1635" s="159" t="s">
        <v>3765</v>
      </c>
      <c r="B1635"/>
    </row>
    <row r="1636" spans="1:3" x14ac:dyDescent="0.2">
      <c r="A1636" s="954" t="s">
        <v>3766</v>
      </c>
      <c r="B1636"/>
    </row>
    <row r="1637" spans="1:3" x14ac:dyDescent="0.2">
      <c r="A1637" s="159" t="s">
        <v>3767</v>
      </c>
      <c r="B1637"/>
    </row>
  </sheetData>
  <sheetProtection autoFilter="0"/>
  <customSheetViews>
    <customSheetView guid="{9FCFC836-1CA5-48BF-958D-24D2EA94B219}">
      <pane ySplit="1" topLeftCell="A242" activePane="bottomLeft" state="frozen"/>
      <selection pane="bottomLeft" activeCell="B12" sqref="B12"/>
      <pageMargins left="0" right="0" top="0" bottom="0" header="0" footer="0"/>
      <pageSetup scale="80" orientation="portrait" r:id="rId1"/>
      <headerFooter alignWithMargins="0">
        <oddFooter>&amp;L&amp;D &amp;T&amp;C&amp;F&amp;Rpg.&amp;P of &amp;N</oddFooter>
      </headerFooter>
    </customSheetView>
    <customSheetView guid="{B08879A4-635B-4C39-9937-AC7883D562FC}">
      <pane ySplit="1" topLeftCell="A242" activePane="bottomLeft" state="frozen"/>
      <selection pane="bottomLeft" activeCell="B12" sqref="B12"/>
      <pageMargins left="0" right="0" top="0" bottom="0" header="0" footer="0"/>
      <pageSetup scale="80" orientation="portrait" r:id="rId2"/>
      <headerFooter alignWithMargins="0">
        <oddFooter>&amp;L&amp;D &amp;T&amp;C&amp;F&amp;Rpg.&amp;P of &amp;N</oddFooter>
      </headerFooter>
    </customSheetView>
  </customSheetViews>
  <phoneticPr fontId="16" type="noConversion"/>
  <hyperlinks>
    <hyperlink ref="A886" r:id="rId3" xr:uid="{00000000-0004-0000-4B00-000000000000}"/>
    <hyperlink ref="A1636" r:id="rId4" xr:uid="{00000000-0004-0000-4B00-000001000000}"/>
  </hyperlinks>
  <pageMargins left="0.5" right="0.5" top="0.5" bottom="0.5" header="0.5" footer="0.25"/>
  <pageSetup scale="70" orientation="portrait" r:id="rId5"/>
  <headerFooter alignWithMargins="0">
    <oddFooter xml:space="preserve">&amp;L&amp;D &amp;T&amp;CPage &amp;P of &amp;N&amp;R&amp;A </oddFooter>
  </headerFooter>
  <legacyDrawing r:id="rId6"/>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3">
    <tabColor theme="6" tint="0.39997558519241921"/>
  </sheetPr>
  <dimension ref="A1:Z279"/>
  <sheetViews>
    <sheetView zoomScaleNormal="100" zoomScaleSheetLayoutView="100" workbookViewId="0">
      <selection activeCell="G31" sqref="G31"/>
    </sheetView>
  </sheetViews>
  <sheetFormatPr defaultRowHeight="12.75" x14ac:dyDescent="0.2"/>
  <cols>
    <col min="1" max="1" width="5.5703125" customWidth="1"/>
    <col min="2" max="2" width="11" customWidth="1"/>
    <col min="3" max="3" width="7.5703125" customWidth="1"/>
    <col min="4" max="4" width="23" customWidth="1"/>
    <col min="5" max="5" width="14.42578125" customWidth="1"/>
    <col min="6" max="6" width="22.42578125" style="365" customWidth="1"/>
    <col min="7" max="7" width="3.42578125" customWidth="1"/>
    <col min="8" max="16" width="21.7109375" customWidth="1"/>
    <col min="17" max="17" width="18.7109375" hidden="1" customWidth="1"/>
    <col min="18" max="19" width="18.7109375" customWidth="1"/>
    <col min="21" max="21" width="24" style="1514" bestFit="1" customWidth="1"/>
    <col min="24" max="24" width="11" customWidth="1"/>
  </cols>
  <sheetData>
    <row r="1" spans="1:26" ht="15.75" x14ac:dyDescent="0.25">
      <c r="A1" s="2455" t="str">
        <f>+Index!$A$1</f>
        <v xml:space="preserve">                                                               Office of the State Controller                                                                </v>
      </c>
      <c r="B1" s="2455"/>
      <c r="C1" s="2455"/>
      <c r="D1" s="2455"/>
      <c r="E1" s="2455"/>
      <c r="F1" s="2455"/>
      <c r="G1" s="2455"/>
      <c r="H1" s="625" t="str">
        <f>IF(Index!$B$106="na", "NA", "")</f>
        <v/>
      </c>
      <c r="I1" s="2214"/>
      <c r="J1" s="2214"/>
      <c r="K1" s="2214"/>
      <c r="L1" s="2214"/>
      <c r="M1" s="2214"/>
      <c r="N1" s="2214"/>
      <c r="O1" s="2214"/>
      <c r="P1" s="2214"/>
      <c r="Q1" s="2214"/>
      <c r="R1" s="2214"/>
      <c r="S1" s="2214"/>
      <c r="T1" s="2214"/>
      <c r="U1" s="1505"/>
      <c r="V1" s="2214"/>
      <c r="W1" s="2214"/>
      <c r="X1" s="2214"/>
    </row>
    <row r="2" spans="1:26" ht="16.5" x14ac:dyDescent="0.3">
      <c r="A2" s="2439" t="str">
        <f>+Index!$A$2</f>
        <v>2023 ACFR Worksheets</v>
      </c>
      <c r="B2" s="2439"/>
      <c r="C2" s="2439"/>
      <c r="D2" s="2439"/>
      <c r="E2" s="2439"/>
      <c r="F2" s="2439"/>
      <c r="G2" s="2439"/>
      <c r="H2" s="346"/>
      <c r="I2" s="346"/>
      <c r="J2" s="346"/>
      <c r="K2" s="353"/>
      <c r="L2" s="353"/>
      <c r="M2" s="353"/>
      <c r="N2" s="353"/>
      <c r="O2" s="353"/>
      <c r="P2" s="353"/>
      <c r="Q2" s="353"/>
      <c r="R2" s="353"/>
      <c r="S2" s="353"/>
      <c r="T2" s="353"/>
      <c r="U2" s="1513"/>
      <c r="V2" s="353"/>
      <c r="W2" s="353"/>
      <c r="X2" s="353"/>
    </row>
    <row r="3" spans="1:26" ht="54" customHeight="1" x14ac:dyDescent="0.3">
      <c r="A3" s="2969" t="s">
        <v>4583</v>
      </c>
      <c r="B3" s="2969"/>
      <c r="C3" s="2969"/>
      <c r="D3" s="2969"/>
      <c r="E3" s="2969"/>
      <c r="F3" s="2969"/>
      <c r="G3" s="2969"/>
      <c r="H3" s="624"/>
      <c r="I3" s="624"/>
      <c r="J3" s="624"/>
      <c r="K3" s="624"/>
      <c r="L3" s="353"/>
      <c r="M3" s="353"/>
      <c r="N3" s="353"/>
      <c r="O3" s="353"/>
      <c r="P3" s="353"/>
      <c r="Q3" s="353"/>
      <c r="R3" s="353"/>
      <c r="S3" s="353"/>
      <c r="T3" s="353"/>
      <c r="U3" s="1513"/>
      <c r="V3" s="353"/>
      <c r="W3" s="353"/>
      <c r="X3" s="353"/>
    </row>
    <row r="4" spans="1:26" ht="17.25" customHeight="1" x14ac:dyDescent="0.2">
      <c r="A4" s="2919"/>
      <c r="B4" s="2919"/>
      <c r="C4" s="2919"/>
      <c r="D4" s="2919"/>
      <c r="E4" s="2919"/>
      <c r="F4" s="2919"/>
      <c r="G4" s="2919"/>
    </row>
    <row r="5" spans="1:26" s="124" customFormat="1" ht="21.75" customHeight="1" x14ac:dyDescent="0.25">
      <c r="A5" s="124" t="s">
        <v>317</v>
      </c>
      <c r="C5" s="357" t="str">
        <f>+Index!$E$10</f>
        <v>01</v>
      </c>
      <c r="D5" s="926"/>
      <c r="E5" s="626" t="s">
        <v>319</v>
      </c>
      <c r="F5" s="2956" t="str">
        <f>+CONCATENATE(Index!$E$12," ",Index!$E$14)</f>
        <v xml:space="preserve"> </v>
      </c>
      <c r="G5" s="2956"/>
      <c r="K5" s="354"/>
      <c r="T5" s="1224"/>
      <c r="U5" s="1515"/>
      <c r="Y5" s="123"/>
    </row>
    <row r="6" spans="1:26" s="124" customFormat="1" ht="15" customHeight="1" x14ac:dyDescent="0.2">
      <c r="A6" s="124" t="s">
        <v>318</v>
      </c>
      <c r="C6" s="2961" t="str">
        <f>+Index!$E$11</f>
        <v>North Carolina General Assembly</v>
      </c>
      <c r="D6" s="2961"/>
      <c r="E6" s="449" t="s">
        <v>71</v>
      </c>
      <c r="F6" s="2957">
        <f>+Index!$E$13</f>
        <v>0</v>
      </c>
      <c r="G6" s="2957"/>
      <c r="K6" s="355"/>
      <c r="L6" s="355"/>
      <c r="M6" s="355"/>
      <c r="N6" s="355"/>
      <c r="O6" s="355"/>
      <c r="P6" s="355"/>
      <c r="Q6" s="355"/>
      <c r="R6" s="355"/>
      <c r="S6" s="355"/>
      <c r="T6" s="355"/>
      <c r="U6" s="1516"/>
      <c r="V6" s="355"/>
      <c r="W6" s="355"/>
      <c r="X6" s="125"/>
      <c r="Y6" s="123"/>
    </row>
    <row r="7" spans="1:26" s="124" customFormat="1" ht="15" customHeight="1" x14ac:dyDescent="0.2">
      <c r="A7" s="124" t="s">
        <v>568</v>
      </c>
      <c r="C7" s="620" t="e">
        <f>INDEX(NetAssetsData,MATCH('905Hosp'!$C$5,NetAssetsDataRow,0),4)</f>
        <v>#N/A</v>
      </c>
      <c r="F7" s="450"/>
      <c r="T7" s="452" t="s">
        <v>4584</v>
      </c>
      <c r="U7" s="1515"/>
      <c r="Y7" s="123"/>
    </row>
    <row r="8" spans="1:26" s="124" customFormat="1" ht="81" customHeight="1" x14ac:dyDescent="0.2">
      <c r="A8" s="2958" t="s">
        <v>4585</v>
      </c>
      <c r="B8" s="2965"/>
      <c r="C8" s="2965"/>
      <c r="D8" s="2965"/>
      <c r="E8" s="2965"/>
      <c r="F8" s="2966"/>
      <c r="G8" s="1018"/>
      <c r="H8" s="1018"/>
      <c r="I8" s="1018"/>
      <c r="Q8" s="1386" t="s">
        <v>4586</v>
      </c>
      <c r="T8" s="452"/>
      <c r="U8" s="1515"/>
      <c r="Y8" s="123"/>
    </row>
    <row r="9" spans="1:26" s="86" customFormat="1" ht="12" customHeight="1" thickBot="1" x14ac:dyDescent="0.3">
      <c r="A9" s="2952" t="s">
        <v>4587</v>
      </c>
      <c r="B9" s="2952"/>
      <c r="C9" s="2952"/>
      <c r="D9" s="2952"/>
      <c r="E9" s="1702"/>
      <c r="F9" s="618" t="s">
        <v>4588</v>
      </c>
      <c r="G9" s="619"/>
      <c r="H9" s="623" t="s">
        <v>4589</v>
      </c>
      <c r="I9" s="623" t="s">
        <v>4590</v>
      </c>
      <c r="J9" s="619" t="s">
        <v>4591</v>
      </c>
      <c r="K9" s="619" t="s">
        <v>4592</v>
      </c>
      <c r="L9" s="619" t="s">
        <v>4593</v>
      </c>
      <c r="M9" s="619" t="s">
        <v>4594</v>
      </c>
      <c r="N9" s="618" t="s">
        <v>4595</v>
      </c>
      <c r="O9" s="618" t="s">
        <v>4596</v>
      </c>
      <c r="P9" s="618" t="s">
        <v>4597</v>
      </c>
      <c r="Q9" s="618" t="s">
        <v>4598</v>
      </c>
      <c r="R9" s="618"/>
      <c r="S9" s="618"/>
      <c r="T9" s="560" t="s">
        <v>4599</v>
      </c>
      <c r="U9" s="1517"/>
      <c r="V9" s="27"/>
      <c r="W9" s="27"/>
      <c r="X9" s="1506" t="s">
        <v>2612</v>
      </c>
      <c r="Y9" s="1506" t="s">
        <v>4588</v>
      </c>
      <c r="Z9" s="27"/>
    </row>
    <row r="10" spans="1:26" ht="15" x14ac:dyDescent="0.25">
      <c r="A10" s="2952" t="s">
        <v>4600</v>
      </c>
      <c r="B10" s="2952"/>
      <c r="C10" s="2952"/>
      <c r="D10" s="2952"/>
      <c r="F10" s="452" t="s">
        <v>4601</v>
      </c>
      <c r="H10" s="1267" t="s">
        <v>4601</v>
      </c>
      <c r="I10" s="452" t="s">
        <v>4602</v>
      </c>
      <c r="J10" s="452">
        <v>2635</v>
      </c>
      <c r="K10" s="452">
        <v>2632</v>
      </c>
      <c r="L10" s="452">
        <v>2637</v>
      </c>
      <c r="M10" s="452">
        <v>2638</v>
      </c>
      <c r="N10" s="452">
        <v>2639</v>
      </c>
      <c r="O10" s="452" t="s">
        <v>4601</v>
      </c>
      <c r="P10" s="452" t="s">
        <v>4601</v>
      </c>
      <c r="Q10" s="452" t="s">
        <v>4603</v>
      </c>
      <c r="R10" s="452" t="s">
        <v>4603</v>
      </c>
      <c r="S10" s="452" t="s">
        <v>4603</v>
      </c>
      <c r="X10" s="1506" t="s">
        <v>2614</v>
      </c>
      <c r="Y10" s="1518">
        <v>4800</v>
      </c>
    </row>
    <row r="11" spans="1:26" x14ac:dyDescent="0.2">
      <c r="B11" s="2962" t="s">
        <v>2618</v>
      </c>
      <c r="C11" s="2962"/>
      <c r="D11" s="2962"/>
      <c r="E11" s="2962"/>
      <c r="F11" s="452" t="s">
        <v>4604</v>
      </c>
      <c r="G11" s="452"/>
      <c r="H11" s="1268" t="s">
        <v>4605</v>
      </c>
      <c r="I11" s="365"/>
      <c r="J11" s="452" t="s">
        <v>4606</v>
      </c>
      <c r="K11" s="452" t="s">
        <v>4607</v>
      </c>
      <c r="L11" s="452" t="s">
        <v>4608</v>
      </c>
      <c r="M11" s="452" t="s">
        <v>4609</v>
      </c>
      <c r="N11" s="452" t="s">
        <v>4610</v>
      </c>
      <c r="O11" s="452" t="s">
        <v>4611</v>
      </c>
      <c r="P11" s="452" t="s">
        <v>4612</v>
      </c>
      <c r="Q11" s="452" t="s">
        <v>4613</v>
      </c>
      <c r="R11" s="452"/>
      <c r="S11" s="452"/>
    </row>
    <row r="12" spans="1:26" x14ac:dyDescent="0.2">
      <c r="B12" s="2377"/>
      <c r="C12" s="2377"/>
      <c r="F12" s="560" t="s">
        <v>4614</v>
      </c>
      <c r="G12" s="451"/>
      <c r="H12" s="1269" t="s">
        <v>4589</v>
      </c>
      <c r="I12" s="560" t="s">
        <v>4615</v>
      </c>
      <c r="J12" s="560" t="s">
        <v>4616</v>
      </c>
      <c r="K12" s="560" t="s">
        <v>4617</v>
      </c>
      <c r="L12" s="560" t="s">
        <v>4618</v>
      </c>
      <c r="M12" s="560" t="s">
        <v>4619</v>
      </c>
      <c r="N12" s="560" t="s">
        <v>4620</v>
      </c>
      <c r="O12" s="560" t="s">
        <v>4621</v>
      </c>
      <c r="P12" s="560" t="s">
        <v>4622</v>
      </c>
      <c r="Q12" s="560" t="s">
        <v>4619</v>
      </c>
      <c r="R12" s="560"/>
      <c r="S12" s="560"/>
    </row>
    <row r="13" spans="1:26" x14ac:dyDescent="0.2">
      <c r="A13" s="1" t="s">
        <v>2622</v>
      </c>
      <c r="B13" s="234" t="s">
        <v>2623</v>
      </c>
      <c r="C13" s="234"/>
      <c r="G13" s="965"/>
    </row>
    <row r="14" spans="1:26" x14ac:dyDescent="0.2">
      <c r="A14" s="191">
        <v>1000</v>
      </c>
      <c r="B14" s="2881" t="s">
        <v>2624</v>
      </c>
      <c r="C14" s="2881"/>
      <c r="D14" s="2881"/>
      <c r="E14" s="2881"/>
      <c r="F14" s="366">
        <f>SUM(H14:S14)</f>
        <v>0</v>
      </c>
      <c r="G14" s="159"/>
      <c r="H14" s="372">
        <v>0</v>
      </c>
      <c r="I14" s="372">
        <v>0</v>
      </c>
      <c r="J14" s="372">
        <v>0</v>
      </c>
      <c r="K14" s="372">
        <v>0</v>
      </c>
      <c r="L14" s="372">
        <v>0</v>
      </c>
      <c r="M14" s="372">
        <v>0</v>
      </c>
      <c r="N14" s="372">
        <v>0</v>
      </c>
      <c r="O14" s="372">
        <v>0</v>
      </c>
      <c r="P14" s="372">
        <v>0</v>
      </c>
      <c r="Q14" s="372">
        <v>0</v>
      </c>
      <c r="R14" s="372">
        <v>0</v>
      </c>
      <c r="S14" s="372">
        <v>0</v>
      </c>
      <c r="U14" s="1519">
        <v>11111000</v>
      </c>
    </row>
    <row r="15" spans="1:26" x14ac:dyDescent="0.2">
      <c r="A15" s="191">
        <v>1010</v>
      </c>
      <c r="B15" s="2881" t="s">
        <v>2625</v>
      </c>
      <c r="C15" s="2881"/>
      <c r="D15" s="2881"/>
      <c r="E15" s="2881"/>
      <c r="F15" s="365">
        <f>SUM(H15:S15)</f>
        <v>0</v>
      </c>
      <c r="H15" s="372">
        <v>0</v>
      </c>
      <c r="I15" s="372">
        <v>0</v>
      </c>
      <c r="J15" s="372">
        <v>0</v>
      </c>
      <c r="K15" s="372">
        <v>0</v>
      </c>
      <c r="L15" s="372">
        <v>0</v>
      </c>
      <c r="M15" s="372">
        <v>0</v>
      </c>
      <c r="N15" s="372">
        <v>0</v>
      </c>
      <c r="O15" s="372">
        <v>0</v>
      </c>
      <c r="P15" s="372">
        <v>0</v>
      </c>
      <c r="Q15" s="372">
        <v>0</v>
      </c>
      <c r="R15" s="372">
        <v>0</v>
      </c>
      <c r="S15" s="372">
        <v>0</v>
      </c>
      <c r="U15" s="1520">
        <v>11121000</v>
      </c>
    </row>
    <row r="16" spans="1:26" x14ac:dyDescent="0.2">
      <c r="A16" s="191">
        <v>1050</v>
      </c>
      <c r="B16" s="2881" t="s">
        <v>2626</v>
      </c>
      <c r="C16" s="2881"/>
      <c r="D16" s="2881"/>
      <c r="E16" s="2881"/>
      <c r="F16" s="365">
        <f t="shared" ref="F16:F23" si="0">SUM(H16:S16)</f>
        <v>0</v>
      </c>
      <c r="G16" s="159"/>
      <c r="H16" s="372">
        <v>0</v>
      </c>
      <c r="I16" s="372">
        <v>0</v>
      </c>
      <c r="J16" s="372">
        <v>0</v>
      </c>
      <c r="K16" s="372">
        <v>0</v>
      </c>
      <c r="L16" s="372">
        <v>0</v>
      </c>
      <c r="M16" s="372">
        <v>0</v>
      </c>
      <c r="N16" s="372">
        <v>0</v>
      </c>
      <c r="O16" s="372">
        <v>0</v>
      </c>
      <c r="P16" s="372">
        <v>0</v>
      </c>
      <c r="Q16" s="372">
        <v>0</v>
      </c>
      <c r="R16" s="372">
        <v>0</v>
      </c>
      <c r="S16" s="372">
        <v>0</v>
      </c>
      <c r="U16" s="1520">
        <v>11210100</v>
      </c>
    </row>
    <row r="17" spans="1:21" x14ac:dyDescent="0.2">
      <c r="A17" s="191">
        <v>1060</v>
      </c>
      <c r="B17" s="2881" t="s">
        <v>2627</v>
      </c>
      <c r="C17" s="2881"/>
      <c r="D17" s="2881"/>
      <c r="E17" s="2881"/>
      <c r="F17" s="365">
        <f t="shared" si="0"/>
        <v>0</v>
      </c>
      <c r="G17" s="463"/>
      <c r="H17" s="372">
        <v>0</v>
      </c>
      <c r="I17" s="372">
        <v>0</v>
      </c>
      <c r="J17" s="372">
        <v>0</v>
      </c>
      <c r="K17" s="372">
        <v>0</v>
      </c>
      <c r="L17" s="372">
        <v>0</v>
      </c>
      <c r="M17" s="372">
        <v>0</v>
      </c>
      <c r="N17" s="372">
        <v>0</v>
      </c>
      <c r="O17" s="372">
        <v>0</v>
      </c>
      <c r="P17" s="372">
        <v>0</v>
      </c>
      <c r="Q17" s="372">
        <v>0</v>
      </c>
      <c r="R17" s="372">
        <v>0</v>
      </c>
      <c r="S17" s="372">
        <v>0</v>
      </c>
      <c r="U17" s="1520">
        <v>11221000</v>
      </c>
    </row>
    <row r="18" spans="1:21" x14ac:dyDescent="0.2">
      <c r="A18" s="191">
        <v>1090</v>
      </c>
      <c r="B18" s="2881" t="s">
        <v>2628</v>
      </c>
      <c r="C18" s="2881"/>
      <c r="D18" s="2881"/>
      <c r="E18" s="2881"/>
      <c r="F18" s="365">
        <f t="shared" si="0"/>
        <v>0</v>
      </c>
      <c r="G18" s="486"/>
      <c r="H18" s="372">
        <v>0</v>
      </c>
      <c r="I18" s="372">
        <v>0</v>
      </c>
      <c r="J18" s="372">
        <v>0</v>
      </c>
      <c r="K18" s="372">
        <v>0</v>
      </c>
      <c r="L18" s="372">
        <v>0</v>
      </c>
      <c r="M18" s="372">
        <v>0</v>
      </c>
      <c r="N18" s="372">
        <v>0</v>
      </c>
      <c r="O18" s="372">
        <v>0</v>
      </c>
      <c r="P18" s="372">
        <v>0</v>
      </c>
      <c r="Q18" s="372">
        <v>0</v>
      </c>
      <c r="R18" s="372">
        <v>0</v>
      </c>
      <c r="S18" s="372">
        <v>0</v>
      </c>
      <c r="U18" s="1520">
        <v>11230000</v>
      </c>
    </row>
    <row r="19" spans="1:21" x14ac:dyDescent="0.2">
      <c r="A19" s="191"/>
      <c r="B19" s="191" t="s">
        <v>2629</v>
      </c>
      <c r="C19" s="191"/>
      <c r="H19" s="233"/>
      <c r="I19" s="365"/>
      <c r="J19" s="365"/>
      <c r="K19" s="365"/>
      <c r="L19" s="365"/>
      <c r="M19" s="365"/>
      <c r="N19" s="365"/>
      <c r="O19" s="365"/>
      <c r="P19" s="365"/>
      <c r="Q19" s="365"/>
      <c r="R19" s="365"/>
      <c r="S19" s="365"/>
      <c r="U19" s="1520"/>
    </row>
    <row r="20" spans="1:21" x14ac:dyDescent="0.2">
      <c r="A20" s="191">
        <v>1110</v>
      </c>
      <c r="B20" s="2951" t="s">
        <v>2630</v>
      </c>
      <c r="C20" s="2951"/>
      <c r="D20" s="2951"/>
      <c r="E20" s="2951"/>
      <c r="F20" s="365">
        <f t="shared" si="0"/>
        <v>0</v>
      </c>
      <c r="H20" s="372">
        <v>0</v>
      </c>
      <c r="I20" s="372">
        <v>0</v>
      </c>
      <c r="J20" s="372">
        <v>0</v>
      </c>
      <c r="K20" s="372">
        <v>0</v>
      </c>
      <c r="L20" s="372">
        <v>0</v>
      </c>
      <c r="M20" s="372">
        <v>0</v>
      </c>
      <c r="N20" s="372">
        <v>0</v>
      </c>
      <c r="O20" s="372">
        <v>0</v>
      </c>
      <c r="P20" s="372">
        <v>0</v>
      </c>
      <c r="Q20" s="372">
        <v>0</v>
      </c>
      <c r="R20" s="372">
        <v>0</v>
      </c>
      <c r="S20" s="372">
        <v>0</v>
      </c>
      <c r="U20" s="1520">
        <v>11320000</v>
      </c>
    </row>
    <row r="21" spans="1:21" x14ac:dyDescent="0.2">
      <c r="A21" s="191">
        <v>1120</v>
      </c>
      <c r="B21" s="2951" t="s">
        <v>2631</v>
      </c>
      <c r="C21" s="2951"/>
      <c r="D21" s="2951"/>
      <c r="E21" s="2951"/>
      <c r="F21" s="365">
        <f t="shared" si="0"/>
        <v>0</v>
      </c>
      <c r="H21" s="372">
        <v>0</v>
      </c>
      <c r="I21" s="372">
        <v>0</v>
      </c>
      <c r="J21" s="372">
        <v>0</v>
      </c>
      <c r="K21" s="372">
        <v>0</v>
      </c>
      <c r="L21" s="372">
        <v>0</v>
      </c>
      <c r="M21" s="372">
        <v>0</v>
      </c>
      <c r="N21" s="372">
        <v>0</v>
      </c>
      <c r="O21" s="372">
        <v>0</v>
      </c>
      <c r="P21" s="372">
        <v>0</v>
      </c>
      <c r="Q21" s="372">
        <v>0</v>
      </c>
      <c r="R21" s="372">
        <v>0</v>
      </c>
      <c r="S21" s="372">
        <v>0</v>
      </c>
      <c r="U21" s="1520">
        <v>11341000</v>
      </c>
    </row>
    <row r="22" spans="1:21" x14ac:dyDescent="0.2">
      <c r="A22" s="191">
        <v>1130</v>
      </c>
      <c r="B22" s="2951" t="s">
        <v>2632</v>
      </c>
      <c r="C22" s="2951"/>
      <c r="D22" s="2951"/>
      <c r="E22" s="2951"/>
      <c r="F22" s="365">
        <f t="shared" si="0"/>
        <v>0</v>
      </c>
      <c r="H22" s="372">
        <v>0</v>
      </c>
      <c r="I22" s="372">
        <v>0</v>
      </c>
      <c r="J22" s="372">
        <v>0</v>
      </c>
      <c r="K22" s="372">
        <v>0</v>
      </c>
      <c r="L22" s="372">
        <v>0</v>
      </c>
      <c r="M22" s="372">
        <v>0</v>
      </c>
      <c r="N22" s="372">
        <v>0</v>
      </c>
      <c r="O22" s="372">
        <v>0</v>
      </c>
      <c r="P22" s="372">
        <v>0</v>
      </c>
      <c r="Q22" s="372">
        <v>0</v>
      </c>
      <c r="R22" s="372">
        <v>0</v>
      </c>
      <c r="S22" s="372">
        <v>0</v>
      </c>
      <c r="U22" s="1520">
        <v>11351000</v>
      </c>
    </row>
    <row r="23" spans="1:21" x14ac:dyDescent="0.2">
      <c r="A23" s="191">
        <v>1160</v>
      </c>
      <c r="B23" s="2951" t="s">
        <v>2633</v>
      </c>
      <c r="C23" s="2951"/>
      <c r="D23" s="2951"/>
      <c r="E23" s="2951"/>
      <c r="F23" s="365">
        <f t="shared" si="0"/>
        <v>0</v>
      </c>
      <c r="H23" s="372">
        <v>0</v>
      </c>
      <c r="I23" s="372">
        <v>0</v>
      </c>
      <c r="J23" s="372">
        <v>0</v>
      </c>
      <c r="K23" s="372">
        <v>0</v>
      </c>
      <c r="L23" s="372">
        <v>0</v>
      </c>
      <c r="M23" s="372">
        <v>0</v>
      </c>
      <c r="N23" s="372">
        <v>0</v>
      </c>
      <c r="O23" s="372">
        <v>0</v>
      </c>
      <c r="P23" s="372">
        <v>0</v>
      </c>
      <c r="Q23" s="372">
        <v>0</v>
      </c>
      <c r="R23" s="372">
        <v>0</v>
      </c>
      <c r="S23" s="372">
        <v>0</v>
      </c>
      <c r="U23" s="1520">
        <v>11336000</v>
      </c>
    </row>
    <row r="24" spans="1:21" x14ac:dyDescent="0.2">
      <c r="A24" s="191">
        <v>1175</v>
      </c>
      <c r="B24" s="2881" t="s">
        <v>2634</v>
      </c>
      <c r="C24" s="2881"/>
      <c r="D24" s="2881"/>
      <c r="E24" s="2881"/>
      <c r="F24" s="587">
        <f>SUM(H24:S24)</f>
        <v>0</v>
      </c>
      <c r="H24" s="1207">
        <v>0</v>
      </c>
      <c r="I24" s="1207">
        <v>0</v>
      </c>
      <c r="J24" s="1207">
        <v>0</v>
      </c>
      <c r="K24" s="1207">
        <v>0</v>
      </c>
      <c r="L24" s="1207">
        <v>0</v>
      </c>
      <c r="M24" s="1207">
        <v>0</v>
      </c>
      <c r="N24" s="1207">
        <v>0</v>
      </c>
      <c r="O24" s="1207">
        <v>0</v>
      </c>
      <c r="P24" s="1207">
        <v>0</v>
      </c>
      <c r="Q24" s="1207"/>
      <c r="R24" s="1207">
        <v>0</v>
      </c>
      <c r="S24" s="1207">
        <v>0</v>
      </c>
      <c r="U24" s="1520">
        <v>11450100</v>
      </c>
    </row>
    <row r="25" spans="1:21" x14ac:dyDescent="0.2">
      <c r="A25" s="666">
        <v>1190</v>
      </c>
      <c r="B25" s="2947" t="s">
        <v>2635</v>
      </c>
      <c r="C25" s="2947"/>
      <c r="D25" s="2947"/>
      <c r="E25" s="2947"/>
      <c r="F25" s="587">
        <f>'525'!H26</f>
        <v>0</v>
      </c>
      <c r="H25" s="1207">
        <v>0</v>
      </c>
      <c r="I25" s="1207">
        <v>0</v>
      </c>
      <c r="J25" s="1207">
        <v>0</v>
      </c>
      <c r="K25" s="1207">
        <v>0</v>
      </c>
      <c r="L25" s="1207">
        <v>0</v>
      </c>
      <c r="M25" s="1207">
        <v>0</v>
      </c>
      <c r="N25" s="1207">
        <v>0</v>
      </c>
      <c r="O25" s="1207">
        <v>0</v>
      </c>
      <c r="P25" s="1207">
        <v>0</v>
      </c>
      <c r="Q25" s="1207">
        <v>0</v>
      </c>
      <c r="R25" s="1207">
        <v>0</v>
      </c>
      <c r="S25" s="1207">
        <v>0</v>
      </c>
      <c r="T25" t="str">
        <f>IF(SUM(H25:S25)=F25,"OK ","Problem: sum of amts keyed for each agency in col H through S must tie to total on combined worksheet")</f>
        <v xml:space="preserve">OK </v>
      </c>
      <c r="U25" s="1521">
        <v>11470000</v>
      </c>
    </row>
    <row r="26" spans="1:21" x14ac:dyDescent="0.2">
      <c r="A26" s="666">
        <v>1195</v>
      </c>
      <c r="B26" s="2947" t="s">
        <v>2636</v>
      </c>
      <c r="C26" s="2947"/>
      <c r="D26" s="2947"/>
      <c r="E26" s="2947"/>
      <c r="F26" s="587">
        <f>'616'!D30</f>
        <v>0</v>
      </c>
      <c r="H26" s="1207">
        <v>0</v>
      </c>
      <c r="I26" s="1207">
        <v>0</v>
      </c>
      <c r="J26" s="1207">
        <v>0</v>
      </c>
      <c r="K26" s="1207">
        <v>0</v>
      </c>
      <c r="L26" s="1207">
        <v>0</v>
      </c>
      <c r="M26" s="1207">
        <v>0</v>
      </c>
      <c r="N26" s="1207">
        <v>0</v>
      </c>
      <c r="O26" s="1207">
        <v>0</v>
      </c>
      <c r="P26" s="1207">
        <v>0</v>
      </c>
      <c r="Q26" s="1207">
        <v>0</v>
      </c>
      <c r="R26" s="1207">
        <v>0</v>
      </c>
      <c r="S26" s="1207">
        <v>0</v>
      </c>
      <c r="T26" t="str">
        <f>IF(SUM(H26:S26)=F26,"OK ","Problem: sum of amts keyed for each agency in col H through S must tie to total on combined worksheet")</f>
        <v xml:space="preserve">OK </v>
      </c>
      <c r="U26" s="1520">
        <v>11480000</v>
      </c>
    </row>
    <row r="27" spans="1:21" x14ac:dyDescent="0.2">
      <c r="A27" s="666">
        <v>1200</v>
      </c>
      <c r="B27" s="2947" t="s">
        <v>2637</v>
      </c>
      <c r="C27" s="2947"/>
      <c r="D27" s="2947"/>
      <c r="E27" s="2947"/>
      <c r="F27" s="587">
        <f>'515'!H26</f>
        <v>0</v>
      </c>
      <c r="H27" s="1207">
        <v>0</v>
      </c>
      <c r="I27" s="1207">
        <v>0</v>
      </c>
      <c r="J27" s="1207">
        <v>0</v>
      </c>
      <c r="K27" s="1207">
        <v>0</v>
      </c>
      <c r="L27" s="1207">
        <v>0</v>
      </c>
      <c r="M27" s="1207">
        <v>0</v>
      </c>
      <c r="N27" s="1207">
        <v>0</v>
      </c>
      <c r="O27" s="1207">
        <v>0</v>
      </c>
      <c r="P27" s="1207">
        <v>0</v>
      </c>
      <c r="Q27" s="1207">
        <v>0</v>
      </c>
      <c r="R27" s="1207">
        <v>0</v>
      </c>
      <c r="S27" s="1207">
        <v>0</v>
      </c>
      <c r="T27" t="str">
        <f>IF(SUM(H27:S27)=F27,"OK ","Problem: sum of amts keyed for each agency in col H through S must tie to total on combined worksheet")</f>
        <v xml:space="preserve">OK </v>
      </c>
      <c r="U27" s="1521">
        <v>11460000</v>
      </c>
    </row>
    <row r="28" spans="1:21" x14ac:dyDescent="0.2">
      <c r="A28" s="191">
        <v>1220</v>
      </c>
      <c r="B28" s="2955" t="s">
        <v>2638</v>
      </c>
      <c r="C28" s="2955"/>
      <c r="D28" s="2955"/>
      <c r="E28" s="2955"/>
      <c r="F28" s="365">
        <f>SUM(H28:S28)</f>
        <v>0</v>
      </c>
      <c r="H28" s="372">
        <v>0</v>
      </c>
      <c r="I28" s="372">
        <v>0</v>
      </c>
      <c r="J28" s="372">
        <v>0</v>
      </c>
      <c r="K28" s="372">
        <v>0</v>
      </c>
      <c r="L28" s="372">
        <v>0</v>
      </c>
      <c r="M28" s="372">
        <v>0</v>
      </c>
      <c r="N28" s="372">
        <v>0</v>
      </c>
      <c r="O28" s="372">
        <v>0</v>
      </c>
      <c r="P28" s="372">
        <v>0</v>
      </c>
      <c r="Q28" s="372">
        <v>0</v>
      </c>
      <c r="R28" s="372">
        <v>0</v>
      </c>
      <c r="S28" s="372">
        <v>0</v>
      </c>
      <c r="U28" s="1520">
        <v>11611000</v>
      </c>
    </row>
    <row r="29" spans="1:21" x14ac:dyDescent="0.2">
      <c r="A29" s="191">
        <v>1230</v>
      </c>
      <c r="B29" s="2881" t="s">
        <v>2639</v>
      </c>
      <c r="C29" s="2881"/>
      <c r="D29" s="2881"/>
      <c r="E29" s="2881"/>
      <c r="F29" s="365">
        <f t="shared" ref="F29:F38" si="1">SUM(H29:S29)</f>
        <v>0</v>
      </c>
      <c r="H29" s="372">
        <v>0</v>
      </c>
      <c r="I29" s="372">
        <v>0</v>
      </c>
      <c r="J29" s="372">
        <v>0</v>
      </c>
      <c r="K29" s="372">
        <v>0</v>
      </c>
      <c r="L29" s="372">
        <v>0</v>
      </c>
      <c r="M29" s="372">
        <v>0</v>
      </c>
      <c r="N29" s="372">
        <v>0</v>
      </c>
      <c r="O29" s="372">
        <v>0</v>
      </c>
      <c r="P29" s="372">
        <v>0</v>
      </c>
      <c r="Q29" s="372">
        <v>0</v>
      </c>
      <c r="R29" s="372">
        <v>0</v>
      </c>
      <c r="S29" s="372">
        <v>0</v>
      </c>
      <c r="U29" s="1520">
        <v>11910000</v>
      </c>
    </row>
    <row r="30" spans="1:21" x14ac:dyDescent="0.2">
      <c r="A30" s="191">
        <v>1210</v>
      </c>
      <c r="B30" s="2881" t="s">
        <v>2640</v>
      </c>
      <c r="C30" s="2881"/>
      <c r="D30" s="2881"/>
      <c r="E30" s="2881"/>
      <c r="F30" s="365">
        <f t="shared" si="1"/>
        <v>0</v>
      </c>
      <c r="H30" s="372">
        <v>0</v>
      </c>
      <c r="I30" s="372">
        <v>0</v>
      </c>
      <c r="J30" s="372">
        <v>0</v>
      </c>
      <c r="K30" s="372">
        <v>0</v>
      </c>
      <c r="L30" s="372">
        <v>0</v>
      </c>
      <c r="M30" s="372">
        <v>0</v>
      </c>
      <c r="N30" s="372">
        <v>0</v>
      </c>
      <c r="O30" s="372">
        <v>0</v>
      </c>
      <c r="P30" s="372">
        <v>0</v>
      </c>
      <c r="Q30" s="372">
        <v>0</v>
      </c>
      <c r="R30" s="372">
        <v>0</v>
      </c>
      <c r="S30" s="372">
        <v>0</v>
      </c>
      <c r="U30" s="1520">
        <v>11510000</v>
      </c>
    </row>
    <row r="31" spans="1:21" x14ac:dyDescent="0.2">
      <c r="A31" s="191">
        <v>1211</v>
      </c>
      <c r="B31" s="2881" t="s">
        <v>4623</v>
      </c>
      <c r="C31" s="2881"/>
      <c r="D31" s="2881"/>
      <c r="E31" s="2881"/>
      <c r="F31" s="365">
        <f t="shared" si="1"/>
        <v>0</v>
      </c>
      <c r="H31" s="372">
        <v>0</v>
      </c>
      <c r="I31" s="372">
        <v>0</v>
      </c>
      <c r="J31" s="372">
        <v>0</v>
      </c>
      <c r="K31" s="372">
        <v>0</v>
      </c>
      <c r="L31" s="372">
        <v>0</v>
      </c>
      <c r="M31" s="372">
        <v>0</v>
      </c>
      <c r="N31" s="372">
        <v>0</v>
      </c>
      <c r="O31" s="372">
        <v>0</v>
      </c>
      <c r="P31" s="372">
        <v>0</v>
      </c>
      <c r="Q31" s="372"/>
      <c r="R31" s="372"/>
      <c r="S31" s="372"/>
      <c r="U31" s="1636">
        <v>11530000</v>
      </c>
    </row>
    <row r="32" spans="1:21" x14ac:dyDescent="0.2">
      <c r="A32" s="2366">
        <v>1214</v>
      </c>
      <c r="B32" s="2946" t="s">
        <v>4624</v>
      </c>
      <c r="C32" s="2946"/>
      <c r="D32" s="2946"/>
      <c r="E32" s="2946"/>
      <c r="F32" s="365">
        <f t="shared" si="1"/>
        <v>0</v>
      </c>
      <c r="H32" s="372">
        <v>0</v>
      </c>
      <c r="I32" s="372">
        <v>0</v>
      </c>
      <c r="J32" s="372">
        <v>0</v>
      </c>
      <c r="K32" s="372">
        <v>0</v>
      </c>
      <c r="L32" s="372">
        <v>0</v>
      </c>
      <c r="M32" s="372">
        <v>0</v>
      </c>
      <c r="N32" s="372">
        <v>0</v>
      </c>
      <c r="O32" s="372">
        <v>0</v>
      </c>
      <c r="P32" s="372"/>
      <c r="Q32" s="372"/>
      <c r="R32" s="372"/>
      <c r="S32" s="372"/>
      <c r="U32" s="1636"/>
    </row>
    <row r="33" spans="1:21" x14ac:dyDescent="0.2">
      <c r="A33" s="191">
        <v>1020</v>
      </c>
      <c r="B33" s="2881" t="s">
        <v>2644</v>
      </c>
      <c r="C33" s="2881"/>
      <c r="D33" s="2881"/>
      <c r="E33" s="2881"/>
      <c r="F33" s="365">
        <f t="shared" si="1"/>
        <v>0</v>
      </c>
      <c r="H33" s="372">
        <v>0</v>
      </c>
      <c r="I33" s="372">
        <v>0</v>
      </c>
      <c r="J33" s="372">
        <v>0</v>
      </c>
      <c r="K33" s="372">
        <v>0</v>
      </c>
      <c r="L33" s="372">
        <v>0</v>
      </c>
      <c r="M33" s="372">
        <v>0</v>
      </c>
      <c r="N33" s="372">
        <v>0</v>
      </c>
      <c r="O33" s="372">
        <v>0</v>
      </c>
      <c r="P33" s="372">
        <v>0</v>
      </c>
      <c r="Q33" s="372">
        <v>0</v>
      </c>
      <c r="R33" s="372">
        <v>0</v>
      </c>
      <c r="S33" s="372">
        <v>0</v>
      </c>
      <c r="U33" s="1520" t="s">
        <v>2645</v>
      </c>
    </row>
    <row r="34" spans="1:21" x14ac:dyDescent="0.2">
      <c r="A34" s="191">
        <v>1030</v>
      </c>
      <c r="B34" s="2881" t="s">
        <v>2646</v>
      </c>
      <c r="C34" s="2881"/>
      <c r="D34" s="2881"/>
      <c r="E34" s="2881"/>
      <c r="F34" s="365">
        <f t="shared" si="1"/>
        <v>0</v>
      </c>
      <c r="H34" s="372">
        <v>0</v>
      </c>
      <c r="I34" s="372">
        <v>0</v>
      </c>
      <c r="J34" s="372">
        <v>0</v>
      </c>
      <c r="K34" s="372">
        <v>0</v>
      </c>
      <c r="L34" s="372">
        <v>0</v>
      </c>
      <c r="M34" s="372">
        <v>0</v>
      </c>
      <c r="N34" s="372">
        <v>0</v>
      </c>
      <c r="O34" s="372">
        <v>0</v>
      </c>
      <c r="P34" s="372">
        <v>0</v>
      </c>
      <c r="Q34" s="372">
        <v>0</v>
      </c>
      <c r="R34" s="372">
        <v>0</v>
      </c>
      <c r="S34" s="372">
        <v>0</v>
      </c>
      <c r="U34" s="1520" t="s">
        <v>2647</v>
      </c>
    </row>
    <row r="35" spans="1:21" x14ac:dyDescent="0.2">
      <c r="A35" s="191">
        <v>1070</v>
      </c>
      <c r="B35" s="2881" t="s">
        <v>2648</v>
      </c>
      <c r="C35" s="2881"/>
      <c r="D35" s="2881"/>
      <c r="E35" s="2881"/>
      <c r="F35" s="365">
        <f t="shared" si="1"/>
        <v>0</v>
      </c>
      <c r="H35" s="372">
        <v>0</v>
      </c>
      <c r="I35" s="372">
        <v>0</v>
      </c>
      <c r="J35" s="372">
        <v>0</v>
      </c>
      <c r="K35" s="372">
        <v>0</v>
      </c>
      <c r="L35" s="372">
        <v>0</v>
      </c>
      <c r="M35" s="372">
        <v>0</v>
      </c>
      <c r="N35" s="372">
        <v>0</v>
      </c>
      <c r="O35" s="372">
        <v>0</v>
      </c>
      <c r="P35" s="372">
        <v>0</v>
      </c>
      <c r="Q35" s="372">
        <v>0</v>
      </c>
      <c r="R35" s="372">
        <v>0</v>
      </c>
      <c r="S35" s="372">
        <v>0</v>
      </c>
      <c r="U35" s="1520">
        <v>11212500</v>
      </c>
    </row>
    <row r="36" spans="1:21" x14ac:dyDescent="0.2">
      <c r="A36" s="191">
        <v>1232</v>
      </c>
      <c r="B36" s="2881" t="s">
        <v>2649</v>
      </c>
      <c r="C36" s="2881"/>
      <c r="D36" s="2881"/>
      <c r="E36" s="2881"/>
      <c r="F36" s="365">
        <f>SUM(H36:S36)</f>
        <v>0</v>
      </c>
      <c r="H36" s="372">
        <v>0</v>
      </c>
      <c r="I36" s="372">
        <v>0</v>
      </c>
      <c r="J36" s="372">
        <v>0</v>
      </c>
      <c r="K36" s="372">
        <v>0</v>
      </c>
      <c r="L36" s="372">
        <v>0</v>
      </c>
      <c r="M36" s="372">
        <v>0</v>
      </c>
      <c r="N36" s="372">
        <v>0</v>
      </c>
      <c r="O36" s="372">
        <v>0</v>
      </c>
      <c r="P36" s="372">
        <v>0</v>
      </c>
      <c r="Q36" s="372">
        <v>0</v>
      </c>
      <c r="R36" s="372">
        <v>0</v>
      </c>
      <c r="S36" s="372">
        <v>0</v>
      </c>
      <c r="U36" s="1520">
        <v>11970000</v>
      </c>
    </row>
    <row r="37" spans="1:21" x14ac:dyDescent="0.2">
      <c r="A37" s="1240">
        <v>1235</v>
      </c>
      <c r="B37" s="2881" t="s">
        <v>2650</v>
      </c>
      <c r="C37" s="2881"/>
      <c r="D37" s="2881"/>
      <c r="E37" s="2881"/>
      <c r="F37" s="365">
        <f>SUM(H37:S37)</f>
        <v>0</v>
      </c>
      <c r="H37" s="372">
        <v>0</v>
      </c>
      <c r="I37" s="372">
        <v>0</v>
      </c>
      <c r="J37" s="372">
        <v>0</v>
      </c>
      <c r="K37" s="372">
        <v>0</v>
      </c>
      <c r="L37" s="372">
        <v>0</v>
      </c>
      <c r="M37" s="372">
        <v>0</v>
      </c>
      <c r="N37" s="372">
        <v>0</v>
      </c>
      <c r="O37" s="372">
        <v>0</v>
      </c>
      <c r="P37" s="372">
        <v>0</v>
      </c>
      <c r="Q37" s="372">
        <v>0</v>
      </c>
      <c r="R37" s="372">
        <v>0</v>
      </c>
      <c r="S37" s="372">
        <v>0</v>
      </c>
      <c r="U37" s="1520">
        <v>11491000</v>
      </c>
    </row>
    <row r="38" spans="1:21" x14ac:dyDescent="0.2">
      <c r="A38" s="1240">
        <v>1233</v>
      </c>
      <c r="B38" s="2881" t="s">
        <v>2651</v>
      </c>
      <c r="C38" s="2881"/>
      <c r="D38" s="2881"/>
      <c r="E38" s="2881"/>
      <c r="F38" s="365">
        <f t="shared" si="1"/>
        <v>0</v>
      </c>
      <c r="H38" s="372">
        <v>0</v>
      </c>
      <c r="I38" s="372">
        <v>0</v>
      </c>
      <c r="J38" s="372">
        <v>0</v>
      </c>
      <c r="K38" s="372">
        <v>0</v>
      </c>
      <c r="L38" s="372">
        <v>0</v>
      </c>
      <c r="M38" s="372">
        <v>0</v>
      </c>
      <c r="N38" s="372">
        <v>0</v>
      </c>
      <c r="O38" s="372">
        <v>0</v>
      </c>
      <c r="P38" s="372">
        <v>0</v>
      </c>
      <c r="Q38" s="372">
        <v>0</v>
      </c>
      <c r="R38" s="372">
        <v>0</v>
      </c>
      <c r="S38" s="372">
        <v>0</v>
      </c>
      <c r="U38" s="1520">
        <v>11978000</v>
      </c>
    </row>
    <row r="39" spans="1:21" x14ac:dyDescent="0.2">
      <c r="B39" s="2881" t="s">
        <v>2652</v>
      </c>
      <c r="C39" s="2881"/>
      <c r="D39" s="2881"/>
      <c r="E39" s="2881"/>
      <c r="F39" s="374">
        <f>SUM(F13:F38)</f>
        <v>0</v>
      </c>
      <c r="H39" s="374">
        <f t="shared" ref="H39:S39" si="2">SUM(H13:H38)</f>
        <v>0</v>
      </c>
      <c r="I39" s="374">
        <f t="shared" si="2"/>
        <v>0</v>
      </c>
      <c r="J39" s="374">
        <f t="shared" si="2"/>
        <v>0</v>
      </c>
      <c r="K39" s="374">
        <f t="shared" si="2"/>
        <v>0</v>
      </c>
      <c r="L39" s="374">
        <f t="shared" si="2"/>
        <v>0</v>
      </c>
      <c r="M39" s="374">
        <f t="shared" si="2"/>
        <v>0</v>
      </c>
      <c r="N39" s="374">
        <f t="shared" si="2"/>
        <v>0</v>
      </c>
      <c r="O39" s="374">
        <f t="shared" si="2"/>
        <v>0</v>
      </c>
      <c r="P39" s="374">
        <f t="shared" si="2"/>
        <v>0</v>
      </c>
      <c r="Q39" s="374">
        <f t="shared" si="2"/>
        <v>0</v>
      </c>
      <c r="R39" s="374">
        <f t="shared" si="2"/>
        <v>0</v>
      </c>
      <c r="S39" s="374">
        <f t="shared" si="2"/>
        <v>0</v>
      </c>
      <c r="T39" t="str">
        <f>IF(SUM(H39:S39)=F39,"OK ","Crossfoot error: sum of Col H thru s must equal total in Col F")</f>
        <v xml:space="preserve">OK </v>
      </c>
      <c r="U39" s="1520"/>
    </row>
    <row r="40" spans="1:21" x14ac:dyDescent="0.2">
      <c r="U40" s="1520"/>
    </row>
    <row r="41" spans="1:21" x14ac:dyDescent="0.2">
      <c r="B41" s="234" t="s">
        <v>2653</v>
      </c>
      <c r="U41" s="1520"/>
    </row>
    <row r="42" spans="1:21" x14ac:dyDescent="0.2">
      <c r="A42" s="191">
        <v>1300</v>
      </c>
      <c r="B42" s="2881" t="s">
        <v>2626</v>
      </c>
      <c r="C42" s="2881"/>
      <c r="D42" s="2881"/>
      <c r="E42" s="2881"/>
      <c r="F42" s="365">
        <f>SUM(H42:S42)</f>
        <v>0</v>
      </c>
      <c r="H42" s="372">
        <v>0</v>
      </c>
      <c r="I42" s="372">
        <v>0</v>
      </c>
      <c r="J42" s="372">
        <v>0</v>
      </c>
      <c r="K42" s="372">
        <v>0</v>
      </c>
      <c r="L42" s="372">
        <v>0</v>
      </c>
      <c r="M42" s="372">
        <v>0</v>
      </c>
      <c r="N42" s="372">
        <v>0</v>
      </c>
      <c r="O42" s="372">
        <v>0</v>
      </c>
      <c r="P42" s="372">
        <v>0</v>
      </c>
      <c r="Q42" s="372">
        <v>0</v>
      </c>
      <c r="R42" s="372">
        <v>0</v>
      </c>
      <c r="S42" s="372">
        <v>0</v>
      </c>
      <c r="U42" s="1520">
        <v>12210100</v>
      </c>
    </row>
    <row r="43" spans="1:21" x14ac:dyDescent="0.2">
      <c r="A43" s="191">
        <v>1310</v>
      </c>
      <c r="B43" s="2881" t="s">
        <v>2627</v>
      </c>
      <c r="C43" s="2881"/>
      <c r="D43" s="2881"/>
      <c r="E43" s="2881"/>
      <c r="F43" s="365">
        <f>SUM(H43:S43)</f>
        <v>0</v>
      </c>
      <c r="G43" s="191"/>
      <c r="H43" s="372">
        <v>0</v>
      </c>
      <c r="I43" s="372">
        <v>0</v>
      </c>
      <c r="J43" s="372">
        <v>0</v>
      </c>
      <c r="K43" s="372">
        <v>0</v>
      </c>
      <c r="L43" s="372">
        <v>0</v>
      </c>
      <c r="M43" s="372">
        <v>0</v>
      </c>
      <c r="N43" s="372">
        <v>0</v>
      </c>
      <c r="O43" s="372">
        <v>0</v>
      </c>
      <c r="P43" s="372">
        <v>0</v>
      </c>
      <c r="Q43" s="372">
        <v>0</v>
      </c>
      <c r="R43" s="372">
        <v>0</v>
      </c>
      <c r="S43" s="372">
        <v>0</v>
      </c>
      <c r="U43" s="1520">
        <v>12212200</v>
      </c>
    </row>
    <row r="44" spans="1:21" x14ac:dyDescent="0.2">
      <c r="A44" s="191"/>
      <c r="B44" s="191" t="s">
        <v>2629</v>
      </c>
      <c r="C44" s="191"/>
      <c r="H44" s="365"/>
      <c r="I44" s="365"/>
      <c r="J44" s="365"/>
      <c r="K44" s="365"/>
      <c r="L44" s="365"/>
      <c r="M44" s="365"/>
      <c r="N44" s="365"/>
      <c r="O44" s="365"/>
      <c r="P44" s="365"/>
      <c r="Q44" s="365"/>
      <c r="R44" s="365"/>
      <c r="S44" s="365"/>
      <c r="U44" s="1520"/>
    </row>
    <row r="45" spans="1:21" x14ac:dyDescent="0.2">
      <c r="A45" s="191">
        <v>1340</v>
      </c>
      <c r="B45" s="2951" t="s">
        <v>2630</v>
      </c>
      <c r="C45" s="2951"/>
      <c r="D45" s="2951"/>
      <c r="E45" s="2951"/>
      <c r="F45" s="365">
        <f t="shared" ref="F45:F57" si="3">SUM(H45:S45)</f>
        <v>0</v>
      </c>
      <c r="H45" s="372">
        <v>0</v>
      </c>
      <c r="I45" s="372">
        <v>0</v>
      </c>
      <c r="J45" s="372">
        <v>0</v>
      </c>
      <c r="K45" s="372">
        <v>0</v>
      </c>
      <c r="L45" s="372">
        <v>0</v>
      </c>
      <c r="M45" s="372">
        <v>0</v>
      </c>
      <c r="N45" s="372">
        <v>0</v>
      </c>
      <c r="O45" s="372">
        <v>0</v>
      </c>
      <c r="P45" s="372">
        <v>0</v>
      </c>
      <c r="Q45" s="372">
        <v>0</v>
      </c>
      <c r="R45" s="372">
        <v>0</v>
      </c>
      <c r="S45" s="372">
        <v>0</v>
      </c>
      <c r="U45" s="1520">
        <v>12320000</v>
      </c>
    </row>
    <row r="46" spans="1:21" hidden="1" x14ac:dyDescent="0.2">
      <c r="A46" s="191">
        <v>1345</v>
      </c>
      <c r="B46" s="2951" t="s">
        <v>2631</v>
      </c>
      <c r="C46" s="2951"/>
      <c r="D46" s="2951"/>
      <c r="E46" s="2951"/>
      <c r="F46" s="365">
        <f t="shared" si="3"/>
        <v>0</v>
      </c>
      <c r="G46" s="463"/>
      <c r="H46" s="372">
        <v>0</v>
      </c>
      <c r="I46" s="372">
        <v>0</v>
      </c>
      <c r="J46" s="372">
        <v>0</v>
      </c>
      <c r="K46" s="372">
        <v>0</v>
      </c>
      <c r="L46" s="372">
        <v>0</v>
      </c>
      <c r="M46" s="372">
        <v>0</v>
      </c>
      <c r="N46" s="372">
        <v>0</v>
      </c>
      <c r="O46" s="372">
        <v>0</v>
      </c>
      <c r="P46" s="372">
        <v>0</v>
      </c>
      <c r="Q46" s="372">
        <v>0</v>
      </c>
      <c r="R46" s="372">
        <v>0</v>
      </c>
      <c r="S46" s="372">
        <v>0</v>
      </c>
      <c r="U46" s="1522"/>
    </row>
    <row r="47" spans="1:21" x14ac:dyDescent="0.2">
      <c r="A47" s="191">
        <v>1350</v>
      </c>
      <c r="B47" s="2951" t="s">
        <v>2632</v>
      </c>
      <c r="C47" s="2951"/>
      <c r="D47" s="2951"/>
      <c r="E47" s="2951"/>
      <c r="F47" s="365">
        <f t="shared" si="3"/>
        <v>0</v>
      </c>
      <c r="H47" s="372">
        <v>0</v>
      </c>
      <c r="I47" s="372">
        <v>0</v>
      </c>
      <c r="J47" s="372">
        <v>0</v>
      </c>
      <c r="K47" s="372">
        <v>0</v>
      </c>
      <c r="L47" s="372">
        <v>0</v>
      </c>
      <c r="M47" s="372">
        <v>0</v>
      </c>
      <c r="N47" s="372">
        <v>0</v>
      </c>
      <c r="O47" s="372">
        <v>0</v>
      </c>
      <c r="P47" s="372">
        <v>0</v>
      </c>
      <c r="Q47" s="372">
        <v>0</v>
      </c>
      <c r="R47" s="372">
        <v>0</v>
      </c>
      <c r="S47" s="372">
        <v>0</v>
      </c>
      <c r="U47" s="1520">
        <v>12351000</v>
      </c>
    </row>
    <row r="48" spans="1:21" x14ac:dyDescent="0.2">
      <c r="A48" s="191">
        <v>1370</v>
      </c>
      <c r="B48" s="2951" t="s">
        <v>2633</v>
      </c>
      <c r="C48" s="2951"/>
      <c r="D48" s="2951"/>
      <c r="E48" s="2951"/>
      <c r="F48" s="365">
        <f t="shared" si="3"/>
        <v>0</v>
      </c>
      <c r="H48" s="372">
        <v>0</v>
      </c>
      <c r="I48" s="372">
        <v>0</v>
      </c>
      <c r="J48" s="372">
        <v>0</v>
      </c>
      <c r="K48" s="372">
        <v>0</v>
      </c>
      <c r="L48" s="372">
        <v>0</v>
      </c>
      <c r="M48" s="372">
        <v>0</v>
      </c>
      <c r="N48" s="372">
        <v>0</v>
      </c>
      <c r="O48" s="372">
        <v>0</v>
      </c>
      <c r="P48" s="372">
        <v>0</v>
      </c>
      <c r="Q48" s="372">
        <v>0</v>
      </c>
      <c r="R48" s="372">
        <v>0</v>
      </c>
      <c r="S48" s="372">
        <v>0</v>
      </c>
      <c r="U48" s="1520">
        <v>12336000</v>
      </c>
    </row>
    <row r="49" spans="1:22" x14ac:dyDescent="0.2">
      <c r="A49" s="191">
        <v>1400</v>
      </c>
      <c r="B49" s="2881" t="s">
        <v>2640</v>
      </c>
      <c r="C49" s="2881"/>
      <c r="D49" s="2881"/>
      <c r="E49" s="2881"/>
      <c r="F49" s="365">
        <f t="shared" si="3"/>
        <v>0</v>
      </c>
      <c r="H49" s="372">
        <v>0</v>
      </c>
      <c r="I49" s="372">
        <v>0</v>
      </c>
      <c r="J49" s="372">
        <v>0</v>
      </c>
      <c r="K49" s="372">
        <v>0</v>
      </c>
      <c r="L49" s="372">
        <v>0</v>
      </c>
      <c r="M49" s="372">
        <v>0</v>
      </c>
      <c r="N49" s="372">
        <v>0</v>
      </c>
      <c r="O49" s="372">
        <v>0</v>
      </c>
      <c r="P49" s="372">
        <v>0</v>
      </c>
      <c r="Q49" s="372">
        <v>0</v>
      </c>
      <c r="R49" s="372">
        <v>0</v>
      </c>
      <c r="S49" s="372">
        <v>0</v>
      </c>
      <c r="U49" s="1520">
        <v>12510000</v>
      </c>
    </row>
    <row r="50" spans="1:22" x14ac:dyDescent="0.2">
      <c r="A50" s="191">
        <v>1401</v>
      </c>
      <c r="B50" s="2881" t="s">
        <v>4623</v>
      </c>
      <c r="C50" s="2881"/>
      <c r="D50" s="2881"/>
      <c r="E50" s="2881"/>
      <c r="F50" s="365">
        <f t="shared" si="3"/>
        <v>0</v>
      </c>
      <c r="H50" s="372">
        <v>0</v>
      </c>
      <c r="I50" s="372">
        <v>0</v>
      </c>
      <c r="J50" s="372">
        <v>0</v>
      </c>
      <c r="K50" s="372">
        <v>0</v>
      </c>
      <c r="L50" s="372">
        <v>0</v>
      </c>
      <c r="M50" s="372">
        <v>0</v>
      </c>
      <c r="N50" s="372">
        <v>0</v>
      </c>
      <c r="O50" s="372">
        <v>0</v>
      </c>
      <c r="P50" s="372">
        <v>0</v>
      </c>
      <c r="Q50" s="372">
        <v>0</v>
      </c>
      <c r="R50" s="372"/>
      <c r="S50" s="372"/>
      <c r="U50" s="1579">
        <v>12530000</v>
      </c>
    </row>
    <row r="51" spans="1:22" x14ac:dyDescent="0.2">
      <c r="A51" s="2366">
        <v>1404</v>
      </c>
      <c r="B51" s="2946" t="s">
        <v>4625</v>
      </c>
      <c r="C51" s="2946"/>
      <c r="D51" s="2946"/>
      <c r="E51" s="2946"/>
      <c r="F51" s="365">
        <f t="shared" si="3"/>
        <v>0</v>
      </c>
      <c r="H51" s="372">
        <v>0</v>
      </c>
      <c r="I51" s="372">
        <v>0</v>
      </c>
      <c r="J51" s="372">
        <v>0</v>
      </c>
      <c r="K51" s="372">
        <v>0</v>
      </c>
      <c r="L51" s="372">
        <v>0</v>
      </c>
      <c r="M51" s="372">
        <v>0</v>
      </c>
      <c r="N51" s="372">
        <v>0</v>
      </c>
      <c r="O51" s="372">
        <v>0</v>
      </c>
      <c r="P51" s="372"/>
      <c r="Q51" s="372"/>
      <c r="R51" s="372"/>
      <c r="S51" s="372"/>
      <c r="U51" s="1579"/>
    </row>
    <row r="52" spans="1:22" x14ac:dyDescent="0.2">
      <c r="A52" s="191">
        <v>1415</v>
      </c>
      <c r="B52" s="2881" t="s">
        <v>2655</v>
      </c>
      <c r="C52" s="2881"/>
      <c r="D52" s="2881"/>
      <c r="E52" s="2881"/>
      <c r="F52" s="365">
        <f t="shared" si="3"/>
        <v>0</v>
      </c>
      <c r="G52" s="643"/>
      <c r="H52" s="372">
        <v>0</v>
      </c>
      <c r="I52" s="372">
        <v>0</v>
      </c>
      <c r="J52" s="372">
        <v>0</v>
      </c>
      <c r="K52" s="372">
        <v>0</v>
      </c>
      <c r="L52" s="372">
        <v>0</v>
      </c>
      <c r="M52" s="372">
        <v>0</v>
      </c>
      <c r="N52" s="372">
        <v>0</v>
      </c>
      <c r="O52" s="372">
        <v>0</v>
      </c>
      <c r="P52" s="372">
        <v>0</v>
      </c>
      <c r="Q52" s="372">
        <v>0</v>
      </c>
      <c r="R52" s="372">
        <v>0</v>
      </c>
      <c r="S52" s="372">
        <v>0</v>
      </c>
      <c r="U52" s="1520">
        <v>12950000</v>
      </c>
    </row>
    <row r="53" spans="1:22" x14ac:dyDescent="0.2">
      <c r="A53" s="191">
        <v>1420</v>
      </c>
      <c r="B53" s="2881" t="s">
        <v>2639</v>
      </c>
      <c r="C53" s="2881"/>
      <c r="D53" s="2881"/>
      <c r="E53" s="2881"/>
      <c r="F53" s="365">
        <f t="shared" si="3"/>
        <v>0</v>
      </c>
      <c r="H53" s="372">
        <v>0</v>
      </c>
      <c r="I53" s="372">
        <v>0</v>
      </c>
      <c r="J53" s="372">
        <v>0</v>
      </c>
      <c r="K53" s="372">
        <v>0</v>
      </c>
      <c r="L53" s="372">
        <v>0</v>
      </c>
      <c r="M53" s="372">
        <v>0</v>
      </c>
      <c r="N53" s="372">
        <v>0</v>
      </c>
      <c r="O53" s="372">
        <v>0</v>
      </c>
      <c r="P53" s="372">
        <v>0</v>
      </c>
      <c r="Q53" s="372">
        <v>0</v>
      </c>
      <c r="R53" s="372">
        <v>0</v>
      </c>
      <c r="S53" s="372">
        <v>0</v>
      </c>
      <c r="U53" s="1520">
        <v>12910000</v>
      </c>
    </row>
    <row r="54" spans="1:22" x14ac:dyDescent="0.2">
      <c r="A54" s="191">
        <v>1270</v>
      </c>
      <c r="B54" s="2881" t="s">
        <v>2644</v>
      </c>
      <c r="C54" s="2881"/>
      <c r="D54" s="2881"/>
      <c r="E54" s="2881"/>
      <c r="F54" s="365">
        <f t="shared" si="3"/>
        <v>0</v>
      </c>
      <c r="H54" s="372">
        <v>0</v>
      </c>
      <c r="I54" s="372">
        <v>0</v>
      </c>
      <c r="J54" s="372">
        <v>0</v>
      </c>
      <c r="K54" s="372">
        <v>0</v>
      </c>
      <c r="L54" s="372">
        <v>0</v>
      </c>
      <c r="M54" s="372">
        <v>0</v>
      </c>
      <c r="N54" s="372">
        <v>0</v>
      </c>
      <c r="O54" s="372">
        <v>0</v>
      </c>
      <c r="P54" s="372">
        <v>0</v>
      </c>
      <c r="Q54" s="372">
        <v>0</v>
      </c>
      <c r="R54" s="372">
        <v>0</v>
      </c>
      <c r="S54" s="372">
        <v>0</v>
      </c>
      <c r="U54" s="1520">
        <v>12111000</v>
      </c>
    </row>
    <row r="55" spans="1:22" x14ac:dyDescent="0.2">
      <c r="A55" s="191">
        <v>1280</v>
      </c>
      <c r="B55" s="2881" t="s">
        <v>2656</v>
      </c>
      <c r="C55" s="2881"/>
      <c r="D55" s="2881"/>
      <c r="E55" s="2881"/>
      <c r="F55" s="365">
        <f t="shared" si="3"/>
        <v>0</v>
      </c>
      <c r="G55" s="2273"/>
      <c r="H55" s="372">
        <v>0</v>
      </c>
      <c r="I55" s="372">
        <v>0</v>
      </c>
      <c r="J55" s="372">
        <v>0</v>
      </c>
      <c r="K55" s="372">
        <v>0</v>
      </c>
      <c r="L55" s="372">
        <v>0</v>
      </c>
      <c r="M55" s="372">
        <v>0</v>
      </c>
      <c r="N55" s="372">
        <v>0</v>
      </c>
      <c r="O55" s="372">
        <v>0</v>
      </c>
      <c r="P55" s="372">
        <v>0</v>
      </c>
      <c r="Q55" s="372">
        <v>0</v>
      </c>
      <c r="R55" s="372">
        <v>0</v>
      </c>
      <c r="S55" s="372">
        <v>0</v>
      </c>
      <c r="U55" s="1520">
        <v>12122000</v>
      </c>
    </row>
    <row r="56" spans="1:22" x14ac:dyDescent="0.2">
      <c r="A56" s="191">
        <v>1410</v>
      </c>
      <c r="B56" s="2881" t="s">
        <v>2648</v>
      </c>
      <c r="C56" s="2881"/>
      <c r="D56" s="2881"/>
      <c r="E56" s="2881"/>
      <c r="F56" s="365">
        <f t="shared" si="3"/>
        <v>0</v>
      </c>
      <c r="H56" s="372">
        <v>0</v>
      </c>
      <c r="I56" s="372">
        <v>0</v>
      </c>
      <c r="J56" s="372">
        <v>0</v>
      </c>
      <c r="K56" s="372">
        <v>0</v>
      </c>
      <c r="L56" s="372">
        <v>0</v>
      </c>
      <c r="M56" s="372">
        <v>0</v>
      </c>
      <c r="N56" s="372">
        <v>0</v>
      </c>
      <c r="O56" s="372">
        <v>0</v>
      </c>
      <c r="P56" s="372">
        <v>0</v>
      </c>
      <c r="Q56" s="372">
        <v>0</v>
      </c>
      <c r="R56" s="372">
        <v>0</v>
      </c>
      <c r="S56" s="372">
        <v>0</v>
      </c>
      <c r="U56" s="1520">
        <v>12212500</v>
      </c>
    </row>
    <row r="57" spans="1:22" hidden="1" x14ac:dyDescent="0.2">
      <c r="A57" s="191"/>
      <c r="B57" s="2881" t="s">
        <v>2657</v>
      </c>
      <c r="C57" s="2881"/>
      <c r="D57" s="2881"/>
      <c r="E57" s="2881"/>
      <c r="F57" s="365">
        <f t="shared" si="3"/>
        <v>0</v>
      </c>
      <c r="G57" s="463"/>
      <c r="H57" s="372">
        <v>0</v>
      </c>
      <c r="I57" s="372">
        <v>0</v>
      </c>
      <c r="J57" s="372">
        <v>0</v>
      </c>
      <c r="K57" s="372">
        <v>0</v>
      </c>
      <c r="L57" s="372">
        <v>0</v>
      </c>
      <c r="M57" s="372">
        <v>0</v>
      </c>
      <c r="N57" s="372">
        <v>0</v>
      </c>
      <c r="O57" s="372">
        <v>0</v>
      </c>
      <c r="P57" s="372">
        <v>0</v>
      </c>
      <c r="Q57" s="372">
        <v>0</v>
      </c>
      <c r="R57" s="372">
        <v>0</v>
      </c>
      <c r="S57" s="372">
        <v>0</v>
      </c>
      <c r="U57" s="1522"/>
    </row>
    <row r="58" spans="1:22" x14ac:dyDescent="0.2">
      <c r="A58" s="666">
        <v>1395</v>
      </c>
      <c r="B58" s="2881" t="s">
        <v>2658</v>
      </c>
      <c r="C58" s="2881"/>
      <c r="D58" s="2881"/>
      <c r="E58" s="2881"/>
      <c r="F58" s="587">
        <f>'525'!H35</f>
        <v>0</v>
      </c>
      <c r="H58" s="1207">
        <v>0</v>
      </c>
      <c r="I58" s="1207">
        <v>0</v>
      </c>
      <c r="J58" s="1207">
        <v>0</v>
      </c>
      <c r="K58" s="1207">
        <v>0</v>
      </c>
      <c r="L58" s="1207">
        <v>0</v>
      </c>
      <c r="M58" s="1207">
        <v>0</v>
      </c>
      <c r="N58" s="1207">
        <v>0</v>
      </c>
      <c r="O58" s="1207">
        <v>0</v>
      </c>
      <c r="P58" s="1207">
        <v>0</v>
      </c>
      <c r="Q58" s="1207">
        <v>0</v>
      </c>
      <c r="R58" s="1207">
        <v>0</v>
      </c>
      <c r="S58" s="1207">
        <v>0</v>
      </c>
      <c r="T58" t="str">
        <f>IF(SUM(H58:S58)=F58,"OK ","Problem: sum of amts keyed for each agency in col H through S must tie to total on combined worksheet")</f>
        <v xml:space="preserve">OK </v>
      </c>
      <c r="U58" s="1521">
        <v>12420000</v>
      </c>
    </row>
    <row r="59" spans="1:22" x14ac:dyDescent="0.2">
      <c r="A59" s="666">
        <v>1390</v>
      </c>
      <c r="B59" s="2881" t="s">
        <v>2659</v>
      </c>
      <c r="C59" s="2881"/>
      <c r="D59" s="2881"/>
      <c r="E59" s="2881"/>
      <c r="F59" s="587">
        <f>'515'!H32</f>
        <v>0</v>
      </c>
      <c r="H59" s="1207">
        <v>0</v>
      </c>
      <c r="I59" s="1207">
        <v>0</v>
      </c>
      <c r="J59" s="1207">
        <v>0</v>
      </c>
      <c r="K59" s="1207">
        <v>0</v>
      </c>
      <c r="L59" s="1207">
        <v>0</v>
      </c>
      <c r="M59" s="1207">
        <v>0</v>
      </c>
      <c r="N59" s="1207">
        <v>0</v>
      </c>
      <c r="O59" s="1207">
        <v>0</v>
      </c>
      <c r="P59" s="1207">
        <v>0</v>
      </c>
      <c r="Q59" s="1207">
        <v>0</v>
      </c>
      <c r="R59" s="1207">
        <v>0</v>
      </c>
      <c r="S59" s="1207">
        <v>0</v>
      </c>
      <c r="T59" t="str">
        <f>IF(SUM(H59:S59)=F59,"OK ","Problem: sum of amts keyed for each agency in col H throughS must tie to total on combined worksheet")</f>
        <v xml:space="preserve">OK </v>
      </c>
      <c r="U59" s="1521">
        <v>12410000</v>
      </c>
    </row>
    <row r="60" spans="1:22" x14ac:dyDescent="0.2">
      <c r="A60" s="191">
        <v>1432</v>
      </c>
      <c r="B60" s="2881" t="s">
        <v>2649</v>
      </c>
      <c r="C60" s="2881"/>
      <c r="D60" s="2881"/>
      <c r="E60" s="2881"/>
      <c r="F60" s="365">
        <f>SUM(H60:S60)</f>
        <v>0</v>
      </c>
      <c r="H60" s="372">
        <v>0</v>
      </c>
      <c r="I60" s="372">
        <v>0</v>
      </c>
      <c r="J60" s="372">
        <v>0</v>
      </c>
      <c r="K60" s="372">
        <v>0</v>
      </c>
      <c r="L60" s="372">
        <v>0</v>
      </c>
      <c r="M60" s="372">
        <v>0</v>
      </c>
      <c r="N60" s="372">
        <v>0</v>
      </c>
      <c r="O60" s="372">
        <v>0</v>
      </c>
      <c r="P60" s="372">
        <v>0</v>
      </c>
      <c r="Q60" s="372">
        <v>0</v>
      </c>
      <c r="R60" s="372">
        <v>0</v>
      </c>
      <c r="S60" s="372">
        <v>0</v>
      </c>
      <c r="U60" s="1520">
        <v>12970000</v>
      </c>
    </row>
    <row r="61" spans="1:22" x14ac:dyDescent="0.2">
      <c r="A61" s="1240">
        <v>1434</v>
      </c>
      <c r="B61" s="2881" t="s">
        <v>2650</v>
      </c>
      <c r="C61" s="2881"/>
      <c r="D61" s="2881"/>
      <c r="E61" s="2881"/>
      <c r="F61" s="365">
        <f>SUM(H61:S61)</f>
        <v>0</v>
      </c>
      <c r="H61" s="372">
        <v>0</v>
      </c>
      <c r="I61" s="372">
        <v>0</v>
      </c>
      <c r="J61" s="372">
        <v>0</v>
      </c>
      <c r="K61" s="372">
        <v>0</v>
      </c>
      <c r="L61" s="372">
        <v>0</v>
      </c>
      <c r="M61" s="372">
        <v>0</v>
      </c>
      <c r="N61" s="372">
        <v>0</v>
      </c>
      <c r="O61" s="372">
        <v>0</v>
      </c>
      <c r="P61" s="372">
        <v>0</v>
      </c>
      <c r="Q61" s="372">
        <v>0</v>
      </c>
      <c r="R61" s="372">
        <v>0</v>
      </c>
      <c r="S61" s="372">
        <v>0</v>
      </c>
      <c r="U61" s="1520">
        <v>12491000</v>
      </c>
    </row>
    <row r="62" spans="1:22" x14ac:dyDescent="0.2">
      <c r="A62" s="1240">
        <v>1433</v>
      </c>
      <c r="B62" s="2881" t="s">
        <v>2651</v>
      </c>
      <c r="C62" s="2881"/>
      <c r="D62" s="2881"/>
      <c r="E62" s="2881"/>
      <c r="F62" s="365">
        <f>SUM(H62:S62)</f>
        <v>0</v>
      </c>
      <c r="H62" s="372">
        <v>0</v>
      </c>
      <c r="I62" s="372">
        <v>0</v>
      </c>
      <c r="J62" s="372">
        <v>0</v>
      </c>
      <c r="K62" s="372">
        <v>0</v>
      </c>
      <c r="L62" s="372">
        <v>0</v>
      </c>
      <c r="M62" s="372">
        <v>0</v>
      </c>
      <c r="N62" s="372">
        <v>0</v>
      </c>
      <c r="O62" s="372">
        <v>0</v>
      </c>
      <c r="P62" s="372">
        <v>0</v>
      </c>
      <c r="Q62" s="372">
        <v>0</v>
      </c>
      <c r="R62" s="372">
        <v>0</v>
      </c>
      <c r="S62" s="372">
        <v>0</v>
      </c>
      <c r="U62" s="1520">
        <v>12978000</v>
      </c>
    </row>
    <row r="63" spans="1:22" x14ac:dyDescent="0.2">
      <c r="A63" s="191"/>
      <c r="B63" s="2569" t="s">
        <v>2660</v>
      </c>
      <c r="C63" s="2569"/>
      <c r="D63" s="2569"/>
      <c r="E63" s="2569"/>
      <c r="H63" s="372"/>
      <c r="I63" s="372"/>
      <c r="J63" s="372"/>
      <c r="K63" s="372"/>
      <c r="L63" s="372"/>
      <c r="M63" s="372"/>
      <c r="N63" s="372"/>
      <c r="O63" s="372"/>
      <c r="P63" s="372">
        <v>0</v>
      </c>
      <c r="Q63" s="372">
        <v>0</v>
      </c>
      <c r="R63" s="372">
        <v>0</v>
      </c>
      <c r="S63" s="372">
        <v>0</v>
      </c>
      <c r="U63" s="1520"/>
      <c r="V63" s="1021" t="s">
        <v>4626</v>
      </c>
    </row>
    <row r="64" spans="1:22" x14ac:dyDescent="0.2">
      <c r="A64" s="666">
        <v>1480</v>
      </c>
      <c r="B64" s="2951" t="s">
        <v>2661</v>
      </c>
      <c r="C64" s="2951"/>
      <c r="D64" s="2951"/>
      <c r="E64" s="2951"/>
      <c r="F64" s="587">
        <f>'201'!T20</f>
        <v>0</v>
      </c>
      <c r="G64" s="159" t="str">
        <f>IF(F64='201'!T20," ","Problem:Must agree to worksheet 201 - complete the 201 worksheet first")</f>
        <v xml:space="preserve"> </v>
      </c>
      <c r="H64" s="629">
        <v>0</v>
      </c>
      <c r="I64" s="629">
        <v>0</v>
      </c>
      <c r="J64" s="629">
        <v>0</v>
      </c>
      <c r="K64" s="629">
        <v>0</v>
      </c>
      <c r="L64" s="629">
        <v>0</v>
      </c>
      <c r="M64" s="629">
        <v>0</v>
      </c>
      <c r="N64" s="629">
        <v>0</v>
      </c>
      <c r="O64" s="629">
        <v>0</v>
      </c>
      <c r="P64" s="629">
        <v>0</v>
      </c>
      <c r="Q64" s="629">
        <v>0</v>
      </c>
      <c r="R64" s="629">
        <v>0</v>
      </c>
      <c r="S64" s="629">
        <v>0</v>
      </c>
      <c r="T64" t="str">
        <f t="shared" ref="T64:T69" si="4">IF(SUM(H64:S64)=F64,"OK ","Problem: sum of amts keyed for each agency in col H through S must tie to total on combined worksheet")</f>
        <v xml:space="preserve">OK </v>
      </c>
      <c r="U64" s="1520"/>
    </row>
    <row r="65" spans="1:21" x14ac:dyDescent="0.2">
      <c r="A65" s="666">
        <v>1490</v>
      </c>
      <c r="B65" s="2951" t="s">
        <v>2662</v>
      </c>
      <c r="C65" s="2951"/>
      <c r="D65" s="2951"/>
      <c r="E65" s="2951"/>
      <c r="F65" s="587">
        <f>'201'!T21</f>
        <v>0</v>
      </c>
      <c r="G65" s="159" t="str">
        <f>IF(F65='201'!T21," ","Problem:Must agree to worksheet 201")</f>
        <v xml:space="preserve"> </v>
      </c>
      <c r="H65" s="629">
        <v>0</v>
      </c>
      <c r="I65" s="629">
        <v>0</v>
      </c>
      <c r="J65" s="629">
        <v>0</v>
      </c>
      <c r="K65" s="629">
        <v>0</v>
      </c>
      <c r="L65" s="629">
        <v>0</v>
      </c>
      <c r="M65" s="629">
        <v>0</v>
      </c>
      <c r="N65" s="629">
        <v>0</v>
      </c>
      <c r="O65" s="629">
        <v>0</v>
      </c>
      <c r="P65" s="629">
        <v>0</v>
      </c>
      <c r="Q65" s="629">
        <v>0</v>
      </c>
      <c r="R65" s="629">
        <v>0</v>
      </c>
      <c r="S65" s="629">
        <v>0</v>
      </c>
      <c r="T65" t="str">
        <f t="shared" si="4"/>
        <v xml:space="preserve">OK </v>
      </c>
      <c r="U65" s="1520"/>
    </row>
    <row r="66" spans="1:21" x14ac:dyDescent="0.2">
      <c r="A66" s="666">
        <v>1500</v>
      </c>
      <c r="B66" s="2951" t="s">
        <v>2663</v>
      </c>
      <c r="C66" s="2951"/>
      <c r="D66" s="2951"/>
      <c r="E66" s="2951"/>
      <c r="F66" s="587">
        <f>'201'!T22</f>
        <v>0</v>
      </c>
      <c r="G66" s="159" t="str">
        <f>IF(F66='201'!T22," ","Problem:Must agree to worksheet 201")</f>
        <v xml:space="preserve"> </v>
      </c>
      <c r="H66" s="629">
        <v>0</v>
      </c>
      <c r="I66" s="629">
        <v>0</v>
      </c>
      <c r="J66" s="629">
        <v>0</v>
      </c>
      <c r="K66" s="629">
        <v>0</v>
      </c>
      <c r="L66" s="629">
        <v>0</v>
      </c>
      <c r="M66" s="629">
        <v>0</v>
      </c>
      <c r="N66" s="629">
        <v>0</v>
      </c>
      <c r="O66" s="629">
        <v>0</v>
      </c>
      <c r="P66" s="629">
        <v>0</v>
      </c>
      <c r="Q66" s="629">
        <v>0</v>
      </c>
      <c r="R66" s="629">
        <v>0</v>
      </c>
      <c r="S66" s="629">
        <v>0</v>
      </c>
      <c r="T66" t="str">
        <f t="shared" si="4"/>
        <v xml:space="preserve">OK </v>
      </c>
      <c r="U66" s="1520"/>
    </row>
    <row r="67" spans="1:21" x14ac:dyDescent="0.2">
      <c r="A67" s="666">
        <v>1503</v>
      </c>
      <c r="B67" s="2951" t="s">
        <v>2664</v>
      </c>
      <c r="C67" s="2951"/>
      <c r="D67" s="2951"/>
      <c r="E67" s="2951"/>
      <c r="F67" s="587">
        <f>'201'!T23</f>
        <v>0</v>
      </c>
      <c r="G67" s="159" t="str">
        <f>IF(F67='201'!T23," ","Problem:Must agree to worksheet 201")</f>
        <v xml:space="preserve"> </v>
      </c>
      <c r="H67" s="629">
        <v>0</v>
      </c>
      <c r="I67" s="629">
        <v>0</v>
      </c>
      <c r="J67" s="629">
        <v>0</v>
      </c>
      <c r="K67" s="629">
        <v>0</v>
      </c>
      <c r="L67" s="629">
        <v>0</v>
      </c>
      <c r="M67" s="629">
        <v>0</v>
      </c>
      <c r="N67" s="629">
        <v>0</v>
      </c>
      <c r="O67" s="629">
        <v>0</v>
      </c>
      <c r="P67" s="629">
        <v>0</v>
      </c>
      <c r="Q67" s="629">
        <v>0</v>
      </c>
      <c r="R67" s="629">
        <v>0</v>
      </c>
      <c r="S67" s="629">
        <v>0</v>
      </c>
      <c r="T67" t="str">
        <f t="shared" si="4"/>
        <v xml:space="preserve">OK </v>
      </c>
      <c r="U67" s="1520"/>
    </row>
    <row r="68" spans="1:21" x14ac:dyDescent="0.2">
      <c r="A68" s="666">
        <v>1505</v>
      </c>
      <c r="B68" s="2951" t="s">
        <v>2665</v>
      </c>
      <c r="C68" s="2951"/>
      <c r="D68" s="2951"/>
      <c r="E68" s="2951"/>
      <c r="F68" s="587">
        <f>'201'!T24</f>
        <v>0</v>
      </c>
      <c r="G68" s="159" t="str">
        <f>IF(F68='201'!T24," ","Problem:Must agree to worksheet 201")</f>
        <v xml:space="preserve"> </v>
      </c>
      <c r="H68" s="629">
        <v>0</v>
      </c>
      <c r="I68" s="629">
        <v>0</v>
      </c>
      <c r="J68" s="629">
        <v>0</v>
      </c>
      <c r="K68" s="629">
        <v>0</v>
      </c>
      <c r="L68" s="629">
        <v>0</v>
      </c>
      <c r="M68" s="629">
        <v>0</v>
      </c>
      <c r="N68" s="629">
        <v>0</v>
      </c>
      <c r="O68" s="629">
        <v>0</v>
      </c>
      <c r="P68" s="629">
        <v>0</v>
      </c>
      <c r="Q68" s="629">
        <v>0</v>
      </c>
      <c r="R68" s="629">
        <v>0</v>
      </c>
      <c r="S68" s="629">
        <v>0</v>
      </c>
      <c r="T68" t="str">
        <f t="shared" si="4"/>
        <v xml:space="preserve">OK </v>
      </c>
      <c r="U68" s="1520"/>
    </row>
    <row r="69" spans="1:21" x14ac:dyDescent="0.2">
      <c r="A69" s="666">
        <v>1506</v>
      </c>
      <c r="B69" s="2951" t="s">
        <v>2666</v>
      </c>
      <c r="C69" s="2951"/>
      <c r="D69" s="2951"/>
      <c r="E69" s="2951"/>
      <c r="F69" s="587">
        <f>'201'!T25</f>
        <v>0</v>
      </c>
      <c r="G69" s="159" t="str">
        <f>IF(F69='201'!T25," ","Problem:Must agree to worksheet 201")</f>
        <v xml:space="preserve"> </v>
      </c>
      <c r="H69" s="629">
        <v>0</v>
      </c>
      <c r="I69" s="629">
        <v>0</v>
      </c>
      <c r="J69" s="629">
        <v>0</v>
      </c>
      <c r="K69" s="629">
        <v>0</v>
      </c>
      <c r="L69" s="629">
        <v>0</v>
      </c>
      <c r="M69" s="629">
        <v>0</v>
      </c>
      <c r="N69" s="629">
        <v>0</v>
      </c>
      <c r="O69" s="629">
        <v>0</v>
      </c>
      <c r="P69" s="629">
        <v>0</v>
      </c>
      <c r="Q69" s="629">
        <v>0</v>
      </c>
      <c r="R69" s="629">
        <v>0</v>
      </c>
      <c r="S69" s="629">
        <v>0</v>
      </c>
      <c r="T69" t="str">
        <f t="shared" si="4"/>
        <v xml:space="preserve">OK </v>
      </c>
      <c r="U69" s="1520"/>
    </row>
    <row r="70" spans="1:21" x14ac:dyDescent="0.2">
      <c r="A70" s="191"/>
      <c r="B70" s="2881" t="s">
        <v>2667</v>
      </c>
      <c r="C70" s="2881"/>
      <c r="D70" s="2881"/>
      <c r="E70" s="2881"/>
      <c r="F70" s="374">
        <f>SUM(F64:F69)</f>
        <v>0</v>
      </c>
      <c r="G70" s="374"/>
      <c r="H70" s="374">
        <f t="shared" ref="H70:M70" si="5">SUM(H64:H69)</f>
        <v>0</v>
      </c>
      <c r="I70" s="374">
        <f t="shared" si="5"/>
        <v>0</v>
      </c>
      <c r="J70" s="374">
        <f t="shared" si="5"/>
        <v>0</v>
      </c>
      <c r="K70" s="374">
        <f t="shared" si="5"/>
        <v>0</v>
      </c>
      <c r="L70" s="374">
        <f t="shared" si="5"/>
        <v>0</v>
      </c>
      <c r="M70" s="374">
        <f t="shared" si="5"/>
        <v>0</v>
      </c>
      <c r="N70" s="374">
        <f t="shared" ref="N70:S70" si="6">SUM(N64:N69)</f>
        <v>0</v>
      </c>
      <c r="O70" s="374">
        <f t="shared" si="6"/>
        <v>0</v>
      </c>
      <c r="P70" s="374">
        <f t="shared" si="6"/>
        <v>0</v>
      </c>
      <c r="Q70" s="374">
        <f t="shared" si="6"/>
        <v>0</v>
      </c>
      <c r="R70" s="374">
        <f t="shared" si="6"/>
        <v>0</v>
      </c>
      <c r="S70" s="374">
        <f t="shared" si="6"/>
        <v>0</v>
      </c>
      <c r="T70" t="str">
        <f>IF(SUM(H70:S70)=F70,"OK ","Crossfoot error: sum of Col H thru S must equal total in Col F")</f>
        <v xml:space="preserve">OK </v>
      </c>
      <c r="U70" s="1520"/>
    </row>
    <row r="71" spans="1:21" x14ac:dyDescent="0.2">
      <c r="A71" s="191"/>
      <c r="B71" s="2569" t="s">
        <v>611</v>
      </c>
      <c r="C71" s="2569"/>
      <c r="D71" s="2569"/>
      <c r="E71" s="2569"/>
      <c r="U71" s="1520"/>
    </row>
    <row r="72" spans="1:21" x14ac:dyDescent="0.2">
      <c r="A72" s="666">
        <v>1520</v>
      </c>
      <c r="B72" s="2951" t="s">
        <v>2668</v>
      </c>
      <c r="C72" s="2951"/>
      <c r="D72" s="2951"/>
      <c r="E72" s="2951"/>
      <c r="F72" s="587">
        <f>'201'!T27</f>
        <v>0</v>
      </c>
      <c r="G72" s="159" t="str">
        <f>IF(F72='201'!T27," ","Problem:Must agree to worksheet 201")</f>
        <v xml:space="preserve"> </v>
      </c>
      <c r="H72" s="629">
        <v>0</v>
      </c>
      <c r="I72" s="629">
        <v>0</v>
      </c>
      <c r="J72" s="629">
        <v>0</v>
      </c>
      <c r="K72" s="629">
        <v>0</v>
      </c>
      <c r="L72" s="629">
        <v>0</v>
      </c>
      <c r="M72" s="629">
        <v>0</v>
      </c>
      <c r="N72" s="629">
        <v>0</v>
      </c>
      <c r="O72" s="629">
        <v>0</v>
      </c>
      <c r="P72" s="629">
        <v>0</v>
      </c>
      <c r="Q72" s="629">
        <v>0</v>
      </c>
      <c r="R72" s="629">
        <v>0</v>
      </c>
      <c r="S72" s="629">
        <v>0</v>
      </c>
      <c r="T72" t="str">
        <f>IF(SUM(H72:S72)=F72,"OK ","Problem: sum of amts keyed for each agency in col H through S must tie to total on combined worksheet")</f>
        <v xml:space="preserve">OK </v>
      </c>
      <c r="U72" s="1520"/>
    </row>
    <row r="73" spans="1:21" x14ac:dyDescent="0.2">
      <c r="A73" s="666">
        <v>1530</v>
      </c>
      <c r="B73" s="2951" t="s">
        <v>2669</v>
      </c>
      <c r="C73" s="2951"/>
      <c r="D73" s="2951"/>
      <c r="E73" s="2951"/>
      <c r="F73" s="587">
        <f>'201'!T28</f>
        <v>0</v>
      </c>
      <c r="G73" s="159" t="str">
        <f>IF(F73='201'!T28," ","Problem:Must agree to worksheet 201")</f>
        <v xml:space="preserve"> </v>
      </c>
      <c r="H73" s="629">
        <v>0</v>
      </c>
      <c r="I73" s="629">
        <v>0</v>
      </c>
      <c r="J73" s="629">
        <v>0</v>
      </c>
      <c r="K73" s="629">
        <v>0</v>
      </c>
      <c r="L73" s="629">
        <v>0</v>
      </c>
      <c r="M73" s="629">
        <v>0</v>
      </c>
      <c r="N73" s="629">
        <v>0</v>
      </c>
      <c r="O73" s="629">
        <v>0</v>
      </c>
      <c r="P73" s="629">
        <v>0</v>
      </c>
      <c r="Q73" s="629">
        <v>0</v>
      </c>
      <c r="R73" s="629">
        <v>0</v>
      </c>
      <c r="S73" s="629">
        <v>0</v>
      </c>
      <c r="T73" t="str">
        <f t="shared" ref="T73:T85" si="7">IF(SUM(H73:S73)=F73,"OK ","Problem: sum of amts keyed for each agency in col H through S must tie to total on combined worksheet")</f>
        <v xml:space="preserve">OK </v>
      </c>
      <c r="U73" s="1520"/>
    </row>
    <row r="74" spans="1:21" x14ac:dyDescent="0.2">
      <c r="A74" s="666">
        <v>1540</v>
      </c>
      <c r="B74" s="2951" t="s">
        <v>2670</v>
      </c>
      <c r="C74" s="2951"/>
      <c r="D74" s="2951"/>
      <c r="E74" s="2951"/>
      <c r="F74" s="587">
        <f>'201'!T29</f>
        <v>0</v>
      </c>
      <c r="G74" s="159" t="str">
        <f>IF(F74='201'!T29," ","Problem:Must agree to worksheet 201")</f>
        <v xml:space="preserve"> </v>
      </c>
      <c r="H74" s="629">
        <v>0</v>
      </c>
      <c r="I74" s="629">
        <v>0</v>
      </c>
      <c r="J74" s="629">
        <v>0</v>
      </c>
      <c r="K74" s="629">
        <v>0</v>
      </c>
      <c r="L74" s="629">
        <v>0</v>
      </c>
      <c r="M74" s="629">
        <v>0</v>
      </c>
      <c r="N74" s="629">
        <v>0</v>
      </c>
      <c r="O74" s="629">
        <v>0</v>
      </c>
      <c r="P74" s="629">
        <v>0</v>
      </c>
      <c r="Q74" s="629">
        <v>0</v>
      </c>
      <c r="R74" s="629">
        <v>0</v>
      </c>
      <c r="S74" s="629">
        <v>0</v>
      </c>
      <c r="T74" t="str">
        <f t="shared" si="7"/>
        <v xml:space="preserve">OK </v>
      </c>
      <c r="U74" s="1520"/>
    </row>
    <row r="75" spans="1:21" x14ac:dyDescent="0.2">
      <c r="A75" s="666">
        <v>1550</v>
      </c>
      <c r="B75" s="2951" t="s">
        <v>2671</v>
      </c>
      <c r="C75" s="2951"/>
      <c r="D75" s="2951"/>
      <c r="E75" s="2951"/>
      <c r="F75" s="587">
        <f>'201'!T30</f>
        <v>0</v>
      </c>
      <c r="G75" s="159" t="str">
        <f>IF(F75='201'!T30," ","Problem:Must agree to worksheet 201")</f>
        <v xml:space="preserve"> </v>
      </c>
      <c r="H75" s="629">
        <v>0</v>
      </c>
      <c r="I75" s="629">
        <v>0</v>
      </c>
      <c r="J75" s="629">
        <v>0</v>
      </c>
      <c r="K75" s="629">
        <v>0</v>
      </c>
      <c r="L75" s="629">
        <v>0</v>
      </c>
      <c r="M75" s="629">
        <v>0</v>
      </c>
      <c r="N75" s="629">
        <v>0</v>
      </c>
      <c r="O75" s="629">
        <v>0</v>
      </c>
      <c r="P75" s="629">
        <v>0</v>
      </c>
      <c r="Q75" s="629">
        <v>0</v>
      </c>
      <c r="R75" s="629">
        <v>0</v>
      </c>
      <c r="S75" s="629">
        <v>0</v>
      </c>
      <c r="T75" t="str">
        <f t="shared" si="7"/>
        <v xml:space="preserve">OK </v>
      </c>
      <c r="U75" s="1520"/>
    </row>
    <row r="76" spans="1:21" x14ac:dyDescent="0.2">
      <c r="A76" s="666">
        <v>1481</v>
      </c>
      <c r="B76" s="2951" t="s">
        <v>2672</v>
      </c>
      <c r="C76" s="2951"/>
      <c r="D76" s="2951"/>
      <c r="E76" s="2951"/>
      <c r="F76" s="587">
        <f>'201'!T37</f>
        <v>0</v>
      </c>
      <c r="G76" s="159"/>
      <c r="H76" s="629">
        <v>0</v>
      </c>
      <c r="I76" s="629">
        <v>0</v>
      </c>
      <c r="J76" s="629">
        <v>0</v>
      </c>
      <c r="K76" s="629">
        <v>0</v>
      </c>
      <c r="L76" s="629">
        <v>0</v>
      </c>
      <c r="M76" s="629">
        <v>0</v>
      </c>
      <c r="N76" s="629">
        <v>0</v>
      </c>
      <c r="O76" s="629">
        <v>0</v>
      </c>
      <c r="P76" s="629">
        <v>0</v>
      </c>
      <c r="Q76" s="629"/>
      <c r="R76" s="629"/>
      <c r="S76" s="629"/>
      <c r="T76" t="str">
        <f t="shared" si="7"/>
        <v xml:space="preserve">OK </v>
      </c>
      <c r="U76" s="1520"/>
    </row>
    <row r="77" spans="1:21" x14ac:dyDescent="0.2">
      <c r="A77" s="666">
        <v>1521</v>
      </c>
      <c r="B77" s="2951" t="s">
        <v>2673</v>
      </c>
      <c r="C77" s="2951"/>
      <c r="D77" s="2951"/>
      <c r="E77" s="2951"/>
      <c r="F77" s="587">
        <f>'201'!T38</f>
        <v>0</v>
      </c>
      <c r="G77" s="159"/>
      <c r="H77" s="629">
        <v>0</v>
      </c>
      <c r="I77" s="629">
        <v>0</v>
      </c>
      <c r="J77" s="629">
        <v>0</v>
      </c>
      <c r="K77" s="629">
        <v>0</v>
      </c>
      <c r="L77" s="629">
        <v>0</v>
      </c>
      <c r="M77" s="629">
        <v>0</v>
      </c>
      <c r="N77" s="629">
        <v>0</v>
      </c>
      <c r="O77" s="629">
        <v>0</v>
      </c>
      <c r="P77" s="629">
        <v>0</v>
      </c>
      <c r="Q77" s="629"/>
      <c r="R77" s="629"/>
      <c r="S77" s="629"/>
      <c r="T77" t="str">
        <f t="shared" si="7"/>
        <v xml:space="preserve">OK </v>
      </c>
      <c r="U77" s="1520"/>
    </row>
    <row r="78" spans="1:21" x14ac:dyDescent="0.2">
      <c r="A78" s="666">
        <v>1531</v>
      </c>
      <c r="B78" s="2951" t="s">
        <v>2674</v>
      </c>
      <c r="C78" s="2951"/>
      <c r="D78" s="2951"/>
      <c r="E78" s="2951"/>
      <c r="F78" s="587">
        <f>'201'!T39</f>
        <v>0</v>
      </c>
      <c r="G78" s="159"/>
      <c r="H78" s="629">
        <v>0</v>
      </c>
      <c r="I78" s="629">
        <v>0</v>
      </c>
      <c r="J78" s="629">
        <v>0</v>
      </c>
      <c r="K78" s="629">
        <v>0</v>
      </c>
      <c r="L78" s="629">
        <v>0</v>
      </c>
      <c r="M78" s="629">
        <v>0</v>
      </c>
      <c r="N78" s="629">
        <v>0</v>
      </c>
      <c r="O78" s="629">
        <v>0</v>
      </c>
      <c r="P78" s="629">
        <v>0</v>
      </c>
      <c r="Q78" s="629"/>
      <c r="R78" s="629"/>
      <c r="S78" s="629"/>
      <c r="T78" t="str">
        <f t="shared" si="7"/>
        <v xml:space="preserve">OK </v>
      </c>
      <c r="U78" s="1520"/>
    </row>
    <row r="79" spans="1:21" x14ac:dyDescent="0.2">
      <c r="A79" s="666">
        <v>1551</v>
      </c>
      <c r="B79" s="2951" t="s">
        <v>2675</v>
      </c>
      <c r="C79" s="2951"/>
      <c r="D79" s="2951"/>
      <c r="E79" s="2951"/>
      <c r="F79" s="587">
        <f>'201'!T40</f>
        <v>0</v>
      </c>
      <c r="G79" s="159"/>
      <c r="H79" s="629">
        <v>0</v>
      </c>
      <c r="I79" s="629">
        <v>0</v>
      </c>
      <c r="J79" s="629">
        <v>0</v>
      </c>
      <c r="K79" s="629">
        <v>0</v>
      </c>
      <c r="L79" s="629">
        <v>0</v>
      </c>
      <c r="M79" s="629">
        <v>0</v>
      </c>
      <c r="N79" s="629">
        <v>0</v>
      </c>
      <c r="O79" s="629">
        <v>0</v>
      </c>
      <c r="P79" s="629">
        <v>0</v>
      </c>
      <c r="Q79" s="629"/>
      <c r="R79" s="629"/>
      <c r="S79" s="629"/>
      <c r="T79" t="str">
        <f t="shared" si="7"/>
        <v xml:space="preserve">OK </v>
      </c>
      <c r="U79" s="1520"/>
    </row>
    <row r="80" spans="1:21" x14ac:dyDescent="0.2">
      <c r="A80" s="666">
        <v>1553</v>
      </c>
      <c r="B80" s="2951" t="s">
        <v>2676</v>
      </c>
      <c r="C80" s="2951"/>
      <c r="D80" s="2951"/>
      <c r="E80" s="2951"/>
      <c r="F80" s="587">
        <f>'201'!T33</f>
        <v>0</v>
      </c>
      <c r="G80" s="159" t="str">
        <f>IF(F80='201'!T33," ","Problem:Must agree to worksheet 201")</f>
        <v xml:space="preserve"> </v>
      </c>
      <c r="H80" s="629">
        <v>0</v>
      </c>
      <c r="I80" s="629">
        <v>0</v>
      </c>
      <c r="J80" s="629">
        <v>0</v>
      </c>
      <c r="K80" s="629">
        <v>0</v>
      </c>
      <c r="L80" s="629">
        <v>0</v>
      </c>
      <c r="M80" s="629">
        <v>0</v>
      </c>
      <c r="N80" s="629">
        <v>0</v>
      </c>
      <c r="O80" s="629">
        <v>0</v>
      </c>
      <c r="P80" s="629">
        <v>0</v>
      </c>
      <c r="Q80" s="629">
        <v>0</v>
      </c>
      <c r="R80" s="629">
        <v>0</v>
      </c>
      <c r="S80" s="629">
        <v>0</v>
      </c>
      <c r="T80" t="str">
        <f t="shared" si="7"/>
        <v xml:space="preserve">OK </v>
      </c>
      <c r="U80" s="1520"/>
    </row>
    <row r="81" spans="1:21" x14ac:dyDescent="0.2">
      <c r="A81" s="666">
        <v>1555</v>
      </c>
      <c r="B81" s="2951" t="s">
        <v>2677</v>
      </c>
      <c r="C81" s="2951"/>
      <c r="D81" s="2951"/>
      <c r="E81" s="2951"/>
      <c r="F81" s="587">
        <f>'201'!T34</f>
        <v>0</v>
      </c>
      <c r="G81" s="159" t="str">
        <f>IF(F81='201'!T34," ","Problem:Must agree to worksheet 201")</f>
        <v xml:space="preserve"> </v>
      </c>
      <c r="H81" s="629">
        <v>0</v>
      </c>
      <c r="I81" s="629">
        <v>0</v>
      </c>
      <c r="J81" s="629">
        <v>0</v>
      </c>
      <c r="K81" s="629">
        <v>0</v>
      </c>
      <c r="L81" s="629">
        <v>0</v>
      </c>
      <c r="M81" s="629">
        <v>0</v>
      </c>
      <c r="N81" s="629">
        <v>0</v>
      </c>
      <c r="O81" s="629">
        <v>0</v>
      </c>
      <c r="P81" s="629">
        <v>0</v>
      </c>
      <c r="Q81" s="629">
        <v>0</v>
      </c>
      <c r="R81" s="629">
        <v>0</v>
      </c>
      <c r="S81" s="629">
        <v>0</v>
      </c>
      <c r="T81" t="str">
        <f t="shared" si="7"/>
        <v xml:space="preserve">OK </v>
      </c>
      <c r="U81" s="1520"/>
    </row>
    <row r="82" spans="1:21" x14ac:dyDescent="0.2">
      <c r="A82" s="2075">
        <v>1556</v>
      </c>
      <c r="B82" s="2950" t="s">
        <v>2678</v>
      </c>
      <c r="C82" s="2950"/>
      <c r="D82" s="2950"/>
      <c r="E82" s="2950"/>
      <c r="F82" s="587">
        <f>'201'!T42</f>
        <v>0</v>
      </c>
      <c r="G82" s="159"/>
      <c r="H82" s="629">
        <v>0</v>
      </c>
      <c r="I82" s="629">
        <v>0</v>
      </c>
      <c r="J82" s="629">
        <v>0</v>
      </c>
      <c r="K82" s="629">
        <v>0</v>
      </c>
      <c r="L82" s="629">
        <v>0</v>
      </c>
      <c r="M82" s="629">
        <v>0</v>
      </c>
      <c r="N82" s="629">
        <v>0</v>
      </c>
      <c r="O82" s="629">
        <v>0</v>
      </c>
      <c r="P82" s="629">
        <v>0</v>
      </c>
      <c r="Q82" s="629">
        <v>0</v>
      </c>
      <c r="R82" s="629">
        <v>0</v>
      </c>
      <c r="S82" s="629">
        <v>0</v>
      </c>
      <c r="T82" t="str">
        <f t="shared" si="7"/>
        <v xml:space="preserve">OK </v>
      </c>
      <c r="U82" s="1520"/>
    </row>
    <row r="83" spans="1:21" x14ac:dyDescent="0.2">
      <c r="A83" s="2075">
        <v>1556</v>
      </c>
      <c r="B83" s="2950" t="s">
        <v>2679</v>
      </c>
      <c r="C83" s="2950"/>
      <c r="D83" s="2950"/>
      <c r="E83" s="2950"/>
      <c r="F83" s="587">
        <f>'201'!T43</f>
        <v>0</v>
      </c>
      <c r="G83" s="159"/>
      <c r="H83" s="629">
        <v>0</v>
      </c>
      <c r="I83" s="629">
        <v>0</v>
      </c>
      <c r="J83" s="629">
        <v>0</v>
      </c>
      <c r="K83" s="629">
        <v>0</v>
      </c>
      <c r="L83" s="629">
        <v>0</v>
      </c>
      <c r="M83" s="629">
        <v>0</v>
      </c>
      <c r="N83" s="629">
        <v>0</v>
      </c>
      <c r="O83" s="629">
        <v>0</v>
      </c>
      <c r="P83" s="629">
        <v>0</v>
      </c>
      <c r="Q83" s="629">
        <v>0</v>
      </c>
      <c r="R83" s="629">
        <v>0</v>
      </c>
      <c r="S83" s="629">
        <v>0</v>
      </c>
      <c r="T83" t="str">
        <f t="shared" si="7"/>
        <v xml:space="preserve">OK </v>
      </c>
      <c r="U83" s="1520"/>
    </row>
    <row r="84" spans="1:21" x14ac:dyDescent="0.2">
      <c r="A84" s="666">
        <v>1560</v>
      </c>
      <c r="B84" s="2951" t="s">
        <v>2680</v>
      </c>
      <c r="C84" s="2951"/>
      <c r="D84" s="2951"/>
      <c r="E84" s="2951"/>
      <c r="F84" s="587">
        <f>'201'!T35</f>
        <v>0</v>
      </c>
      <c r="G84" s="159" t="str">
        <f>IF(F84='201'!T35," ","Problem:Must agree to worksheet 201")</f>
        <v xml:space="preserve"> </v>
      </c>
      <c r="H84" s="629">
        <v>0</v>
      </c>
      <c r="I84" s="629">
        <v>0</v>
      </c>
      <c r="J84" s="629">
        <v>0</v>
      </c>
      <c r="K84" s="629">
        <v>0</v>
      </c>
      <c r="L84" s="629">
        <v>0</v>
      </c>
      <c r="M84" s="629">
        <v>0</v>
      </c>
      <c r="N84" s="629">
        <v>0</v>
      </c>
      <c r="O84" s="629">
        <v>0</v>
      </c>
      <c r="P84" s="629">
        <v>0</v>
      </c>
      <c r="Q84" s="629">
        <v>0</v>
      </c>
      <c r="R84" s="629">
        <v>0</v>
      </c>
      <c r="S84" s="629">
        <v>0</v>
      </c>
      <c r="T84" t="str">
        <f t="shared" si="7"/>
        <v xml:space="preserve">OK </v>
      </c>
      <c r="U84" s="1520"/>
    </row>
    <row r="85" spans="1:21" x14ac:dyDescent="0.2">
      <c r="A85" s="666">
        <v>1570</v>
      </c>
      <c r="B85" s="2881" t="s">
        <v>2681</v>
      </c>
      <c r="C85" s="2881"/>
      <c r="D85" s="2881"/>
      <c r="E85" s="2881"/>
      <c r="F85" s="599">
        <f>-'210'!Q34</f>
        <v>0</v>
      </c>
      <c r="G85" s="159" t="str">
        <f>IF(F85=-'210'!Q34," ","Problem:Must agree to total accumulated depreciation per worksheet 210 cell O25, entered here as a negative number")</f>
        <v xml:space="preserve"> </v>
      </c>
      <c r="H85" s="629">
        <v>0</v>
      </c>
      <c r="I85" s="629">
        <v>0</v>
      </c>
      <c r="J85" s="629">
        <v>0</v>
      </c>
      <c r="K85" s="629">
        <v>0</v>
      </c>
      <c r="L85" s="629">
        <v>0</v>
      </c>
      <c r="M85" s="629">
        <v>0</v>
      </c>
      <c r="N85" s="629">
        <v>0</v>
      </c>
      <c r="O85" s="629">
        <v>0</v>
      </c>
      <c r="P85" s="629">
        <v>0</v>
      </c>
      <c r="Q85" s="629">
        <v>0</v>
      </c>
      <c r="R85" s="629">
        <v>0</v>
      </c>
      <c r="S85" s="629">
        <v>0</v>
      </c>
      <c r="T85" t="str">
        <f t="shared" si="7"/>
        <v xml:space="preserve">OK </v>
      </c>
      <c r="U85" s="1520"/>
    </row>
    <row r="86" spans="1:21" x14ac:dyDescent="0.2">
      <c r="A86" s="191"/>
      <c r="B86" s="2881" t="s">
        <v>2682</v>
      </c>
      <c r="C86" s="2881"/>
      <c r="D86" s="2881"/>
      <c r="E86" s="2881"/>
      <c r="F86" s="367">
        <f>SUM(F72:F85)</f>
        <v>0</v>
      </c>
      <c r="G86" s="643"/>
      <c r="H86" s="367">
        <f t="shared" ref="H86:M86" si="8">SUM(H72:H85)</f>
        <v>0</v>
      </c>
      <c r="I86" s="367">
        <f t="shared" si="8"/>
        <v>0</v>
      </c>
      <c r="J86" s="367">
        <f t="shared" si="8"/>
        <v>0</v>
      </c>
      <c r="K86" s="367">
        <f t="shared" si="8"/>
        <v>0</v>
      </c>
      <c r="L86" s="367">
        <f t="shared" si="8"/>
        <v>0</v>
      </c>
      <c r="M86" s="367">
        <f t="shared" si="8"/>
        <v>0</v>
      </c>
      <c r="N86" s="367">
        <f t="shared" ref="N86:S86" si="9">SUM(N72:N85)</f>
        <v>0</v>
      </c>
      <c r="O86" s="367">
        <f t="shared" si="9"/>
        <v>0</v>
      </c>
      <c r="P86" s="367">
        <f t="shared" si="9"/>
        <v>0</v>
      </c>
      <c r="Q86" s="367">
        <f t="shared" si="9"/>
        <v>0</v>
      </c>
      <c r="R86" s="367">
        <f t="shared" si="9"/>
        <v>0</v>
      </c>
      <c r="S86" s="367">
        <f t="shared" si="9"/>
        <v>0</v>
      </c>
      <c r="T86" t="str">
        <f>IF(SUM(H86:S86)=F86,"OK ","Crossfoot error: sum of Col H thru S must equal total in Col F")</f>
        <v xml:space="preserve">OK </v>
      </c>
      <c r="U86" s="1520"/>
    </row>
    <row r="87" spans="1:21" x14ac:dyDescent="0.2">
      <c r="A87" s="381"/>
      <c r="B87" s="2952" t="s">
        <v>2683</v>
      </c>
      <c r="C87" s="2952"/>
      <c r="D87" s="2952"/>
      <c r="E87" s="2952"/>
      <c r="F87" s="374">
        <f>SUM(F42:F86)-F70-F86</f>
        <v>0</v>
      </c>
      <c r="H87" s="374">
        <f t="shared" ref="H87:S87" si="10">SUM(H42:H86)-H70-H86</f>
        <v>0</v>
      </c>
      <c r="I87" s="374">
        <f t="shared" si="10"/>
        <v>0</v>
      </c>
      <c r="J87" s="374">
        <f t="shared" si="10"/>
        <v>0</v>
      </c>
      <c r="K87" s="374">
        <f t="shared" si="10"/>
        <v>0</v>
      </c>
      <c r="L87" s="374">
        <f t="shared" si="10"/>
        <v>0</v>
      </c>
      <c r="M87" s="374">
        <f t="shared" si="10"/>
        <v>0</v>
      </c>
      <c r="N87" s="374">
        <f t="shared" si="10"/>
        <v>0</v>
      </c>
      <c r="O87" s="374">
        <f t="shared" si="10"/>
        <v>0</v>
      </c>
      <c r="P87" s="374">
        <f t="shared" si="10"/>
        <v>0</v>
      </c>
      <c r="Q87" s="374">
        <f t="shared" si="10"/>
        <v>0</v>
      </c>
      <c r="R87" s="374">
        <f t="shared" si="10"/>
        <v>0</v>
      </c>
      <c r="S87" s="374">
        <f t="shared" si="10"/>
        <v>0</v>
      </c>
      <c r="T87" t="str">
        <f>IF(SUM(H87:S87)=F87,"OK ","Crossfoot error: sum of Col H thru S must equal total in Col F")</f>
        <v xml:space="preserve">OK </v>
      </c>
      <c r="U87" s="1520"/>
    </row>
    <row r="88" spans="1:21" x14ac:dyDescent="0.2">
      <c r="H88" s="365"/>
      <c r="I88" s="365"/>
      <c r="J88" s="365"/>
      <c r="K88" s="365"/>
      <c r="L88" s="365"/>
      <c r="M88" s="365"/>
      <c r="N88" s="365"/>
      <c r="O88" s="365"/>
      <c r="P88" s="365"/>
      <c r="Q88" s="365"/>
      <c r="R88" s="365"/>
      <c r="S88" s="365"/>
      <c r="U88" s="1520"/>
    </row>
    <row r="89" spans="1:21" x14ac:dyDescent="0.2">
      <c r="B89" s="2952" t="s">
        <v>2684</v>
      </c>
      <c r="C89" s="2952"/>
      <c r="D89" s="2952"/>
      <c r="E89" s="2952"/>
      <c r="F89" s="367">
        <f>F87+F39</f>
        <v>0</v>
      </c>
      <c r="H89" s="367">
        <f t="shared" ref="H89:S89" si="11">H87+H39</f>
        <v>0</v>
      </c>
      <c r="I89" s="367">
        <f t="shared" si="11"/>
        <v>0</v>
      </c>
      <c r="J89" s="367">
        <f t="shared" si="11"/>
        <v>0</v>
      </c>
      <c r="K89" s="367">
        <f t="shared" si="11"/>
        <v>0</v>
      </c>
      <c r="L89" s="367">
        <f t="shared" si="11"/>
        <v>0</v>
      </c>
      <c r="M89" s="367">
        <f t="shared" si="11"/>
        <v>0</v>
      </c>
      <c r="N89" s="367">
        <f t="shared" si="11"/>
        <v>0</v>
      </c>
      <c r="O89" s="367">
        <f t="shared" si="11"/>
        <v>0</v>
      </c>
      <c r="P89" s="367">
        <f t="shared" si="11"/>
        <v>0</v>
      </c>
      <c r="Q89" s="367">
        <f t="shared" si="11"/>
        <v>0</v>
      </c>
      <c r="R89" s="367">
        <f t="shared" si="11"/>
        <v>0</v>
      </c>
      <c r="S89" s="367">
        <f t="shared" si="11"/>
        <v>0</v>
      </c>
      <c r="T89" t="str">
        <f>IF(SUM(H89:S89)=F89,"OK ","Crossfoot error: sum of Col H thru S must equal total in Col F")</f>
        <v xml:space="preserve">OK </v>
      </c>
      <c r="U89" s="1520"/>
    </row>
    <row r="90" spans="1:21" x14ac:dyDescent="0.2">
      <c r="B90" s="2367"/>
      <c r="C90" s="2367"/>
      <c r="D90" s="2367"/>
      <c r="E90" s="2367"/>
      <c r="H90" s="365"/>
      <c r="I90" s="365"/>
      <c r="J90" s="365"/>
      <c r="K90" s="365"/>
      <c r="L90" s="365"/>
      <c r="M90" s="365"/>
      <c r="N90" s="365"/>
      <c r="O90" s="365"/>
      <c r="P90" s="365"/>
      <c r="Q90" s="365"/>
      <c r="R90" s="365"/>
      <c r="S90" s="365"/>
      <c r="U90" s="1520"/>
    </row>
    <row r="91" spans="1:21" x14ac:dyDescent="0.2">
      <c r="B91" s="2377" t="s">
        <v>2685</v>
      </c>
      <c r="H91" s="365"/>
      <c r="I91" s="365"/>
      <c r="J91" s="365"/>
      <c r="K91" s="365"/>
      <c r="L91" s="365"/>
      <c r="M91" s="365"/>
      <c r="N91" s="365"/>
      <c r="O91" s="365"/>
      <c r="P91" s="365"/>
      <c r="Q91" s="365"/>
      <c r="R91" s="365"/>
      <c r="S91" s="365"/>
      <c r="U91" s="1520"/>
    </row>
    <row r="92" spans="1:21" x14ac:dyDescent="0.2">
      <c r="A92" s="865">
        <v>1234</v>
      </c>
      <c r="B92" s="2881" t="s">
        <v>2686</v>
      </c>
      <c r="C92" s="2881"/>
      <c r="D92" s="2881"/>
      <c r="E92" s="2881"/>
      <c r="F92" s="365">
        <f t="shared" ref="F92:F98" si="12">SUM(H92:S92)</f>
        <v>0</v>
      </c>
      <c r="H92" s="372">
        <v>0</v>
      </c>
      <c r="I92" s="372">
        <v>0</v>
      </c>
      <c r="J92" s="372">
        <v>0</v>
      </c>
      <c r="K92" s="372">
        <v>0</v>
      </c>
      <c r="L92" s="372">
        <v>0</v>
      </c>
      <c r="M92" s="372">
        <v>0</v>
      </c>
      <c r="N92" s="372">
        <v>0</v>
      </c>
      <c r="O92" s="372">
        <v>0</v>
      </c>
      <c r="P92" s="372">
        <v>0</v>
      </c>
      <c r="Q92" s="372">
        <v>0</v>
      </c>
      <c r="R92" s="372">
        <v>0</v>
      </c>
      <c r="S92" s="372">
        <v>0</v>
      </c>
      <c r="U92" s="1520">
        <v>61100002</v>
      </c>
    </row>
    <row r="93" spans="1:21" x14ac:dyDescent="0.2">
      <c r="A93" s="865">
        <v>1236</v>
      </c>
      <c r="B93" s="2881" t="s">
        <v>2092</v>
      </c>
      <c r="C93" s="2881"/>
      <c r="D93" s="2881"/>
      <c r="E93" s="2881"/>
      <c r="F93" s="365">
        <f t="shared" si="12"/>
        <v>0</v>
      </c>
      <c r="H93" s="372">
        <v>0</v>
      </c>
      <c r="I93" s="372">
        <v>0</v>
      </c>
      <c r="J93" s="372">
        <v>0</v>
      </c>
      <c r="K93" s="372">
        <v>0</v>
      </c>
      <c r="L93" s="372">
        <v>0</v>
      </c>
      <c r="M93" s="372">
        <v>0</v>
      </c>
      <c r="N93" s="372">
        <v>0</v>
      </c>
      <c r="O93" s="372">
        <v>0</v>
      </c>
      <c r="P93" s="372">
        <v>0</v>
      </c>
      <c r="Q93" s="372">
        <v>0</v>
      </c>
      <c r="R93" s="372">
        <v>0</v>
      </c>
      <c r="S93" s="372">
        <v>0</v>
      </c>
      <c r="U93" s="1520">
        <v>61100003</v>
      </c>
    </row>
    <row r="94" spans="1:21" x14ac:dyDescent="0.2">
      <c r="A94" s="865">
        <v>1242</v>
      </c>
      <c r="B94" s="2881" t="s">
        <v>2687</v>
      </c>
      <c r="C94" s="2881"/>
      <c r="D94" s="2881"/>
      <c r="E94" s="2881"/>
      <c r="F94" s="365">
        <f>SUM(H94:S94)</f>
        <v>0</v>
      </c>
      <c r="H94" s="372">
        <v>0</v>
      </c>
      <c r="I94" s="372">
        <v>0</v>
      </c>
      <c r="J94" s="372">
        <v>0</v>
      </c>
      <c r="K94" s="372">
        <v>0</v>
      </c>
      <c r="L94" s="372">
        <v>0</v>
      </c>
      <c r="M94" s="372">
        <v>0</v>
      </c>
      <c r="N94" s="372">
        <v>0</v>
      </c>
      <c r="O94" s="372">
        <v>0</v>
      </c>
      <c r="P94" s="372">
        <v>0</v>
      </c>
      <c r="Q94" s="372">
        <v>0</v>
      </c>
      <c r="R94" s="372">
        <v>0</v>
      </c>
      <c r="S94" s="372">
        <v>0</v>
      </c>
      <c r="U94" s="1520">
        <v>61100007</v>
      </c>
    </row>
    <row r="95" spans="1:21" x14ac:dyDescent="0.2">
      <c r="A95" s="865">
        <v>1237</v>
      </c>
      <c r="B95" s="2881" t="s">
        <v>2093</v>
      </c>
      <c r="C95" s="2881"/>
      <c r="D95" s="2881"/>
      <c r="E95" s="2881"/>
      <c r="F95" s="365">
        <f t="shared" si="12"/>
        <v>0</v>
      </c>
      <c r="H95" s="372">
        <v>0</v>
      </c>
      <c r="I95" s="372">
        <v>0</v>
      </c>
      <c r="J95" s="372">
        <v>0</v>
      </c>
      <c r="K95" s="372">
        <v>0</v>
      </c>
      <c r="L95" s="372">
        <v>0</v>
      </c>
      <c r="M95" s="372">
        <v>0</v>
      </c>
      <c r="N95" s="372">
        <v>0</v>
      </c>
      <c r="O95" s="372">
        <v>0</v>
      </c>
      <c r="P95" s="372">
        <v>0</v>
      </c>
      <c r="Q95" s="372">
        <v>0</v>
      </c>
      <c r="R95" s="372">
        <v>0</v>
      </c>
      <c r="S95" s="372">
        <v>0</v>
      </c>
      <c r="U95" s="1520">
        <v>61100008</v>
      </c>
    </row>
    <row r="96" spans="1:21" x14ac:dyDescent="0.2">
      <c r="A96" s="1225">
        <v>1241</v>
      </c>
      <c r="B96" s="2881" t="s">
        <v>2094</v>
      </c>
      <c r="C96" s="2881"/>
      <c r="D96" s="2881"/>
      <c r="E96" s="2881"/>
      <c r="F96" s="365">
        <f t="shared" si="12"/>
        <v>0</v>
      </c>
      <c r="H96" s="372">
        <v>0</v>
      </c>
      <c r="I96" s="372">
        <v>0</v>
      </c>
      <c r="J96" s="372">
        <v>0</v>
      </c>
      <c r="K96" s="372">
        <v>0</v>
      </c>
      <c r="L96" s="372">
        <v>0</v>
      </c>
      <c r="M96" s="372">
        <v>0</v>
      </c>
      <c r="N96" s="372">
        <v>0</v>
      </c>
      <c r="O96" s="372">
        <v>0</v>
      </c>
      <c r="P96" s="372">
        <v>0</v>
      </c>
      <c r="Q96" s="372">
        <v>0</v>
      </c>
      <c r="R96" s="372">
        <v>0</v>
      </c>
      <c r="S96" s="372">
        <v>0</v>
      </c>
      <c r="U96" s="1520">
        <v>61100009</v>
      </c>
    </row>
    <row r="97" spans="1:21" x14ac:dyDescent="0.2">
      <c r="A97" s="865">
        <v>1238</v>
      </c>
      <c r="B97" s="2881" t="s">
        <v>2095</v>
      </c>
      <c r="C97" s="2881"/>
      <c r="D97" s="2881"/>
      <c r="E97" s="2881"/>
      <c r="F97" s="365">
        <f t="shared" si="12"/>
        <v>0</v>
      </c>
      <c r="H97" s="372">
        <v>0</v>
      </c>
      <c r="I97" s="372">
        <v>0</v>
      </c>
      <c r="J97" s="372">
        <v>0</v>
      </c>
      <c r="K97" s="372">
        <v>0</v>
      </c>
      <c r="L97" s="372">
        <v>0</v>
      </c>
      <c r="M97" s="372">
        <v>0</v>
      </c>
      <c r="N97" s="372">
        <v>0</v>
      </c>
      <c r="O97" s="372">
        <v>0</v>
      </c>
      <c r="P97" s="372">
        <v>0</v>
      </c>
      <c r="Q97" s="372">
        <v>0</v>
      </c>
      <c r="R97" s="372">
        <v>0</v>
      </c>
      <c r="S97" s="372">
        <v>0</v>
      </c>
      <c r="U97" s="1520">
        <v>61100006</v>
      </c>
    </row>
    <row r="98" spans="1:21" x14ac:dyDescent="0.2">
      <c r="A98" s="865">
        <v>1239</v>
      </c>
      <c r="B98" s="2881" t="s">
        <v>2096</v>
      </c>
      <c r="C98" s="2881"/>
      <c r="D98" s="2881"/>
      <c r="E98" s="2881"/>
      <c r="F98" s="365">
        <f t="shared" si="12"/>
        <v>0</v>
      </c>
      <c r="H98" s="372">
        <v>0</v>
      </c>
      <c r="I98" s="372">
        <v>0</v>
      </c>
      <c r="J98" s="372">
        <v>0</v>
      </c>
      <c r="K98" s="372">
        <v>0</v>
      </c>
      <c r="L98" s="372">
        <v>0</v>
      </c>
      <c r="M98" s="372">
        <v>0</v>
      </c>
      <c r="N98" s="372">
        <v>0</v>
      </c>
      <c r="O98" s="372">
        <v>0</v>
      </c>
      <c r="P98" s="372">
        <v>0</v>
      </c>
      <c r="Q98" s="372">
        <v>0</v>
      </c>
      <c r="R98" s="372">
        <v>0</v>
      </c>
      <c r="S98" s="372">
        <v>0</v>
      </c>
      <c r="U98" s="1520">
        <v>61100004</v>
      </c>
    </row>
    <row r="99" spans="1:21" x14ac:dyDescent="0.2">
      <c r="A99" s="865"/>
      <c r="B99" s="2952" t="s">
        <v>2688</v>
      </c>
      <c r="C99" s="2952"/>
      <c r="D99" s="2952"/>
      <c r="E99" s="2952"/>
      <c r="F99" s="374">
        <f>SUM(F91:F98)</f>
        <v>0</v>
      </c>
      <c r="H99" s="374">
        <f t="shared" ref="H99:S99" si="13">SUM(H91:H98)</f>
        <v>0</v>
      </c>
      <c r="I99" s="374">
        <f t="shared" si="13"/>
        <v>0</v>
      </c>
      <c r="J99" s="374">
        <f t="shared" si="13"/>
        <v>0</v>
      </c>
      <c r="K99" s="374">
        <f t="shared" si="13"/>
        <v>0</v>
      </c>
      <c r="L99" s="374">
        <f t="shared" si="13"/>
        <v>0</v>
      </c>
      <c r="M99" s="374">
        <f t="shared" si="13"/>
        <v>0</v>
      </c>
      <c r="N99" s="374">
        <f t="shared" si="13"/>
        <v>0</v>
      </c>
      <c r="O99" s="374">
        <f t="shared" si="13"/>
        <v>0</v>
      </c>
      <c r="P99" s="374">
        <f t="shared" si="13"/>
        <v>0</v>
      </c>
      <c r="Q99" s="374">
        <f t="shared" si="13"/>
        <v>0</v>
      </c>
      <c r="R99" s="374">
        <f t="shared" si="13"/>
        <v>0</v>
      </c>
      <c r="S99" s="374">
        <f t="shared" si="13"/>
        <v>0</v>
      </c>
      <c r="U99" s="1520"/>
    </row>
    <row r="100" spans="1:21" x14ac:dyDescent="0.2">
      <c r="U100" s="1520"/>
    </row>
    <row r="101" spans="1:21" x14ac:dyDescent="0.2">
      <c r="B101" s="2377" t="s">
        <v>2689</v>
      </c>
      <c r="U101" s="1520"/>
    </row>
    <row r="102" spans="1:21" x14ac:dyDescent="0.2">
      <c r="B102" s="234" t="s">
        <v>2690</v>
      </c>
      <c r="U102" s="1520"/>
    </row>
    <row r="103" spans="1:21" x14ac:dyDescent="0.2">
      <c r="B103" s="191" t="s">
        <v>2691</v>
      </c>
      <c r="C103" s="191"/>
      <c r="U103" s="1520"/>
    </row>
    <row r="104" spans="1:21" x14ac:dyDescent="0.2">
      <c r="A104" s="191">
        <v>1640</v>
      </c>
      <c r="B104" s="2951" t="s">
        <v>2692</v>
      </c>
      <c r="C104" s="2951"/>
      <c r="D104" s="2951"/>
      <c r="E104" s="2951"/>
      <c r="F104" s="365">
        <f>SUM(H104:S104)</f>
        <v>0</v>
      </c>
      <c r="H104" s="372">
        <v>0</v>
      </c>
      <c r="I104" s="372">
        <v>0</v>
      </c>
      <c r="J104" s="372">
        <v>0</v>
      </c>
      <c r="K104" s="372">
        <v>0</v>
      </c>
      <c r="L104" s="372">
        <v>0</v>
      </c>
      <c r="M104" s="372">
        <v>0</v>
      </c>
      <c r="N104" s="372">
        <v>0</v>
      </c>
      <c r="O104" s="372">
        <v>0</v>
      </c>
      <c r="P104" s="372">
        <v>0</v>
      </c>
      <c r="Q104" s="372">
        <v>0</v>
      </c>
      <c r="R104" s="372">
        <v>0</v>
      </c>
      <c r="S104" s="372">
        <v>0</v>
      </c>
      <c r="U104" s="1520">
        <v>21110000</v>
      </c>
    </row>
    <row r="105" spans="1:21" x14ac:dyDescent="0.2">
      <c r="A105" s="191">
        <v>1650</v>
      </c>
      <c r="B105" s="2951" t="s">
        <v>2693</v>
      </c>
      <c r="C105" s="2951"/>
      <c r="D105" s="2951"/>
      <c r="E105" s="2951"/>
      <c r="F105" s="365">
        <f>SUM(H105:S105)</f>
        <v>0</v>
      </c>
      <c r="H105" s="372">
        <v>0</v>
      </c>
      <c r="I105" s="372">
        <v>0</v>
      </c>
      <c r="J105" s="372">
        <v>0</v>
      </c>
      <c r="K105" s="372">
        <v>0</v>
      </c>
      <c r="L105" s="372">
        <v>0</v>
      </c>
      <c r="M105" s="372">
        <v>0</v>
      </c>
      <c r="N105" s="372">
        <v>0</v>
      </c>
      <c r="O105" s="372">
        <v>0</v>
      </c>
      <c r="P105" s="372">
        <v>0</v>
      </c>
      <c r="Q105" s="372">
        <v>0</v>
      </c>
      <c r="R105" s="372">
        <v>0</v>
      </c>
      <c r="S105" s="372">
        <v>0</v>
      </c>
      <c r="U105" s="1520">
        <v>21121000</v>
      </c>
    </row>
    <row r="106" spans="1:21" x14ac:dyDescent="0.2">
      <c r="A106" s="191">
        <v>1660</v>
      </c>
      <c r="B106" s="2951" t="s">
        <v>2694</v>
      </c>
      <c r="C106" s="2951"/>
      <c r="D106" s="2951"/>
      <c r="E106" s="2951"/>
      <c r="F106" s="365">
        <f>SUM(H106:S106)</f>
        <v>0</v>
      </c>
      <c r="H106" s="372">
        <v>0</v>
      </c>
      <c r="I106" s="372">
        <v>0</v>
      </c>
      <c r="J106" s="372">
        <v>0</v>
      </c>
      <c r="K106" s="372">
        <v>0</v>
      </c>
      <c r="L106" s="372">
        <v>0</v>
      </c>
      <c r="M106" s="372">
        <v>0</v>
      </c>
      <c r="N106" s="372">
        <v>0</v>
      </c>
      <c r="O106" s="372">
        <v>0</v>
      </c>
      <c r="P106" s="372">
        <v>0</v>
      </c>
      <c r="Q106" s="372">
        <v>0</v>
      </c>
      <c r="R106" s="372">
        <v>0</v>
      </c>
      <c r="S106" s="372">
        <v>0</v>
      </c>
      <c r="U106" s="1520">
        <v>21131000</v>
      </c>
    </row>
    <row r="107" spans="1:21" x14ac:dyDescent="0.2">
      <c r="A107" s="191">
        <v>1670</v>
      </c>
      <c r="B107" s="2951" t="s">
        <v>2695</v>
      </c>
      <c r="C107" s="2951"/>
      <c r="D107" s="2951"/>
      <c r="E107" s="2951"/>
      <c r="F107" s="365">
        <f>SUM(H107:S107)</f>
        <v>0</v>
      </c>
      <c r="H107" s="372">
        <v>0</v>
      </c>
      <c r="I107" s="372">
        <v>0</v>
      </c>
      <c r="J107" s="372">
        <v>0</v>
      </c>
      <c r="K107" s="372">
        <v>0</v>
      </c>
      <c r="L107" s="372">
        <v>0</v>
      </c>
      <c r="M107" s="372">
        <v>0</v>
      </c>
      <c r="N107" s="372">
        <v>0</v>
      </c>
      <c r="O107" s="372">
        <v>0</v>
      </c>
      <c r="P107" s="372">
        <v>0</v>
      </c>
      <c r="Q107" s="372">
        <v>0</v>
      </c>
      <c r="R107" s="372">
        <v>0</v>
      </c>
      <c r="S107" s="372">
        <v>0</v>
      </c>
      <c r="U107" s="1520">
        <v>21523000</v>
      </c>
    </row>
    <row r="108" spans="1:21" x14ac:dyDescent="0.2">
      <c r="A108" s="191">
        <v>1840</v>
      </c>
      <c r="B108" s="2881" t="s">
        <v>2696</v>
      </c>
      <c r="C108" s="2881"/>
      <c r="D108" s="2881"/>
      <c r="E108" s="2881"/>
      <c r="F108" s="365">
        <f>SUM(H108:S108)</f>
        <v>0</v>
      </c>
      <c r="H108" s="372">
        <v>0</v>
      </c>
      <c r="I108" s="372">
        <v>0</v>
      </c>
      <c r="J108" s="372">
        <v>0</v>
      </c>
      <c r="K108" s="372">
        <v>0</v>
      </c>
      <c r="L108" s="372">
        <v>0</v>
      </c>
      <c r="M108" s="372">
        <v>0</v>
      </c>
      <c r="N108" s="372">
        <v>0</v>
      </c>
      <c r="O108" s="372">
        <v>0</v>
      </c>
      <c r="P108" s="372">
        <v>0</v>
      </c>
      <c r="Q108" s="372">
        <v>0</v>
      </c>
      <c r="R108" s="372">
        <v>0</v>
      </c>
      <c r="S108" s="372">
        <v>0</v>
      </c>
      <c r="U108" s="1520">
        <v>21621000</v>
      </c>
    </row>
    <row r="109" spans="1:21" x14ac:dyDescent="0.2">
      <c r="A109" s="191"/>
      <c r="B109" s="191" t="s">
        <v>2697</v>
      </c>
      <c r="C109" s="191"/>
      <c r="D109" s="191"/>
      <c r="E109" s="191"/>
      <c r="H109" s="365"/>
      <c r="I109" s="365"/>
      <c r="J109" s="365"/>
      <c r="K109" s="365"/>
      <c r="L109" s="365"/>
      <c r="M109" s="365"/>
      <c r="N109" s="365"/>
      <c r="O109" s="365"/>
      <c r="P109" s="365"/>
      <c r="Q109" s="365"/>
      <c r="R109" s="365"/>
      <c r="S109" s="365"/>
      <c r="U109" s="1520"/>
    </row>
    <row r="110" spans="1:21" x14ac:dyDescent="0.2">
      <c r="A110" s="666">
        <v>1788</v>
      </c>
      <c r="B110" s="2951" t="s">
        <v>2698</v>
      </c>
      <c r="C110" s="2951"/>
      <c r="D110" s="2951"/>
      <c r="E110" s="2951"/>
      <c r="F110" s="587">
        <f>'310'!M38</f>
        <v>0</v>
      </c>
      <c r="G110" t="str">
        <f>IF(F110='310'!M38," ","Problem: Must agree to ws 310 ")</f>
        <v xml:space="preserve"> </v>
      </c>
      <c r="H110" s="629">
        <v>0</v>
      </c>
      <c r="I110" s="629">
        <v>0</v>
      </c>
      <c r="J110" s="629">
        <v>0</v>
      </c>
      <c r="K110" s="629">
        <v>0</v>
      </c>
      <c r="L110" s="629">
        <v>0</v>
      </c>
      <c r="M110" s="629">
        <v>0</v>
      </c>
      <c r="N110" s="629">
        <v>0</v>
      </c>
      <c r="O110" s="629">
        <v>0</v>
      </c>
      <c r="P110" s="629">
        <v>0</v>
      </c>
      <c r="Q110" s="629">
        <v>0</v>
      </c>
      <c r="R110" s="629">
        <v>0</v>
      </c>
      <c r="S110" s="629">
        <v>0</v>
      </c>
      <c r="T110" t="str">
        <f t="shared" ref="T110:T117" si="14">IF(SUM(H110:S110)=F110,"OK ","Problem: sum of amts keyed for each agency in col H through S must tie to total on combined worksheet")</f>
        <v xml:space="preserve">OK </v>
      </c>
      <c r="U110" s="1520"/>
    </row>
    <row r="111" spans="1:21" x14ac:dyDescent="0.2">
      <c r="A111" s="666">
        <v>1785</v>
      </c>
      <c r="B111" s="2951" t="s">
        <v>2699</v>
      </c>
      <c r="C111" s="2951"/>
      <c r="D111" s="2951"/>
      <c r="E111" s="2951"/>
      <c r="F111" s="587">
        <f>'310'!M39</f>
        <v>0</v>
      </c>
      <c r="G111" t="str">
        <f>IF(F111='310'!M39," ","Problem: Must agree to ws 310 ")</f>
        <v xml:space="preserve"> </v>
      </c>
      <c r="H111" s="629">
        <v>0</v>
      </c>
      <c r="I111" s="629">
        <v>0</v>
      </c>
      <c r="J111" s="629">
        <v>0</v>
      </c>
      <c r="K111" s="629">
        <v>0</v>
      </c>
      <c r="L111" s="629">
        <v>0</v>
      </c>
      <c r="M111" s="629">
        <v>0</v>
      </c>
      <c r="N111" s="629">
        <v>0</v>
      </c>
      <c r="O111" s="629">
        <v>0</v>
      </c>
      <c r="P111" s="629">
        <v>0</v>
      </c>
      <c r="Q111" s="629">
        <v>0</v>
      </c>
      <c r="R111" s="629">
        <v>0</v>
      </c>
      <c r="S111" s="629">
        <v>0</v>
      </c>
      <c r="T111" t="str">
        <f t="shared" si="14"/>
        <v xml:space="preserve">OK </v>
      </c>
      <c r="U111" s="1520"/>
    </row>
    <row r="112" spans="1:21" x14ac:dyDescent="0.2">
      <c r="A112" s="1349">
        <v>1790</v>
      </c>
      <c r="B112" s="2951" t="s">
        <v>2700</v>
      </c>
      <c r="C112" s="2951"/>
      <c r="D112" s="2951"/>
      <c r="E112" s="2951"/>
      <c r="F112" s="587">
        <f>'310'!M40</f>
        <v>0</v>
      </c>
      <c r="G112" t="str">
        <f>IF(F112='310'!M40," ","Problem: Must agree to ws 310 ")</f>
        <v xml:space="preserve"> </v>
      </c>
      <c r="H112" s="629">
        <v>0</v>
      </c>
      <c r="I112" s="629">
        <v>0</v>
      </c>
      <c r="J112" s="629">
        <v>0</v>
      </c>
      <c r="K112" s="629">
        <v>0</v>
      </c>
      <c r="L112" s="629">
        <v>0</v>
      </c>
      <c r="M112" s="629">
        <v>0</v>
      </c>
      <c r="N112" s="629">
        <v>0</v>
      </c>
      <c r="O112" s="629">
        <v>0</v>
      </c>
      <c r="P112" s="629">
        <v>0</v>
      </c>
      <c r="Q112" s="629">
        <v>0</v>
      </c>
      <c r="R112" s="629">
        <v>0</v>
      </c>
      <c r="S112" s="629">
        <v>0</v>
      </c>
      <c r="T112" t="str">
        <f t="shared" si="14"/>
        <v xml:space="preserve">OK </v>
      </c>
      <c r="U112" s="1520"/>
    </row>
    <row r="113" spans="1:21" x14ac:dyDescent="0.2">
      <c r="A113" s="1349">
        <v>1791</v>
      </c>
      <c r="B113" s="2951" t="s">
        <v>2701</v>
      </c>
      <c r="C113" s="2951"/>
      <c r="D113" s="2951"/>
      <c r="E113" s="2951"/>
      <c r="F113" s="587">
        <f>'310'!M41</f>
        <v>0</v>
      </c>
      <c r="G113" t="str">
        <f>IF(F113='310'!M41," ","Problem: Must agree to ws 310 ")</f>
        <v xml:space="preserve"> </v>
      </c>
      <c r="H113" s="629">
        <v>0</v>
      </c>
      <c r="I113" s="629">
        <v>0</v>
      </c>
      <c r="J113" s="629">
        <v>0</v>
      </c>
      <c r="K113" s="629">
        <v>0</v>
      </c>
      <c r="L113" s="629">
        <v>0</v>
      </c>
      <c r="M113" s="629">
        <v>0</v>
      </c>
      <c r="N113" s="629">
        <v>0</v>
      </c>
      <c r="O113" s="629">
        <v>0</v>
      </c>
      <c r="P113" s="629">
        <v>0</v>
      </c>
      <c r="Q113" s="629">
        <v>0</v>
      </c>
      <c r="R113" s="629">
        <v>0</v>
      </c>
      <c r="S113" s="629">
        <v>0</v>
      </c>
      <c r="T113" t="str">
        <f t="shared" si="14"/>
        <v xml:space="preserve">OK </v>
      </c>
      <c r="U113" s="1520"/>
    </row>
    <row r="114" spans="1:21" x14ac:dyDescent="0.2">
      <c r="A114" s="666">
        <v>1787</v>
      </c>
      <c r="B114" s="2951" t="s">
        <v>2702</v>
      </c>
      <c r="C114" s="2951"/>
      <c r="D114" s="2951"/>
      <c r="E114" s="2951"/>
      <c r="F114" s="587">
        <f>'310'!M42</f>
        <v>0</v>
      </c>
      <c r="G114" t="str">
        <f>IF(F114='310'!M42," ","Problem: Must agree to ws 310 ")</f>
        <v xml:space="preserve"> </v>
      </c>
      <c r="H114" s="629">
        <v>0</v>
      </c>
      <c r="I114" s="629">
        <v>0</v>
      </c>
      <c r="J114" s="629">
        <v>0</v>
      </c>
      <c r="K114" s="629">
        <v>0</v>
      </c>
      <c r="L114" s="629">
        <v>0</v>
      </c>
      <c r="M114" s="629">
        <v>0</v>
      </c>
      <c r="N114" s="629">
        <v>0</v>
      </c>
      <c r="O114" s="629">
        <v>0</v>
      </c>
      <c r="P114" s="629">
        <v>0</v>
      </c>
      <c r="Q114" s="629">
        <v>0</v>
      </c>
      <c r="R114" s="629">
        <v>0</v>
      </c>
      <c r="S114" s="629">
        <v>0</v>
      </c>
      <c r="T114" t="str">
        <f t="shared" si="14"/>
        <v xml:space="preserve">OK </v>
      </c>
      <c r="U114" s="1520"/>
    </row>
    <row r="115" spans="1:21" x14ac:dyDescent="0.2">
      <c r="A115" s="666">
        <v>1730</v>
      </c>
      <c r="B115" s="2881" t="s">
        <v>2703</v>
      </c>
      <c r="C115" s="2881"/>
      <c r="D115" s="2881"/>
      <c r="E115" s="2881"/>
      <c r="F115" s="587">
        <f>'530'!H32</f>
        <v>0</v>
      </c>
      <c r="G115" t="str">
        <f>IF(F115='530'!H32," ","Problem: Must agree to ws 530 Due to St of NC Comp Unit")</f>
        <v xml:space="preserve"> </v>
      </c>
      <c r="H115" s="629">
        <v>0</v>
      </c>
      <c r="I115" s="629">
        <v>0</v>
      </c>
      <c r="J115" s="629">
        <v>0</v>
      </c>
      <c r="K115" s="629">
        <v>0</v>
      </c>
      <c r="L115" s="629">
        <v>0</v>
      </c>
      <c r="M115" s="629">
        <v>0</v>
      </c>
      <c r="N115" s="629">
        <v>0</v>
      </c>
      <c r="O115" s="629">
        <v>0</v>
      </c>
      <c r="P115" s="629">
        <v>0</v>
      </c>
      <c r="Q115" s="629">
        <v>0</v>
      </c>
      <c r="R115" s="629">
        <v>0</v>
      </c>
      <c r="S115" s="629">
        <v>0</v>
      </c>
      <c r="T115" t="str">
        <f t="shared" si="14"/>
        <v xml:space="preserve">OK </v>
      </c>
      <c r="U115" s="1523">
        <v>21260000</v>
      </c>
    </row>
    <row r="116" spans="1:21" x14ac:dyDescent="0.2">
      <c r="A116" s="666">
        <v>1735</v>
      </c>
      <c r="B116" s="2881" t="s">
        <v>4627</v>
      </c>
      <c r="C116" s="2881"/>
      <c r="D116" s="2881"/>
      <c r="E116" s="2881"/>
      <c r="F116" s="587">
        <f>'616'!D47</f>
        <v>0</v>
      </c>
      <c r="G116" s="159"/>
      <c r="H116" s="629">
        <v>0</v>
      </c>
      <c r="I116" s="629">
        <v>0</v>
      </c>
      <c r="J116" s="629">
        <v>0</v>
      </c>
      <c r="K116" s="629">
        <v>0</v>
      </c>
      <c r="L116" s="629">
        <v>0</v>
      </c>
      <c r="M116" s="629">
        <v>0</v>
      </c>
      <c r="N116" s="629">
        <v>0</v>
      </c>
      <c r="O116" s="629">
        <v>0</v>
      </c>
      <c r="P116" s="629">
        <v>0</v>
      </c>
      <c r="Q116" s="629">
        <v>0</v>
      </c>
      <c r="R116" s="629">
        <v>0</v>
      </c>
      <c r="S116" s="629">
        <v>0</v>
      </c>
      <c r="T116" t="str">
        <f t="shared" si="14"/>
        <v xml:space="preserve">OK </v>
      </c>
      <c r="U116" s="1520">
        <v>21270000</v>
      </c>
    </row>
    <row r="117" spans="1:21" x14ac:dyDescent="0.2">
      <c r="A117" s="666">
        <v>1740</v>
      </c>
      <c r="B117" s="2881" t="s">
        <v>2705</v>
      </c>
      <c r="C117" s="2881"/>
      <c r="D117" s="2881"/>
      <c r="E117" s="2881"/>
      <c r="F117" s="587">
        <f>'520'!H32</f>
        <v>0</v>
      </c>
      <c r="G117" t="str">
        <f>IF(F117='520'!H32," ","Problem: Must agree to ws 520 Due to Primary Govt")</f>
        <v xml:space="preserve"> </v>
      </c>
      <c r="H117" s="629">
        <v>0</v>
      </c>
      <c r="I117" s="629">
        <v>0</v>
      </c>
      <c r="J117" s="629">
        <v>0</v>
      </c>
      <c r="K117" s="629">
        <v>0</v>
      </c>
      <c r="L117" s="629">
        <v>0</v>
      </c>
      <c r="M117" s="629">
        <v>0</v>
      </c>
      <c r="N117" s="629">
        <v>0</v>
      </c>
      <c r="O117" s="629">
        <v>0</v>
      </c>
      <c r="P117" s="629">
        <v>0</v>
      </c>
      <c r="Q117" s="629">
        <v>0</v>
      </c>
      <c r="R117" s="629">
        <v>0</v>
      </c>
      <c r="S117" s="629">
        <v>0</v>
      </c>
      <c r="T117" t="str">
        <f t="shared" si="14"/>
        <v xml:space="preserve">OK </v>
      </c>
      <c r="U117" s="1523">
        <v>21250000</v>
      </c>
    </row>
    <row r="118" spans="1:21" x14ac:dyDescent="0.2">
      <c r="A118" s="191">
        <v>1890</v>
      </c>
      <c r="B118" s="2881" t="s">
        <v>2706</v>
      </c>
      <c r="C118" s="2881"/>
      <c r="D118" s="2881"/>
      <c r="E118" s="2881"/>
      <c r="F118" s="365">
        <f t="shared" ref="F118:F123" si="15">SUM(H118:S118)</f>
        <v>0</v>
      </c>
      <c r="H118" s="372">
        <v>0</v>
      </c>
      <c r="I118" s="372">
        <v>0</v>
      </c>
      <c r="J118" s="372">
        <v>0</v>
      </c>
      <c r="K118" s="372">
        <v>0</v>
      </c>
      <c r="L118" s="372">
        <v>0</v>
      </c>
      <c r="M118" s="372">
        <v>0</v>
      </c>
      <c r="N118" s="372">
        <v>0</v>
      </c>
      <c r="O118" s="372">
        <v>0</v>
      </c>
      <c r="P118" s="372">
        <v>0</v>
      </c>
      <c r="Q118" s="372">
        <v>0</v>
      </c>
      <c r="R118" s="372">
        <v>0</v>
      </c>
      <c r="S118" s="372">
        <v>0</v>
      </c>
      <c r="U118" s="1520">
        <v>21811000</v>
      </c>
    </row>
    <row r="119" spans="1:21" x14ac:dyDescent="0.2">
      <c r="A119" s="191">
        <v>1750</v>
      </c>
      <c r="B119" s="2881" t="s">
        <v>2707</v>
      </c>
      <c r="C119" s="2881"/>
      <c r="D119" s="2881"/>
      <c r="E119" s="2881"/>
      <c r="F119" s="365">
        <f t="shared" si="15"/>
        <v>0</v>
      </c>
      <c r="H119" s="372">
        <v>0</v>
      </c>
      <c r="I119" s="372">
        <v>0</v>
      </c>
      <c r="J119" s="372">
        <v>0</v>
      </c>
      <c r="K119" s="372">
        <v>0</v>
      </c>
      <c r="L119" s="372">
        <v>0</v>
      </c>
      <c r="M119" s="372">
        <v>0</v>
      </c>
      <c r="N119" s="372">
        <v>0</v>
      </c>
      <c r="O119" s="372">
        <v>0</v>
      </c>
      <c r="P119" s="372">
        <v>0</v>
      </c>
      <c r="Q119" s="372">
        <v>0</v>
      </c>
      <c r="R119" s="372">
        <v>0</v>
      </c>
      <c r="S119" s="372">
        <v>0</v>
      </c>
      <c r="U119" s="1520">
        <v>21310000</v>
      </c>
    </row>
    <row r="120" spans="1:21" x14ac:dyDescent="0.2">
      <c r="A120" s="191">
        <v>1760</v>
      </c>
      <c r="B120" s="2881" t="s">
        <v>2708</v>
      </c>
      <c r="C120" s="2881"/>
      <c r="D120" s="2881"/>
      <c r="E120" s="2881"/>
      <c r="F120" s="365">
        <f t="shared" si="15"/>
        <v>0</v>
      </c>
      <c r="G120" s="486"/>
      <c r="H120" s="372">
        <v>0</v>
      </c>
      <c r="I120" s="372">
        <v>0</v>
      </c>
      <c r="J120" s="372">
        <v>0</v>
      </c>
      <c r="K120" s="372">
        <v>0</v>
      </c>
      <c r="L120" s="372">
        <v>0</v>
      </c>
      <c r="M120" s="372">
        <v>0</v>
      </c>
      <c r="N120" s="372">
        <v>0</v>
      </c>
      <c r="O120" s="372">
        <v>0</v>
      </c>
      <c r="P120" s="372">
        <v>0</v>
      </c>
      <c r="Q120" s="372">
        <v>0</v>
      </c>
      <c r="R120" s="372">
        <v>0</v>
      </c>
      <c r="S120" s="372">
        <v>0</v>
      </c>
      <c r="U120" s="1520">
        <v>21315000</v>
      </c>
    </row>
    <row r="121" spans="1:21" x14ac:dyDescent="0.2">
      <c r="A121" s="191">
        <v>1870</v>
      </c>
      <c r="B121" s="2881" t="s">
        <v>2709</v>
      </c>
      <c r="C121" s="2881"/>
      <c r="D121" s="2881"/>
      <c r="E121" s="2881"/>
      <c r="F121" s="365">
        <f t="shared" si="15"/>
        <v>0</v>
      </c>
      <c r="H121" s="372">
        <v>0</v>
      </c>
      <c r="I121" s="372">
        <v>0</v>
      </c>
      <c r="J121" s="372">
        <v>0</v>
      </c>
      <c r="K121" s="372">
        <v>0</v>
      </c>
      <c r="L121" s="372">
        <v>0</v>
      </c>
      <c r="M121" s="372">
        <v>0</v>
      </c>
      <c r="N121" s="372">
        <v>0</v>
      </c>
      <c r="O121" s="372">
        <v>0</v>
      </c>
      <c r="P121" s="372">
        <v>0</v>
      </c>
      <c r="Q121" s="372">
        <v>0</v>
      </c>
      <c r="R121" s="372">
        <v>0</v>
      </c>
      <c r="S121" s="372">
        <v>0</v>
      </c>
      <c r="U121" s="1520">
        <v>21712000</v>
      </c>
    </row>
    <row r="122" spans="1:21" x14ac:dyDescent="0.2">
      <c r="A122" s="191">
        <v>1880</v>
      </c>
      <c r="B122" s="2881" t="s">
        <v>2710</v>
      </c>
      <c r="C122" s="2881"/>
      <c r="D122" s="2881"/>
      <c r="E122" s="2881"/>
      <c r="F122" s="365">
        <f t="shared" si="15"/>
        <v>0</v>
      </c>
      <c r="G122" s="191"/>
      <c r="H122" s="372">
        <v>0</v>
      </c>
      <c r="I122" s="372">
        <v>0</v>
      </c>
      <c r="J122" s="372">
        <v>0</v>
      </c>
      <c r="K122" s="372">
        <v>0</v>
      </c>
      <c r="L122" s="372">
        <v>0</v>
      </c>
      <c r="M122" s="372">
        <v>0</v>
      </c>
      <c r="N122" s="372">
        <v>0</v>
      </c>
      <c r="O122" s="372">
        <v>0</v>
      </c>
      <c r="P122" s="372">
        <v>0</v>
      </c>
      <c r="Q122" s="372">
        <v>0</v>
      </c>
      <c r="R122" s="372">
        <v>0</v>
      </c>
      <c r="S122" s="372">
        <v>0</v>
      </c>
      <c r="U122" s="1520">
        <v>21719000</v>
      </c>
    </row>
    <row r="123" spans="1:21" x14ac:dyDescent="0.2">
      <c r="A123" s="191">
        <v>1762</v>
      </c>
      <c r="B123" s="2881" t="s">
        <v>2711</v>
      </c>
      <c r="C123" s="2881"/>
      <c r="D123" s="2881"/>
      <c r="E123" s="2881"/>
      <c r="F123" s="365">
        <f t="shared" si="15"/>
        <v>0</v>
      </c>
      <c r="H123" s="372">
        <v>0</v>
      </c>
      <c r="I123" s="372">
        <v>0</v>
      </c>
      <c r="J123" s="372">
        <v>0</v>
      </c>
      <c r="K123" s="372">
        <v>0</v>
      </c>
      <c r="L123" s="372">
        <v>0</v>
      </c>
      <c r="M123" s="372">
        <v>0</v>
      </c>
      <c r="N123" s="372">
        <v>0</v>
      </c>
      <c r="O123" s="372">
        <v>0</v>
      </c>
      <c r="P123" s="372">
        <v>0</v>
      </c>
      <c r="Q123" s="372">
        <v>0</v>
      </c>
      <c r="R123" s="372">
        <v>0</v>
      </c>
      <c r="S123" s="372">
        <v>0</v>
      </c>
      <c r="U123" s="1520">
        <v>21920000</v>
      </c>
    </row>
    <row r="124" spans="1:21" x14ac:dyDescent="0.2">
      <c r="A124" s="666">
        <v>1775</v>
      </c>
      <c r="B124" s="2881" t="s">
        <v>2712</v>
      </c>
      <c r="C124" s="2881"/>
      <c r="D124" s="2881"/>
      <c r="E124" s="2881"/>
      <c r="F124" s="587">
        <f>'310'!O26</f>
        <v>0</v>
      </c>
      <c r="G124" t="str">
        <f>IF(F124='310'!O26," ","Problem: Must agree to ws 310 Direct borrowings Due within one year")</f>
        <v xml:space="preserve"> </v>
      </c>
      <c r="H124" s="629">
        <v>0</v>
      </c>
      <c r="I124" s="629">
        <v>0</v>
      </c>
      <c r="J124" s="629">
        <v>0</v>
      </c>
      <c r="K124" s="629">
        <v>0</v>
      </c>
      <c r="L124" s="629">
        <v>0</v>
      </c>
      <c r="M124" s="629">
        <v>0</v>
      </c>
      <c r="N124" s="629">
        <v>0</v>
      </c>
      <c r="O124" s="629">
        <v>0</v>
      </c>
      <c r="P124" s="629">
        <v>0</v>
      </c>
      <c r="Q124" s="629">
        <v>0</v>
      </c>
      <c r="R124" s="629">
        <v>0</v>
      </c>
      <c r="S124" s="629">
        <v>0</v>
      </c>
      <c r="T124" t="str">
        <f t="shared" ref="T124:T137" si="16">IF(SUM(H124:S124)=F124,"OK ","Problem: sum of amts keyed for each agency in col H through S must tie to total on combined worksheet")</f>
        <v xml:space="preserve">OK </v>
      </c>
      <c r="U124" s="1520"/>
    </row>
    <row r="125" spans="1:21" x14ac:dyDescent="0.2">
      <c r="A125" s="2075">
        <v>1780</v>
      </c>
      <c r="B125" s="2946" t="s">
        <v>2713</v>
      </c>
      <c r="C125" s="2946"/>
      <c r="D125" s="2946"/>
      <c r="E125" s="2946"/>
      <c r="F125" s="587">
        <f>'310'!O27</f>
        <v>0</v>
      </c>
      <c r="G125" t="str">
        <f>IF(F125='310'!O27," ","Problem: Must agree to ws 310 Capital leases payable Due within one year")</f>
        <v xml:space="preserve"> </v>
      </c>
      <c r="H125" s="629">
        <v>0</v>
      </c>
      <c r="I125" s="629">
        <v>0</v>
      </c>
      <c r="J125" s="629">
        <v>0</v>
      </c>
      <c r="K125" s="629">
        <v>0</v>
      </c>
      <c r="L125" s="629">
        <v>0</v>
      </c>
      <c r="M125" s="629">
        <v>0</v>
      </c>
      <c r="N125" s="629">
        <v>0</v>
      </c>
      <c r="O125" s="629">
        <v>0</v>
      </c>
      <c r="P125" s="629">
        <v>0</v>
      </c>
      <c r="Q125" s="629">
        <v>0</v>
      </c>
      <c r="R125" s="629">
        <v>0</v>
      </c>
      <c r="S125" s="629">
        <v>0</v>
      </c>
      <c r="T125" t="str">
        <f t="shared" si="16"/>
        <v xml:space="preserve">OK </v>
      </c>
      <c r="U125" s="1520"/>
    </row>
    <row r="126" spans="1:21" x14ac:dyDescent="0.2">
      <c r="A126" s="2075">
        <v>1785</v>
      </c>
      <c r="B126" s="2945" t="s">
        <v>2715</v>
      </c>
      <c r="C126" s="2945"/>
      <c r="D126" s="2945"/>
      <c r="E126" s="2945"/>
      <c r="F126" s="587">
        <f>'310'!O28</f>
        <v>0</v>
      </c>
      <c r="H126" s="629">
        <v>0</v>
      </c>
      <c r="I126" s="629">
        <v>0</v>
      </c>
      <c r="J126" s="629">
        <v>0</v>
      </c>
      <c r="K126" s="629">
        <v>0</v>
      </c>
      <c r="L126" s="629">
        <v>0</v>
      </c>
      <c r="M126" s="629">
        <v>0</v>
      </c>
      <c r="N126" s="629">
        <v>0</v>
      </c>
      <c r="O126" s="629">
        <v>0</v>
      </c>
      <c r="P126" s="629">
        <v>0</v>
      </c>
      <c r="Q126" s="629">
        <v>0</v>
      </c>
      <c r="R126" s="629">
        <v>0</v>
      </c>
      <c r="S126" s="629">
        <v>0</v>
      </c>
      <c r="T126" t="str">
        <f t="shared" si="16"/>
        <v xml:space="preserve">OK </v>
      </c>
      <c r="U126" s="1520"/>
    </row>
    <row r="127" spans="1:21" x14ac:dyDescent="0.2">
      <c r="A127" s="666">
        <v>1800</v>
      </c>
      <c r="B127" s="2881" t="s">
        <v>2716</v>
      </c>
      <c r="C127" s="2881"/>
      <c r="D127" s="2881"/>
      <c r="E127" s="2881"/>
      <c r="F127" s="587">
        <f>SUM('310'!O17+'310'!O18+'310'!O19+'310'!O20+'310'!O21)</f>
        <v>0</v>
      </c>
      <c r="G127" t="str">
        <f>IF(F127='310'!O17+'310'!O18+'310'!O19+'310'!O20+'310'!O21," ","Problem: Must agree to ws 310 Sum of Bonds &amp; COPS payable Due within one year")</f>
        <v xml:space="preserve"> </v>
      </c>
      <c r="H127" s="629">
        <v>0</v>
      </c>
      <c r="I127" s="629">
        <v>0</v>
      </c>
      <c r="J127" s="629">
        <v>0</v>
      </c>
      <c r="K127" s="629">
        <v>0</v>
      </c>
      <c r="L127" s="629">
        <v>0</v>
      </c>
      <c r="M127" s="629">
        <v>0</v>
      </c>
      <c r="N127" s="629">
        <v>0</v>
      </c>
      <c r="O127" s="629">
        <v>0</v>
      </c>
      <c r="P127" s="629">
        <v>0</v>
      </c>
      <c r="Q127" s="629">
        <v>0</v>
      </c>
      <c r="R127" s="629">
        <v>0</v>
      </c>
      <c r="S127" s="629">
        <v>0</v>
      </c>
      <c r="T127" t="str">
        <f t="shared" si="16"/>
        <v xml:space="preserve">OK </v>
      </c>
      <c r="U127" s="1520"/>
    </row>
    <row r="128" spans="1:21" x14ac:dyDescent="0.2">
      <c r="A128" s="666">
        <v>1850</v>
      </c>
      <c r="B128" s="2881" t="s">
        <v>2717</v>
      </c>
      <c r="C128" s="2881"/>
      <c r="D128" s="2881"/>
      <c r="E128" s="2881"/>
      <c r="F128" s="587">
        <f>'310'!O24</f>
        <v>0</v>
      </c>
      <c r="G128" t="str">
        <f>IF(F128='310'!O24," ","Problem: Must agree to ws 310 Arbitrage rebate payable Due within one year")</f>
        <v xml:space="preserve"> </v>
      </c>
      <c r="H128" s="629">
        <v>0</v>
      </c>
      <c r="I128" s="629">
        <v>0</v>
      </c>
      <c r="J128" s="629">
        <v>0</v>
      </c>
      <c r="K128" s="629">
        <v>0</v>
      </c>
      <c r="L128" s="629">
        <v>0</v>
      </c>
      <c r="M128" s="629">
        <v>0</v>
      </c>
      <c r="N128" s="629">
        <v>0</v>
      </c>
      <c r="O128" s="629">
        <v>0</v>
      </c>
      <c r="P128" s="629">
        <v>0</v>
      </c>
      <c r="Q128" s="629">
        <v>0</v>
      </c>
      <c r="R128" s="629">
        <v>0</v>
      </c>
      <c r="S128" s="629">
        <v>0</v>
      </c>
      <c r="T128" t="str">
        <f t="shared" si="16"/>
        <v xml:space="preserve">OK </v>
      </c>
      <c r="U128" s="1520"/>
    </row>
    <row r="129" spans="1:21" x14ac:dyDescent="0.2">
      <c r="A129" s="666">
        <v>1851</v>
      </c>
      <c r="B129" s="2881" t="s">
        <v>2718</v>
      </c>
      <c r="C129" s="2881"/>
      <c r="D129" s="2881"/>
      <c r="E129" s="2881"/>
      <c r="F129" s="587">
        <f>'310'!O25</f>
        <v>0</v>
      </c>
      <c r="G129" t="str">
        <f>IF(F129='310'!O25," ","Problem: Must agree to ws 310 Workers Comp payable Due within one year")</f>
        <v xml:space="preserve"> </v>
      </c>
      <c r="H129" s="629">
        <v>0</v>
      </c>
      <c r="I129" s="629">
        <v>0</v>
      </c>
      <c r="J129" s="629">
        <v>0</v>
      </c>
      <c r="K129" s="629">
        <v>0</v>
      </c>
      <c r="L129" s="629">
        <v>0</v>
      </c>
      <c r="M129" s="629">
        <v>0</v>
      </c>
      <c r="N129" s="629">
        <v>0</v>
      </c>
      <c r="O129" s="629">
        <v>0</v>
      </c>
      <c r="P129" s="629">
        <v>0</v>
      </c>
      <c r="Q129" s="629">
        <v>0</v>
      </c>
      <c r="R129" s="629">
        <v>0</v>
      </c>
      <c r="S129" s="629">
        <v>0</v>
      </c>
      <c r="T129" t="str">
        <f>IF(SUM(H129:S129)=F129,"OK ","Problem: sum of amts keyed for each agency in col H through S must tie to total on combined worksheet")</f>
        <v xml:space="preserve">OK </v>
      </c>
      <c r="U129" s="1520"/>
    </row>
    <row r="130" spans="1:21" x14ac:dyDescent="0.2">
      <c r="A130" s="666">
        <v>1786</v>
      </c>
      <c r="B130" s="2881" t="s">
        <v>2719</v>
      </c>
      <c r="C130" s="2881"/>
      <c r="D130" s="2881"/>
      <c r="E130" s="2881"/>
      <c r="F130" s="587">
        <f>'310'!O29</f>
        <v>0</v>
      </c>
      <c r="G130" t="str">
        <f>IF(F130='310'!O29," ","Problem: Must agree to ws 310 Annuity and life income payable Due within one year")</f>
        <v xml:space="preserve"> </v>
      </c>
      <c r="H130" s="629">
        <v>0</v>
      </c>
      <c r="I130" s="629">
        <v>0</v>
      </c>
      <c r="J130" s="629">
        <v>0</v>
      </c>
      <c r="K130" s="629">
        <v>0</v>
      </c>
      <c r="L130" s="629">
        <v>0</v>
      </c>
      <c r="M130" s="629">
        <v>0</v>
      </c>
      <c r="N130" s="629">
        <v>0</v>
      </c>
      <c r="O130" s="629">
        <v>0</v>
      </c>
      <c r="P130" s="629">
        <v>0</v>
      </c>
      <c r="Q130" s="629">
        <v>0</v>
      </c>
      <c r="R130" s="629">
        <v>0</v>
      </c>
      <c r="S130" s="629">
        <v>0</v>
      </c>
      <c r="T130" t="str">
        <f t="shared" si="16"/>
        <v xml:space="preserve">OK </v>
      </c>
      <c r="U130" s="1520"/>
    </row>
    <row r="131" spans="1:21" x14ac:dyDescent="0.2">
      <c r="A131" s="666">
        <v>1855</v>
      </c>
      <c r="B131" s="2881" t="s">
        <v>2720</v>
      </c>
      <c r="C131" s="2881"/>
      <c r="D131" s="2881"/>
      <c r="E131" s="2881"/>
      <c r="F131" s="587">
        <f>'310'!O31</f>
        <v>0</v>
      </c>
      <c r="G131" t="str">
        <f>IF(F131='310'!O31," ","Problem: Must agree to ws 310 Pollution remediation payable Due within one year")</f>
        <v xml:space="preserve"> </v>
      </c>
      <c r="H131" s="629">
        <v>0</v>
      </c>
      <c r="I131" s="629">
        <v>0</v>
      </c>
      <c r="J131" s="629">
        <v>0</v>
      </c>
      <c r="K131" s="629">
        <v>0</v>
      </c>
      <c r="L131" s="629">
        <v>0</v>
      </c>
      <c r="M131" s="629">
        <v>0</v>
      </c>
      <c r="N131" s="629">
        <v>0</v>
      </c>
      <c r="O131" s="629">
        <v>0</v>
      </c>
      <c r="P131" s="629">
        <v>0</v>
      </c>
      <c r="Q131" s="629">
        <v>0</v>
      </c>
      <c r="R131" s="629">
        <v>0</v>
      </c>
      <c r="S131" s="629">
        <v>0</v>
      </c>
      <c r="T131" t="str">
        <f t="shared" si="16"/>
        <v xml:space="preserve">OK </v>
      </c>
      <c r="U131" s="1520"/>
    </row>
    <row r="132" spans="1:21" x14ac:dyDescent="0.2">
      <c r="A132" s="666">
        <v>1857</v>
      </c>
      <c r="B132" s="2881" t="s">
        <v>4628</v>
      </c>
      <c r="C132" s="2881"/>
      <c r="D132" s="2881"/>
      <c r="E132" s="2881"/>
      <c r="F132" s="587">
        <f>'310'!O32</f>
        <v>0</v>
      </c>
      <c r="G132" t="str">
        <f>IF(F132='310'!O32," ","Problem: Must agree to ws 310 Pollution remediation payable Due within one year")</f>
        <v xml:space="preserve"> </v>
      </c>
      <c r="H132" s="629">
        <v>0</v>
      </c>
      <c r="I132" s="629">
        <v>0</v>
      </c>
      <c r="J132" s="629">
        <v>0</v>
      </c>
      <c r="K132" s="629">
        <v>0</v>
      </c>
      <c r="L132" s="629">
        <v>0</v>
      </c>
      <c r="M132" s="629">
        <v>0</v>
      </c>
      <c r="N132" s="629">
        <v>0</v>
      </c>
      <c r="O132" s="629">
        <v>0</v>
      </c>
      <c r="P132" s="629">
        <v>0</v>
      </c>
      <c r="Q132" s="629">
        <v>0</v>
      </c>
      <c r="R132" s="629">
        <v>0</v>
      </c>
      <c r="S132" s="629">
        <v>0</v>
      </c>
      <c r="T132" t="str">
        <f>IF(SUM(H132:S132)=F132,"OK ","Problem: sum of amts keyed for each agency in col H through S must tie to total on combined worksheet")</f>
        <v xml:space="preserve">OK </v>
      </c>
      <c r="U132" s="1520"/>
    </row>
    <row r="133" spans="1:21" x14ac:dyDescent="0.2">
      <c r="A133" s="666">
        <v>1860</v>
      </c>
      <c r="B133" s="2881" t="s">
        <v>2722</v>
      </c>
      <c r="C133" s="2881"/>
      <c r="D133" s="2881"/>
      <c r="E133" s="2881"/>
      <c r="F133" s="587">
        <f>'310'!O33</f>
        <v>0</v>
      </c>
      <c r="G133" t="str">
        <f>IF(F133='310'!O33," ","Problem: Must agree to ws 310 Compensated absences Due within one year")</f>
        <v xml:space="preserve"> </v>
      </c>
      <c r="H133" s="629">
        <v>0</v>
      </c>
      <c r="I133" s="629">
        <v>0</v>
      </c>
      <c r="J133" s="629">
        <v>0</v>
      </c>
      <c r="K133" s="629">
        <v>0</v>
      </c>
      <c r="L133" s="629">
        <v>0</v>
      </c>
      <c r="M133" s="629">
        <v>0</v>
      </c>
      <c r="N133" s="629">
        <v>0</v>
      </c>
      <c r="O133" s="629">
        <v>0</v>
      </c>
      <c r="P133" s="629">
        <v>0</v>
      </c>
      <c r="Q133" s="629">
        <v>0</v>
      </c>
      <c r="R133" s="629">
        <v>0</v>
      </c>
      <c r="S133" s="629">
        <v>0</v>
      </c>
      <c r="T133" t="str">
        <f t="shared" si="16"/>
        <v xml:space="preserve">OK </v>
      </c>
      <c r="U133" s="1520"/>
    </row>
    <row r="134" spans="1:21" x14ac:dyDescent="0.2">
      <c r="A134" s="666">
        <v>1868</v>
      </c>
      <c r="B134" s="2881" t="s">
        <v>2723</v>
      </c>
      <c r="C134" s="2881"/>
      <c r="D134" s="2881"/>
      <c r="E134" s="2881"/>
      <c r="F134" s="587">
        <f>'310'!O34</f>
        <v>0</v>
      </c>
      <c r="G134" t="str">
        <f>IF(F134='310'!O34," ","Problem: Must agree to ws 310 Net Pension Liability Due within one year")</f>
        <v xml:space="preserve"> </v>
      </c>
      <c r="H134" s="629">
        <v>0</v>
      </c>
      <c r="I134" s="629">
        <v>0</v>
      </c>
      <c r="J134" s="629">
        <v>0</v>
      </c>
      <c r="K134" s="629">
        <v>0</v>
      </c>
      <c r="L134" s="629">
        <v>0</v>
      </c>
      <c r="M134" s="629">
        <v>0</v>
      </c>
      <c r="N134" s="629">
        <v>0</v>
      </c>
      <c r="O134" s="629">
        <v>0</v>
      </c>
      <c r="P134" s="629">
        <v>0</v>
      </c>
      <c r="Q134" s="629">
        <v>0</v>
      </c>
      <c r="R134" s="629">
        <v>0</v>
      </c>
      <c r="S134" s="629">
        <v>0</v>
      </c>
      <c r="T134" t="str">
        <f>IF(SUM(H134:S134)=F134,"OK ","Problem: sum of amts keyed for each agency in col H through S must tie to total on combined worksheet")</f>
        <v xml:space="preserve">OK </v>
      </c>
      <c r="U134" s="1520"/>
    </row>
    <row r="135" spans="1:21" x14ac:dyDescent="0.2">
      <c r="A135" s="666">
        <v>1869</v>
      </c>
      <c r="B135" s="2881" t="s">
        <v>2724</v>
      </c>
      <c r="C135" s="2881"/>
      <c r="D135" s="2881"/>
      <c r="E135" s="2881"/>
      <c r="F135" s="587">
        <f>'310'!O35</f>
        <v>0</v>
      </c>
      <c r="G135" t="str">
        <f>IF(F135='310'!O34," ","Problem: Must agree to ws 310 Net OPEB Liability, due within one yr")</f>
        <v xml:space="preserve"> </v>
      </c>
      <c r="H135" s="629">
        <v>0</v>
      </c>
      <c r="I135" s="629">
        <v>0</v>
      </c>
      <c r="J135" s="629">
        <v>0</v>
      </c>
      <c r="K135" s="629">
        <v>0</v>
      </c>
      <c r="L135" s="629">
        <v>0</v>
      </c>
      <c r="M135" s="629">
        <v>0</v>
      </c>
      <c r="N135" s="629">
        <v>0</v>
      </c>
      <c r="O135" s="629">
        <v>0</v>
      </c>
      <c r="P135" s="629">
        <v>0</v>
      </c>
      <c r="Q135" s="629">
        <v>0</v>
      </c>
      <c r="R135" s="629">
        <v>0</v>
      </c>
      <c r="S135" s="629">
        <v>0</v>
      </c>
      <c r="T135" t="str">
        <f>IF(SUM(H135:S135)=F135,"OK ","Problem: sum of amts keyed for each agency in col H through S must tie to total on combined worksheet")</f>
        <v xml:space="preserve">OK </v>
      </c>
      <c r="U135" s="1520"/>
    </row>
    <row r="136" spans="1:21" x14ac:dyDescent="0.2">
      <c r="A136" s="666">
        <v>1865</v>
      </c>
      <c r="B136" s="2881" t="s">
        <v>2725</v>
      </c>
      <c r="C136" s="2881"/>
      <c r="D136" s="2881"/>
      <c r="E136" s="2881"/>
      <c r="F136" s="587">
        <f>'310'!O36</f>
        <v>0</v>
      </c>
      <c r="G136" t="str">
        <f>IF(F136='310'!O36," ","Problem: Must agree to ws 310 Liab Insurance Trust Fund Payable, due within one yr")</f>
        <v xml:space="preserve"> </v>
      </c>
      <c r="H136" s="629">
        <v>0</v>
      </c>
      <c r="I136" s="629">
        <v>0</v>
      </c>
      <c r="J136" s="629">
        <v>0</v>
      </c>
      <c r="K136" s="629">
        <v>0</v>
      </c>
      <c r="L136" s="629">
        <v>0</v>
      </c>
      <c r="M136" s="629">
        <v>0</v>
      </c>
      <c r="N136" s="629">
        <v>0</v>
      </c>
      <c r="O136" s="629">
        <v>0</v>
      </c>
      <c r="P136" s="629">
        <v>0</v>
      </c>
      <c r="Q136" s="629">
        <v>0</v>
      </c>
      <c r="R136" s="629">
        <v>0</v>
      </c>
      <c r="S136" s="629">
        <v>0</v>
      </c>
      <c r="T136" t="str">
        <f t="shared" si="16"/>
        <v xml:space="preserve">OK </v>
      </c>
      <c r="U136" s="1520"/>
    </row>
    <row r="137" spans="1:21" x14ac:dyDescent="0.2">
      <c r="A137" s="666">
        <v>1866</v>
      </c>
      <c r="B137" s="2881" t="s">
        <v>2726</v>
      </c>
      <c r="C137" s="2881"/>
      <c r="D137" s="2881"/>
      <c r="E137" s="2881"/>
      <c r="F137" s="587">
        <f>'310'!O37</f>
        <v>0</v>
      </c>
      <c r="G137" t="str">
        <f>IF(F137='310'!O37," ","Problem: Must agree to ws 310 Other LT liabilities Due within one year")</f>
        <v xml:space="preserve"> </v>
      </c>
      <c r="H137" s="629">
        <v>0</v>
      </c>
      <c r="I137" s="629">
        <v>0</v>
      </c>
      <c r="J137" s="629">
        <v>0</v>
      </c>
      <c r="K137" s="629">
        <v>0</v>
      </c>
      <c r="L137" s="629">
        <v>0</v>
      </c>
      <c r="M137" s="629">
        <v>0</v>
      </c>
      <c r="N137" s="629">
        <v>0</v>
      </c>
      <c r="O137" s="629">
        <v>0</v>
      </c>
      <c r="P137" s="629">
        <v>0</v>
      </c>
      <c r="Q137" s="629">
        <v>0</v>
      </c>
      <c r="R137" s="629">
        <v>0</v>
      </c>
      <c r="S137" s="629">
        <v>0</v>
      </c>
      <c r="T137" t="str">
        <f t="shared" si="16"/>
        <v xml:space="preserve">OK </v>
      </c>
      <c r="U137" s="1520"/>
    </row>
    <row r="138" spans="1:21" x14ac:dyDescent="0.2">
      <c r="B138" s="2952" t="s">
        <v>2727</v>
      </c>
      <c r="C138" s="2952"/>
      <c r="D138" s="2952"/>
      <c r="E138" s="2952"/>
      <c r="F138" s="374">
        <f>SUM(F104:F137)</f>
        <v>0</v>
      </c>
      <c r="H138" s="374">
        <f t="shared" ref="H138:S138" si="17">SUM(H104:H137)</f>
        <v>0</v>
      </c>
      <c r="I138" s="374">
        <f t="shared" si="17"/>
        <v>0</v>
      </c>
      <c r="J138" s="374">
        <f t="shared" si="17"/>
        <v>0</v>
      </c>
      <c r="K138" s="374">
        <f t="shared" si="17"/>
        <v>0</v>
      </c>
      <c r="L138" s="374">
        <f t="shared" si="17"/>
        <v>0</v>
      </c>
      <c r="M138" s="374">
        <f t="shared" si="17"/>
        <v>0</v>
      </c>
      <c r="N138" s="374">
        <f t="shared" si="17"/>
        <v>0</v>
      </c>
      <c r="O138" s="374">
        <f t="shared" si="17"/>
        <v>0</v>
      </c>
      <c r="P138" s="374">
        <f t="shared" si="17"/>
        <v>0</v>
      </c>
      <c r="Q138" s="374">
        <f t="shared" si="17"/>
        <v>0</v>
      </c>
      <c r="R138" s="374">
        <f t="shared" si="17"/>
        <v>0</v>
      </c>
      <c r="S138" s="374">
        <f t="shared" si="17"/>
        <v>0</v>
      </c>
      <c r="T138" t="str">
        <f>IF(SUM(H138:S138)=F138,"OK ","Crossfoot error: sum of Col H thru S must equal total in Col F")</f>
        <v xml:space="preserve">OK </v>
      </c>
      <c r="U138" s="1520"/>
    </row>
    <row r="139" spans="1:21" x14ac:dyDescent="0.2">
      <c r="U139" s="1520"/>
    </row>
    <row r="140" spans="1:21" x14ac:dyDescent="0.2">
      <c r="B140" s="234" t="s">
        <v>2728</v>
      </c>
      <c r="U140" s="1520"/>
    </row>
    <row r="141" spans="1:21" x14ac:dyDescent="0.2">
      <c r="A141" s="191"/>
      <c r="B141" s="191" t="s">
        <v>2691</v>
      </c>
      <c r="C141" s="191"/>
      <c r="U141" s="1520"/>
    </row>
    <row r="142" spans="1:21" x14ac:dyDescent="0.2">
      <c r="A142" s="191">
        <v>1940</v>
      </c>
      <c r="B142" s="2951" t="s">
        <v>2729</v>
      </c>
      <c r="C142" s="2951"/>
      <c r="D142" s="2951"/>
      <c r="E142" s="2951"/>
      <c r="F142" s="365">
        <f>SUM(H142:S142)</f>
        <v>0</v>
      </c>
      <c r="G142" s="159"/>
      <c r="H142" s="372">
        <v>0</v>
      </c>
      <c r="I142" s="372">
        <v>0</v>
      </c>
      <c r="J142" s="372">
        <v>0</v>
      </c>
      <c r="K142" s="372">
        <v>0</v>
      </c>
      <c r="L142" s="372">
        <v>0</v>
      </c>
      <c r="M142" s="372">
        <v>0</v>
      </c>
      <c r="N142" s="372">
        <v>0</v>
      </c>
      <c r="O142" s="372">
        <v>0</v>
      </c>
      <c r="P142" s="372">
        <v>0</v>
      </c>
      <c r="Q142" s="372">
        <v>0</v>
      </c>
      <c r="R142" s="372">
        <v>0</v>
      </c>
      <c r="S142" s="372">
        <v>0</v>
      </c>
      <c r="U142" s="1463">
        <v>22110000</v>
      </c>
    </row>
    <row r="143" spans="1:21" x14ac:dyDescent="0.2">
      <c r="A143" s="191">
        <v>1950</v>
      </c>
      <c r="B143" s="2951" t="s">
        <v>2694</v>
      </c>
      <c r="C143" s="2951"/>
      <c r="D143" s="2951"/>
      <c r="E143" s="2951"/>
      <c r="F143" s="365">
        <f>SUM(H143:S143)</f>
        <v>0</v>
      </c>
      <c r="H143" s="372">
        <v>0</v>
      </c>
      <c r="I143" s="372">
        <v>0</v>
      </c>
      <c r="J143" s="372">
        <v>0</v>
      </c>
      <c r="K143" s="372">
        <v>0</v>
      </c>
      <c r="L143" s="372">
        <v>0</v>
      </c>
      <c r="M143" s="372">
        <v>0</v>
      </c>
      <c r="N143" s="372">
        <v>0</v>
      </c>
      <c r="O143" s="372">
        <v>0</v>
      </c>
      <c r="P143" s="372">
        <v>0</v>
      </c>
      <c r="Q143" s="372">
        <v>0</v>
      </c>
      <c r="R143" s="372">
        <v>0</v>
      </c>
      <c r="S143" s="372">
        <v>0</v>
      </c>
      <c r="U143" s="1463">
        <v>22132000</v>
      </c>
    </row>
    <row r="144" spans="1:21" x14ac:dyDescent="0.2">
      <c r="A144" s="191">
        <v>1960</v>
      </c>
      <c r="B144" s="2951" t="s">
        <v>2695</v>
      </c>
      <c r="C144" s="2951"/>
      <c r="D144" s="2951"/>
      <c r="E144" s="2951"/>
      <c r="F144" s="365">
        <f>SUM(H144:S144)</f>
        <v>0</v>
      </c>
      <c r="H144" s="372">
        <v>0</v>
      </c>
      <c r="I144" s="372">
        <v>0</v>
      </c>
      <c r="J144" s="372">
        <v>0</v>
      </c>
      <c r="K144" s="372">
        <v>0</v>
      </c>
      <c r="L144" s="372">
        <v>0</v>
      </c>
      <c r="M144" s="372">
        <v>0</v>
      </c>
      <c r="N144" s="372">
        <v>0</v>
      </c>
      <c r="O144" s="372">
        <v>0</v>
      </c>
      <c r="P144" s="372">
        <v>0</v>
      </c>
      <c r="Q144" s="372">
        <v>0</v>
      </c>
      <c r="R144" s="372">
        <v>0</v>
      </c>
      <c r="S144" s="372">
        <v>0</v>
      </c>
      <c r="U144" s="1463">
        <v>22529000</v>
      </c>
    </row>
    <row r="145" spans="1:21" x14ac:dyDescent="0.2">
      <c r="A145" s="666">
        <v>2020</v>
      </c>
      <c r="B145" s="2881" t="s">
        <v>2730</v>
      </c>
      <c r="C145" s="2881"/>
      <c r="D145" s="2881"/>
      <c r="E145" s="2881"/>
      <c r="F145" s="587">
        <f>'535'!H21</f>
        <v>0</v>
      </c>
      <c r="G145" t="str">
        <f>IF(F145='535'!H21," ","Problem: Must agree to ws 535 Advance from Primary Govt")</f>
        <v xml:space="preserve"> </v>
      </c>
      <c r="H145" s="629">
        <v>0</v>
      </c>
      <c r="I145" s="629">
        <v>0</v>
      </c>
      <c r="J145" s="629">
        <v>0</v>
      </c>
      <c r="K145" s="629">
        <v>0</v>
      </c>
      <c r="L145" s="629">
        <v>0</v>
      </c>
      <c r="M145" s="629">
        <v>0</v>
      </c>
      <c r="N145" s="629">
        <v>0</v>
      </c>
      <c r="O145" s="629">
        <v>0</v>
      </c>
      <c r="P145" s="629">
        <v>0</v>
      </c>
      <c r="Q145" s="629">
        <v>0</v>
      </c>
      <c r="R145" s="629">
        <v>0</v>
      </c>
      <c r="S145" s="629">
        <v>0</v>
      </c>
      <c r="T145" t="str">
        <f>IF(SUM(H145:S145)=F145,"OK ","Problem: sum of amts keyed for each agency in col H through S must tie to total on combined worksheet")</f>
        <v xml:space="preserve">OK </v>
      </c>
      <c r="U145" s="1021">
        <v>22250000</v>
      </c>
    </row>
    <row r="146" spans="1:21" x14ac:dyDescent="0.2">
      <c r="A146" s="191">
        <v>2097</v>
      </c>
      <c r="B146" s="2881" t="s">
        <v>2706</v>
      </c>
      <c r="C146" s="2881"/>
      <c r="D146" s="2881"/>
      <c r="E146" s="2881"/>
      <c r="F146" s="365">
        <f>SUM(H146:S146)</f>
        <v>0</v>
      </c>
      <c r="H146" s="372">
        <v>0</v>
      </c>
      <c r="I146" s="372">
        <v>0</v>
      </c>
      <c r="J146" s="372">
        <v>0</v>
      </c>
      <c r="K146" s="372">
        <v>0</v>
      </c>
      <c r="L146" s="372">
        <v>0</v>
      </c>
      <c r="M146" s="372">
        <v>0</v>
      </c>
      <c r="N146" s="372">
        <v>0</v>
      </c>
      <c r="O146" s="372">
        <v>0</v>
      </c>
      <c r="P146" s="372">
        <v>0</v>
      </c>
      <c r="Q146" s="372">
        <v>0</v>
      </c>
      <c r="R146" s="372">
        <v>0</v>
      </c>
      <c r="S146" s="372">
        <v>0</v>
      </c>
      <c r="U146" s="1463">
        <v>22811000</v>
      </c>
    </row>
    <row r="147" spans="1:21" x14ac:dyDescent="0.2">
      <c r="A147" s="191">
        <v>2070</v>
      </c>
      <c r="B147" s="2881" t="s">
        <v>2709</v>
      </c>
      <c r="C147" s="2881"/>
      <c r="D147" s="2881"/>
      <c r="E147" s="2881"/>
      <c r="F147" s="365">
        <f>SUM(H147:S147)</f>
        <v>0</v>
      </c>
      <c r="H147" s="372">
        <v>0</v>
      </c>
      <c r="I147" s="372">
        <v>0</v>
      </c>
      <c r="J147" s="372">
        <v>0</v>
      </c>
      <c r="K147" s="372">
        <v>0</v>
      </c>
      <c r="L147" s="372">
        <v>0</v>
      </c>
      <c r="M147" s="372">
        <v>0</v>
      </c>
      <c r="N147" s="372">
        <v>0</v>
      </c>
      <c r="O147" s="372">
        <v>0</v>
      </c>
      <c r="P147" s="372">
        <v>0</v>
      </c>
      <c r="Q147" s="372">
        <v>0</v>
      </c>
      <c r="R147" s="372">
        <v>0</v>
      </c>
      <c r="S147" s="372">
        <v>0</v>
      </c>
      <c r="U147" s="1463">
        <v>22712000</v>
      </c>
    </row>
    <row r="148" spans="1:21" x14ac:dyDescent="0.2">
      <c r="A148" s="191">
        <v>2080</v>
      </c>
      <c r="B148" s="2881" t="s">
        <v>2710</v>
      </c>
      <c r="C148" s="2881"/>
      <c r="D148" s="2881"/>
      <c r="E148" s="2881"/>
      <c r="F148" s="365">
        <f>SUM(H148:S148)</f>
        <v>0</v>
      </c>
      <c r="G148" s="191"/>
      <c r="H148" s="372">
        <v>0</v>
      </c>
      <c r="I148" s="372">
        <v>0</v>
      </c>
      <c r="J148" s="372">
        <v>0</v>
      </c>
      <c r="K148" s="372">
        <v>0</v>
      </c>
      <c r="L148" s="372">
        <v>0</v>
      </c>
      <c r="M148" s="372">
        <v>0</v>
      </c>
      <c r="N148" s="372">
        <v>0</v>
      </c>
      <c r="O148" s="372">
        <v>0</v>
      </c>
      <c r="P148" s="372">
        <v>0</v>
      </c>
      <c r="Q148" s="372">
        <v>0</v>
      </c>
      <c r="R148" s="372">
        <v>0</v>
      </c>
      <c r="S148" s="372">
        <v>0</v>
      </c>
      <c r="U148" s="1463">
        <v>22719000</v>
      </c>
    </row>
    <row r="149" spans="1:21" x14ac:dyDescent="0.2">
      <c r="A149" s="191">
        <v>2024</v>
      </c>
      <c r="B149" s="2881" t="s">
        <v>2711</v>
      </c>
      <c r="C149" s="2881"/>
      <c r="D149" s="2881"/>
      <c r="E149" s="2881"/>
      <c r="F149" s="365">
        <f>SUM(H149:S149)</f>
        <v>0</v>
      </c>
      <c r="H149" s="372">
        <v>0</v>
      </c>
      <c r="I149" s="372">
        <v>0</v>
      </c>
      <c r="J149" s="372">
        <v>0</v>
      </c>
      <c r="K149" s="372">
        <v>0</v>
      </c>
      <c r="L149" s="372">
        <v>0</v>
      </c>
      <c r="M149" s="372">
        <v>0</v>
      </c>
      <c r="N149" s="372">
        <v>0</v>
      </c>
      <c r="O149" s="372">
        <v>0</v>
      </c>
      <c r="P149" s="372">
        <v>0</v>
      </c>
      <c r="Q149" s="372">
        <v>0</v>
      </c>
      <c r="R149" s="372">
        <v>0</v>
      </c>
      <c r="S149" s="372">
        <v>0</v>
      </c>
      <c r="U149" s="1463">
        <v>22920000</v>
      </c>
    </row>
    <row r="150" spans="1:21" x14ac:dyDescent="0.2">
      <c r="A150" s="666">
        <v>2035</v>
      </c>
      <c r="B150" s="2881" t="s">
        <v>2700</v>
      </c>
      <c r="C150" s="2881"/>
      <c r="D150" s="2881"/>
      <c r="E150" s="2881"/>
      <c r="F150" s="587">
        <f>'310'!M26-'310'!O26</f>
        <v>0</v>
      </c>
      <c r="H150" s="629">
        <v>0</v>
      </c>
      <c r="I150" s="629">
        <v>0</v>
      </c>
      <c r="J150" s="629">
        <v>0</v>
      </c>
      <c r="K150" s="629">
        <v>0</v>
      </c>
      <c r="L150" s="629">
        <v>0</v>
      </c>
      <c r="M150" s="629">
        <v>0</v>
      </c>
      <c r="N150" s="629">
        <v>0</v>
      </c>
      <c r="O150" s="629">
        <v>0</v>
      </c>
      <c r="P150" s="629">
        <v>0</v>
      </c>
      <c r="Q150" s="629">
        <v>0</v>
      </c>
      <c r="R150" s="629">
        <v>0</v>
      </c>
      <c r="S150" s="629">
        <v>0</v>
      </c>
      <c r="T150" t="str">
        <f>IF(SUM(H150:S150)=F150,"OK ","Problem: sum of amts keyed for each agency in col H through S must tie to total on combined worksheet")</f>
        <v xml:space="preserve">OK </v>
      </c>
    </row>
    <row r="151" spans="1:21" x14ac:dyDescent="0.2">
      <c r="A151" s="2075">
        <v>2040</v>
      </c>
      <c r="B151" s="2946" t="s">
        <v>4629</v>
      </c>
      <c r="C151" s="2946"/>
      <c r="D151" s="2946"/>
      <c r="E151" s="2946"/>
      <c r="F151" s="587">
        <f>'310'!M27-'310'!O27</f>
        <v>0</v>
      </c>
      <c r="H151" s="629">
        <v>0</v>
      </c>
      <c r="I151" s="629">
        <v>0</v>
      </c>
      <c r="J151" s="629">
        <v>0</v>
      </c>
      <c r="K151" s="629">
        <v>0</v>
      </c>
      <c r="L151" s="629">
        <v>0</v>
      </c>
      <c r="M151" s="629">
        <v>0</v>
      </c>
      <c r="N151" s="629">
        <v>0</v>
      </c>
      <c r="O151" s="629">
        <v>0</v>
      </c>
      <c r="P151" s="629">
        <v>0</v>
      </c>
      <c r="Q151" s="629">
        <v>0</v>
      </c>
      <c r="R151" s="629">
        <v>0</v>
      </c>
      <c r="S151" s="629">
        <v>0</v>
      </c>
      <c r="T151" t="str">
        <f t="shared" ref="T151:T163" si="18">IF(SUM(H151:S151)=F151,"OK ","Problem: sum of amts keyed for each agency in col H through S must tie to total on combined worksheet")</f>
        <v xml:space="preserve">OK </v>
      </c>
      <c r="U151" s="1520"/>
    </row>
    <row r="152" spans="1:21" x14ac:dyDescent="0.2">
      <c r="A152" s="2075">
        <v>2046</v>
      </c>
      <c r="B152" s="2948" t="s">
        <v>2733</v>
      </c>
      <c r="C152" s="2948"/>
      <c r="D152" s="2948"/>
      <c r="E152" s="2948"/>
      <c r="F152" s="587">
        <f>'310'!M28-'310'!O28</f>
        <v>0</v>
      </c>
      <c r="H152" s="629">
        <v>0</v>
      </c>
      <c r="I152" s="629">
        <v>0</v>
      </c>
      <c r="J152" s="629">
        <v>0</v>
      </c>
      <c r="K152" s="629">
        <v>0</v>
      </c>
      <c r="L152" s="629">
        <v>0</v>
      </c>
      <c r="M152" s="629">
        <v>0</v>
      </c>
      <c r="N152" s="629">
        <v>0</v>
      </c>
      <c r="O152" s="629">
        <v>0</v>
      </c>
      <c r="P152" s="629">
        <v>0</v>
      </c>
      <c r="Q152" s="629">
        <v>0</v>
      </c>
      <c r="R152" s="629">
        <v>0</v>
      </c>
      <c r="S152" s="629">
        <v>0</v>
      </c>
      <c r="T152" t="str">
        <f t="shared" ref="T152" si="19">IF(SUM(H152:S152)=F152,"OK ","Problem: sum of amts keyed for each agency in col H through S must tie to total on combined worksheet")</f>
        <v xml:space="preserve">OK </v>
      </c>
      <c r="U152" s="1520"/>
    </row>
    <row r="153" spans="1:21" x14ac:dyDescent="0.2">
      <c r="A153" s="666">
        <v>2050</v>
      </c>
      <c r="B153" s="2881" t="s">
        <v>2734</v>
      </c>
      <c r="C153" s="2881"/>
      <c r="D153" s="2881"/>
      <c r="E153" s="2881"/>
      <c r="F153" s="587">
        <f>'310'!M17+'310'!M18+'310'!M19+'310'!M20+'310'!M21+'310'!M22+'310'!M23 -'310'!O17-'310'!O18-'310'!O19-'310'!O20-'310'!O21</f>
        <v>0</v>
      </c>
      <c r="G153" s="159"/>
      <c r="H153" s="629">
        <v>0</v>
      </c>
      <c r="I153" s="629">
        <v>0</v>
      </c>
      <c r="J153" s="629">
        <v>0</v>
      </c>
      <c r="K153" s="629">
        <v>0</v>
      </c>
      <c r="L153" s="629">
        <v>0</v>
      </c>
      <c r="M153" s="629">
        <v>0</v>
      </c>
      <c r="N153" s="629">
        <v>0</v>
      </c>
      <c r="O153" s="629">
        <v>0</v>
      </c>
      <c r="P153" s="629">
        <v>0</v>
      </c>
      <c r="Q153" s="629">
        <v>0</v>
      </c>
      <c r="R153" s="629">
        <v>0</v>
      </c>
      <c r="S153" s="629">
        <v>0</v>
      </c>
      <c r="T153" t="str">
        <f t="shared" si="18"/>
        <v xml:space="preserve">OK </v>
      </c>
      <c r="U153" s="1520"/>
    </row>
    <row r="154" spans="1:21" x14ac:dyDescent="0.2">
      <c r="A154" s="666">
        <v>2060</v>
      </c>
      <c r="B154" s="2881" t="s">
        <v>2735</v>
      </c>
      <c r="C154" s="2881"/>
      <c r="D154" s="2881"/>
      <c r="E154" s="2881"/>
      <c r="F154" s="587">
        <f>'310'!M24-'310'!O24</f>
        <v>0</v>
      </c>
      <c r="H154" s="629">
        <v>0</v>
      </c>
      <c r="I154" s="629">
        <v>0</v>
      </c>
      <c r="J154" s="629">
        <v>0</v>
      </c>
      <c r="K154" s="629">
        <v>0</v>
      </c>
      <c r="L154" s="629">
        <v>0</v>
      </c>
      <c r="M154" s="629">
        <v>0</v>
      </c>
      <c r="N154" s="629">
        <v>0</v>
      </c>
      <c r="O154" s="629">
        <v>0</v>
      </c>
      <c r="P154" s="629">
        <v>0</v>
      </c>
      <c r="Q154" s="629">
        <v>0</v>
      </c>
      <c r="R154" s="629">
        <v>0</v>
      </c>
      <c r="S154" s="629">
        <v>0</v>
      </c>
      <c r="T154" t="str">
        <f t="shared" si="18"/>
        <v xml:space="preserve">OK </v>
      </c>
      <c r="U154" s="1520"/>
    </row>
    <row r="155" spans="1:21" x14ac:dyDescent="0.2">
      <c r="A155" s="666">
        <v>2061</v>
      </c>
      <c r="B155" s="2881" t="s">
        <v>2736</v>
      </c>
      <c r="C155" s="2881"/>
      <c r="D155" s="2881"/>
      <c r="E155" s="2881"/>
      <c r="F155" s="587">
        <f>'310'!M25-'310'!O25</f>
        <v>0</v>
      </c>
      <c r="H155" s="629">
        <v>0</v>
      </c>
      <c r="I155" s="629">
        <v>0</v>
      </c>
      <c r="J155" s="629">
        <v>0</v>
      </c>
      <c r="K155" s="629">
        <v>0</v>
      </c>
      <c r="L155" s="629">
        <v>0</v>
      </c>
      <c r="M155" s="629">
        <v>0</v>
      </c>
      <c r="N155" s="629">
        <v>0</v>
      </c>
      <c r="O155" s="629">
        <v>0</v>
      </c>
      <c r="P155" s="629">
        <v>0</v>
      </c>
      <c r="Q155" s="629">
        <v>0</v>
      </c>
      <c r="R155" s="629">
        <v>0</v>
      </c>
      <c r="S155" s="629">
        <v>0</v>
      </c>
      <c r="T155" t="str">
        <f>IF(SUM(H155:S155)=F155,"OK ","Problem: sum of amts keyed for each agency in col H through S must tie to total on combined worksheet")</f>
        <v xml:space="preserve">OK </v>
      </c>
      <c r="U155" s="1520"/>
    </row>
    <row r="156" spans="1:21" x14ac:dyDescent="0.2">
      <c r="A156" s="666">
        <v>2045</v>
      </c>
      <c r="B156" s="2881" t="s">
        <v>2737</v>
      </c>
      <c r="C156" s="2881"/>
      <c r="D156" s="2881"/>
      <c r="E156" s="2881"/>
      <c r="F156" s="587">
        <f>'310'!M29-'310'!O29</f>
        <v>0</v>
      </c>
      <c r="G156" s="159"/>
      <c r="H156" s="629">
        <v>0</v>
      </c>
      <c r="I156" s="629">
        <v>0</v>
      </c>
      <c r="J156" s="629">
        <v>0</v>
      </c>
      <c r="K156" s="629">
        <v>0</v>
      </c>
      <c r="L156" s="629">
        <v>0</v>
      </c>
      <c r="M156" s="629">
        <v>0</v>
      </c>
      <c r="N156" s="629">
        <v>0</v>
      </c>
      <c r="O156" s="629">
        <v>0</v>
      </c>
      <c r="P156" s="629">
        <v>0</v>
      </c>
      <c r="Q156" s="629">
        <v>0</v>
      </c>
      <c r="R156" s="629">
        <v>0</v>
      </c>
      <c r="S156" s="629">
        <v>0</v>
      </c>
      <c r="T156" t="str">
        <f t="shared" si="18"/>
        <v xml:space="preserve">OK </v>
      </c>
      <c r="U156" s="1520"/>
    </row>
    <row r="157" spans="1:21" x14ac:dyDescent="0.2">
      <c r="A157" s="666">
        <v>2085</v>
      </c>
      <c r="B157" s="2881" t="s">
        <v>2738</v>
      </c>
      <c r="C157" s="2881"/>
      <c r="D157" s="2881"/>
      <c r="E157" s="2881"/>
      <c r="F157" s="587">
        <f>'310'!M31-'310'!O31</f>
        <v>0</v>
      </c>
      <c r="H157" s="629">
        <v>0</v>
      </c>
      <c r="I157" s="629">
        <v>0</v>
      </c>
      <c r="J157" s="629">
        <v>0</v>
      </c>
      <c r="K157" s="629">
        <v>0</v>
      </c>
      <c r="L157" s="629">
        <v>0</v>
      </c>
      <c r="M157" s="629">
        <v>0</v>
      </c>
      <c r="N157" s="629">
        <v>0</v>
      </c>
      <c r="O157" s="629">
        <v>0</v>
      </c>
      <c r="P157" s="629">
        <v>0</v>
      </c>
      <c r="Q157" s="629">
        <v>0</v>
      </c>
      <c r="R157" s="629">
        <v>0</v>
      </c>
      <c r="S157" s="629">
        <v>0</v>
      </c>
      <c r="T157" t="str">
        <f t="shared" si="18"/>
        <v xml:space="preserve">OK </v>
      </c>
      <c r="U157" s="1520"/>
    </row>
    <row r="158" spans="1:21" x14ac:dyDescent="0.2">
      <c r="A158" s="666">
        <v>2087</v>
      </c>
      <c r="B158" s="2881" t="s">
        <v>4630</v>
      </c>
      <c r="C158" s="2881"/>
      <c r="D158" s="2881"/>
      <c r="E158" s="2881"/>
      <c r="F158" s="587">
        <f>'310'!M32-'310'!O32</f>
        <v>0</v>
      </c>
      <c r="H158" s="629">
        <v>0</v>
      </c>
      <c r="I158" s="629">
        <v>0</v>
      </c>
      <c r="J158" s="629">
        <v>0</v>
      </c>
      <c r="K158" s="629">
        <v>0</v>
      </c>
      <c r="L158" s="629">
        <v>0</v>
      </c>
      <c r="M158" s="629">
        <v>0</v>
      </c>
      <c r="N158" s="629">
        <v>0</v>
      </c>
      <c r="O158" s="629">
        <v>0</v>
      </c>
      <c r="P158" s="629">
        <v>0</v>
      </c>
      <c r="Q158" s="629">
        <v>0</v>
      </c>
      <c r="R158" s="629">
        <v>0</v>
      </c>
      <c r="S158" s="629">
        <v>0</v>
      </c>
      <c r="T158" t="str">
        <f>IF(SUM(H158:S158)=F158,"OK ","Problem: sum of amts keyed for each agency in col H through S must tie to total on combined worksheet")</f>
        <v xml:space="preserve">OK </v>
      </c>
      <c r="U158" s="1520"/>
    </row>
    <row r="159" spans="1:21" x14ac:dyDescent="0.2">
      <c r="A159" s="666">
        <v>2090</v>
      </c>
      <c r="B159" s="2881" t="s">
        <v>2740</v>
      </c>
      <c r="C159" s="2881"/>
      <c r="D159" s="2881"/>
      <c r="E159" s="2881"/>
      <c r="F159" s="587">
        <f>'310'!M33-'310'!O33</f>
        <v>0</v>
      </c>
      <c r="H159" s="629">
        <v>0</v>
      </c>
      <c r="I159" s="629">
        <v>0</v>
      </c>
      <c r="J159" s="629">
        <v>0</v>
      </c>
      <c r="K159" s="629">
        <v>0</v>
      </c>
      <c r="L159" s="629">
        <v>0</v>
      </c>
      <c r="M159" s="629">
        <v>0</v>
      </c>
      <c r="N159" s="629">
        <v>0</v>
      </c>
      <c r="O159" s="629">
        <v>0</v>
      </c>
      <c r="P159" s="629">
        <v>0</v>
      </c>
      <c r="Q159" s="629">
        <v>0</v>
      </c>
      <c r="R159" s="629">
        <v>0</v>
      </c>
      <c r="S159" s="629">
        <v>0</v>
      </c>
      <c r="T159" t="str">
        <f t="shared" si="18"/>
        <v xml:space="preserve">OK </v>
      </c>
      <c r="U159" s="1520"/>
    </row>
    <row r="160" spans="1:21" x14ac:dyDescent="0.2">
      <c r="A160" s="666">
        <v>2098</v>
      </c>
      <c r="B160" s="2881" t="s">
        <v>2741</v>
      </c>
      <c r="C160" s="2881"/>
      <c r="D160" s="2881"/>
      <c r="E160" s="2881"/>
      <c r="F160" s="587">
        <f>'310'!M34-'310'!O34</f>
        <v>0</v>
      </c>
      <c r="H160" s="629">
        <v>0</v>
      </c>
      <c r="I160" s="629">
        <v>0</v>
      </c>
      <c r="J160" s="629">
        <v>0</v>
      </c>
      <c r="K160" s="629">
        <v>0</v>
      </c>
      <c r="L160" s="629">
        <v>0</v>
      </c>
      <c r="M160" s="629">
        <v>0</v>
      </c>
      <c r="N160" s="629">
        <v>0</v>
      </c>
      <c r="O160" s="629">
        <v>0</v>
      </c>
      <c r="P160" s="629">
        <v>0</v>
      </c>
      <c r="Q160" s="629">
        <v>0</v>
      </c>
      <c r="R160" s="629">
        <v>0</v>
      </c>
      <c r="S160" s="629">
        <v>0</v>
      </c>
      <c r="T160" t="str">
        <f>IF(SUM(H160:S160)=F160,"OK ","Problem: sum of amts keyed for each agency in col H through S must tie to total on combined worksheet")</f>
        <v xml:space="preserve">OK </v>
      </c>
      <c r="U160" s="1520"/>
    </row>
    <row r="161" spans="1:21" x14ac:dyDescent="0.2">
      <c r="A161" s="666">
        <v>2099</v>
      </c>
      <c r="B161" s="2881" t="s">
        <v>2742</v>
      </c>
      <c r="C161" s="2881"/>
      <c r="D161" s="2881"/>
      <c r="E161" s="2881"/>
      <c r="F161" s="587">
        <f>'310'!M35-'310'!O35</f>
        <v>0</v>
      </c>
      <c r="H161" s="629">
        <v>0</v>
      </c>
      <c r="I161" s="629">
        <v>0</v>
      </c>
      <c r="J161" s="629">
        <v>0</v>
      </c>
      <c r="K161" s="629">
        <v>0</v>
      </c>
      <c r="L161" s="629">
        <v>0</v>
      </c>
      <c r="M161" s="629">
        <v>0</v>
      </c>
      <c r="N161" s="629">
        <v>0</v>
      </c>
      <c r="O161" s="629">
        <v>0</v>
      </c>
      <c r="P161" s="629">
        <v>0</v>
      </c>
      <c r="Q161" s="629">
        <v>0</v>
      </c>
      <c r="R161" s="629">
        <v>0</v>
      </c>
      <c r="S161" s="629">
        <v>0</v>
      </c>
      <c r="T161" t="str">
        <f>IF(SUM(H161:S161)=F161,"OK ","Problem: sum of amts keyed for each agency in col H through S must tie to total on combined worksheet")</f>
        <v xml:space="preserve">OK </v>
      </c>
      <c r="U161" s="1520"/>
    </row>
    <row r="162" spans="1:21" x14ac:dyDescent="0.2">
      <c r="A162" s="666">
        <v>2095</v>
      </c>
      <c r="B162" s="2881" t="s">
        <v>2743</v>
      </c>
      <c r="C162" s="2881"/>
      <c r="D162" s="2881"/>
      <c r="E162" s="2881"/>
      <c r="F162" s="587">
        <f>'310'!M36-'310'!O36</f>
        <v>0</v>
      </c>
      <c r="H162" s="629">
        <v>0</v>
      </c>
      <c r="I162" s="629">
        <v>0</v>
      </c>
      <c r="J162" s="629">
        <v>0</v>
      </c>
      <c r="K162" s="629">
        <v>0</v>
      </c>
      <c r="L162" s="629">
        <v>0</v>
      </c>
      <c r="M162" s="629">
        <v>0</v>
      </c>
      <c r="N162" s="629">
        <v>0</v>
      </c>
      <c r="O162" s="629">
        <v>0</v>
      </c>
      <c r="P162" s="629">
        <v>0</v>
      </c>
      <c r="Q162" s="629">
        <v>0</v>
      </c>
      <c r="R162" s="629">
        <v>0</v>
      </c>
      <c r="S162" s="629">
        <v>0</v>
      </c>
      <c r="T162" t="str">
        <f t="shared" si="18"/>
        <v xml:space="preserve">OK </v>
      </c>
      <c r="U162" s="1520"/>
    </row>
    <row r="163" spans="1:21" x14ac:dyDescent="0.2">
      <c r="A163" s="666">
        <v>2096</v>
      </c>
      <c r="B163" s="2881" t="s">
        <v>2744</v>
      </c>
      <c r="C163" s="2881"/>
      <c r="D163" s="2881"/>
      <c r="E163" s="2881"/>
      <c r="F163" s="587">
        <f>'310'!M37-'310'!O37</f>
        <v>0</v>
      </c>
      <c r="G163" s="159"/>
      <c r="H163" s="629">
        <v>0</v>
      </c>
      <c r="I163" s="629">
        <v>0</v>
      </c>
      <c r="J163" s="629">
        <v>0</v>
      </c>
      <c r="K163" s="629">
        <v>0</v>
      </c>
      <c r="L163" s="629">
        <v>0</v>
      </c>
      <c r="M163" s="629">
        <v>0</v>
      </c>
      <c r="N163" s="629">
        <v>0</v>
      </c>
      <c r="O163" s="629">
        <v>0</v>
      </c>
      <c r="P163" s="629">
        <v>0</v>
      </c>
      <c r="Q163" s="629">
        <v>0</v>
      </c>
      <c r="R163" s="629">
        <v>0</v>
      </c>
      <c r="S163" s="629">
        <v>0</v>
      </c>
      <c r="T163" t="str">
        <f t="shared" si="18"/>
        <v xml:space="preserve">OK </v>
      </c>
      <c r="U163" s="1520"/>
    </row>
    <row r="164" spans="1:21" x14ac:dyDescent="0.2">
      <c r="B164" s="2952" t="s">
        <v>2745</v>
      </c>
      <c r="C164" s="2952"/>
      <c r="D164" s="2952"/>
      <c r="E164" s="2952"/>
      <c r="F164" s="374">
        <f>SUM(F142:F163)</f>
        <v>0</v>
      </c>
      <c r="H164" s="374">
        <f t="shared" ref="H164:S164" si="20">SUM(H142:H163)</f>
        <v>0</v>
      </c>
      <c r="I164" s="374">
        <f t="shared" si="20"/>
        <v>0</v>
      </c>
      <c r="J164" s="374">
        <f t="shared" si="20"/>
        <v>0</v>
      </c>
      <c r="K164" s="374">
        <f t="shared" si="20"/>
        <v>0</v>
      </c>
      <c r="L164" s="374">
        <f t="shared" si="20"/>
        <v>0</v>
      </c>
      <c r="M164" s="374">
        <f t="shared" si="20"/>
        <v>0</v>
      </c>
      <c r="N164" s="374">
        <f t="shared" si="20"/>
        <v>0</v>
      </c>
      <c r="O164" s="374">
        <f t="shared" si="20"/>
        <v>0</v>
      </c>
      <c r="P164" s="374">
        <f t="shared" si="20"/>
        <v>0</v>
      </c>
      <c r="Q164" s="374">
        <f t="shared" si="20"/>
        <v>0</v>
      </c>
      <c r="R164" s="374">
        <f t="shared" si="20"/>
        <v>0</v>
      </c>
      <c r="S164" s="374">
        <f t="shared" si="20"/>
        <v>0</v>
      </c>
      <c r="T164" t="str">
        <f>IF(SUM(H164:S164)=F164,"OK ","Crossfoot error: sum of Col H thru S must equal total in Col F")</f>
        <v xml:space="preserve">OK </v>
      </c>
      <c r="U164" s="1520"/>
    </row>
    <row r="165" spans="1:21" x14ac:dyDescent="0.2">
      <c r="H165" s="365"/>
      <c r="I165" s="365"/>
      <c r="J165" s="365"/>
      <c r="K165" s="365"/>
      <c r="L165" s="365"/>
      <c r="M165" s="365"/>
      <c r="N165" s="365"/>
      <c r="O165" s="365"/>
      <c r="P165" s="365"/>
      <c r="Q165" s="365"/>
      <c r="R165" s="365"/>
      <c r="S165" s="365"/>
      <c r="U165" s="1520"/>
    </row>
    <row r="166" spans="1:21" x14ac:dyDescent="0.2">
      <c r="B166" s="2952" t="s">
        <v>2746</v>
      </c>
      <c r="C166" s="2952"/>
      <c r="D166" s="2952"/>
      <c r="E166" s="2952"/>
      <c r="F166" s="367">
        <f>F138+F164</f>
        <v>0</v>
      </c>
      <c r="H166" s="367">
        <f t="shared" ref="H166:S166" si="21">H138+H164</f>
        <v>0</v>
      </c>
      <c r="I166" s="367">
        <f t="shared" si="21"/>
        <v>0</v>
      </c>
      <c r="J166" s="367">
        <f t="shared" si="21"/>
        <v>0</v>
      </c>
      <c r="K166" s="367">
        <f t="shared" si="21"/>
        <v>0</v>
      </c>
      <c r="L166" s="367">
        <f t="shared" si="21"/>
        <v>0</v>
      </c>
      <c r="M166" s="367">
        <f t="shared" si="21"/>
        <v>0</v>
      </c>
      <c r="N166" s="367">
        <f t="shared" si="21"/>
        <v>0</v>
      </c>
      <c r="O166" s="367">
        <f t="shared" si="21"/>
        <v>0</v>
      </c>
      <c r="P166" s="367">
        <f t="shared" si="21"/>
        <v>0</v>
      </c>
      <c r="Q166" s="367">
        <f t="shared" si="21"/>
        <v>0</v>
      </c>
      <c r="R166" s="367">
        <f t="shared" si="21"/>
        <v>0</v>
      </c>
      <c r="S166" s="367">
        <f t="shared" si="21"/>
        <v>0</v>
      </c>
      <c r="T166" t="str">
        <f>IF(SUM(H166:S166)=F166,"OK ","Crossfoot error: sum of Col H thru S must equal total in Col F")</f>
        <v xml:space="preserve">OK </v>
      </c>
      <c r="U166" s="1520"/>
    </row>
    <row r="167" spans="1:21" x14ac:dyDescent="0.2">
      <c r="F167"/>
      <c r="U167" s="1520"/>
    </row>
    <row r="168" spans="1:21" x14ac:dyDescent="0.2">
      <c r="B168" s="2377" t="s">
        <v>2747</v>
      </c>
      <c r="H168" s="365"/>
      <c r="I168" s="365"/>
      <c r="J168" s="365"/>
      <c r="K168" s="365"/>
      <c r="L168" s="365"/>
      <c r="M168" s="365"/>
      <c r="N168" s="365"/>
      <c r="O168" s="365"/>
      <c r="P168" s="365"/>
      <c r="Q168" s="365"/>
      <c r="R168" s="365"/>
      <c r="S168" s="365"/>
      <c r="U168" s="1520"/>
    </row>
    <row r="169" spans="1:21" x14ac:dyDescent="0.2">
      <c r="A169" s="191">
        <v>1764</v>
      </c>
      <c r="B169" s="2881" t="s">
        <v>2748</v>
      </c>
      <c r="C169" s="2881"/>
      <c r="D169" s="2881"/>
      <c r="E169" s="2881"/>
      <c r="F169" s="365">
        <f t="shared" ref="F169:F178" si="22">SUM(H169:S169)</f>
        <v>0</v>
      </c>
      <c r="H169" s="372">
        <v>0</v>
      </c>
      <c r="I169" s="372">
        <v>0</v>
      </c>
      <c r="J169" s="372">
        <v>0</v>
      </c>
      <c r="K169" s="372">
        <v>0</v>
      </c>
      <c r="L169" s="372">
        <v>0</v>
      </c>
      <c r="M169" s="372">
        <v>0</v>
      </c>
      <c r="N169" s="372">
        <v>0</v>
      </c>
      <c r="O169" s="372">
        <v>0</v>
      </c>
      <c r="P169" s="372">
        <v>0</v>
      </c>
      <c r="Q169" s="372">
        <v>0</v>
      </c>
      <c r="R169" s="372">
        <v>0</v>
      </c>
      <c r="S169" s="372">
        <v>0</v>
      </c>
      <c r="U169" s="1463">
        <v>71100003</v>
      </c>
    </row>
    <row r="170" spans="1:21" x14ac:dyDescent="0.2">
      <c r="A170" s="2366">
        <v>2026</v>
      </c>
      <c r="B170" s="2946" t="s">
        <v>2749</v>
      </c>
      <c r="C170" s="2946"/>
      <c r="D170" s="2946"/>
      <c r="E170" s="2946"/>
      <c r="F170" s="365">
        <f t="shared" si="22"/>
        <v>0</v>
      </c>
      <c r="H170" s="372">
        <v>0</v>
      </c>
      <c r="I170" s="372">
        <v>0</v>
      </c>
      <c r="J170" s="372">
        <v>0</v>
      </c>
      <c r="K170" s="372">
        <v>0</v>
      </c>
      <c r="L170" s="372">
        <v>0</v>
      </c>
      <c r="M170" s="372">
        <v>0</v>
      </c>
      <c r="N170" s="372">
        <v>0</v>
      </c>
      <c r="O170" s="372">
        <v>0</v>
      </c>
      <c r="P170" s="372">
        <v>0</v>
      </c>
      <c r="Q170" s="372">
        <v>0</v>
      </c>
      <c r="R170" s="372">
        <v>0</v>
      </c>
      <c r="S170" s="372">
        <v>0</v>
      </c>
      <c r="U170" s="1463">
        <v>71100004</v>
      </c>
    </row>
    <row r="171" spans="1:21" x14ac:dyDescent="0.2">
      <c r="A171" s="191">
        <v>1766</v>
      </c>
      <c r="B171" s="2881" t="s">
        <v>2750</v>
      </c>
      <c r="C171" s="2881"/>
      <c r="D171" s="2881"/>
      <c r="E171" s="2881"/>
      <c r="F171" s="365">
        <f t="shared" si="22"/>
        <v>0</v>
      </c>
      <c r="H171" s="372">
        <v>0</v>
      </c>
      <c r="I171" s="372">
        <v>0</v>
      </c>
      <c r="J171" s="372">
        <v>0</v>
      </c>
      <c r="K171" s="372">
        <v>0</v>
      </c>
      <c r="L171" s="372">
        <v>0</v>
      </c>
      <c r="M171" s="372">
        <v>0</v>
      </c>
      <c r="N171" s="372">
        <v>0</v>
      </c>
      <c r="O171" s="372">
        <v>0</v>
      </c>
      <c r="P171" s="372">
        <v>0</v>
      </c>
      <c r="Q171" s="372">
        <v>0</v>
      </c>
      <c r="R171" s="372">
        <v>0</v>
      </c>
      <c r="S171" s="372">
        <v>0</v>
      </c>
      <c r="U171" s="1463">
        <v>71100005</v>
      </c>
    </row>
    <row r="172" spans="1:21" x14ac:dyDescent="0.2">
      <c r="A172" s="191">
        <v>1768</v>
      </c>
      <c r="B172" s="2881" t="s">
        <v>2107</v>
      </c>
      <c r="C172" s="2881"/>
      <c r="D172" s="2881"/>
      <c r="E172" s="2881"/>
      <c r="F172" s="365">
        <f t="shared" si="22"/>
        <v>0</v>
      </c>
      <c r="H172" s="372">
        <v>0</v>
      </c>
      <c r="I172" s="372">
        <v>0</v>
      </c>
      <c r="J172" s="372">
        <v>0</v>
      </c>
      <c r="K172" s="372">
        <v>0</v>
      </c>
      <c r="L172" s="372">
        <v>0</v>
      </c>
      <c r="M172" s="372">
        <v>0</v>
      </c>
      <c r="N172" s="372">
        <v>0</v>
      </c>
      <c r="O172" s="372">
        <v>0</v>
      </c>
      <c r="P172" s="372">
        <v>0</v>
      </c>
      <c r="Q172" s="372">
        <v>0</v>
      </c>
      <c r="R172" s="372">
        <v>0</v>
      </c>
      <c r="S172" s="372">
        <v>0</v>
      </c>
      <c r="U172" s="1463">
        <v>71100006</v>
      </c>
    </row>
    <row r="173" spans="1:21" x14ac:dyDescent="0.2">
      <c r="A173" s="191">
        <v>1765</v>
      </c>
      <c r="B173" s="2881" t="s">
        <v>2108</v>
      </c>
      <c r="C173" s="2881"/>
      <c r="D173" s="2881"/>
      <c r="E173" s="2881"/>
      <c r="F173" s="365">
        <f>SUM(H173:S173)</f>
        <v>0</v>
      </c>
      <c r="H173" s="372">
        <v>0</v>
      </c>
      <c r="I173" s="372">
        <v>0</v>
      </c>
      <c r="J173" s="372">
        <v>0</v>
      </c>
      <c r="K173" s="372">
        <v>0</v>
      </c>
      <c r="L173" s="372">
        <v>0</v>
      </c>
      <c r="M173" s="372">
        <v>0</v>
      </c>
      <c r="N173" s="372">
        <v>0</v>
      </c>
      <c r="O173" s="372">
        <v>0</v>
      </c>
      <c r="P173" s="372">
        <v>0</v>
      </c>
      <c r="Q173" s="372">
        <v>0</v>
      </c>
      <c r="R173" s="372">
        <v>0</v>
      </c>
      <c r="S173" s="372">
        <v>0</v>
      </c>
      <c r="U173" s="1463">
        <v>71100008</v>
      </c>
    </row>
    <row r="174" spans="1:21" x14ac:dyDescent="0.2">
      <c r="A174" s="191">
        <v>1772</v>
      </c>
      <c r="B174" s="2881" t="s">
        <v>2751</v>
      </c>
      <c r="C174" s="2881"/>
      <c r="D174" s="2881"/>
      <c r="E174" s="2881"/>
      <c r="F174" s="365">
        <f t="shared" si="22"/>
        <v>0</v>
      </c>
      <c r="H174" s="372">
        <v>0</v>
      </c>
      <c r="I174" s="372">
        <v>0</v>
      </c>
      <c r="J174" s="372">
        <v>0</v>
      </c>
      <c r="K174" s="372">
        <v>0</v>
      </c>
      <c r="L174" s="372">
        <v>0</v>
      </c>
      <c r="M174" s="372">
        <v>0</v>
      </c>
      <c r="N174" s="372">
        <v>0</v>
      </c>
      <c r="O174" s="372">
        <v>0</v>
      </c>
      <c r="P174" s="372">
        <v>0</v>
      </c>
      <c r="Q174" s="372">
        <v>0</v>
      </c>
      <c r="R174" s="372">
        <v>0</v>
      </c>
      <c r="S174" s="372">
        <v>0</v>
      </c>
      <c r="U174" s="1463">
        <v>71100009</v>
      </c>
    </row>
    <row r="175" spans="1:21" x14ac:dyDescent="0.2">
      <c r="A175" s="191">
        <v>1767</v>
      </c>
      <c r="B175" s="2881" t="s">
        <v>2109</v>
      </c>
      <c r="C175" s="2881"/>
      <c r="D175" s="2881"/>
      <c r="E175" s="2881"/>
      <c r="F175" s="365">
        <f>SUM(H175:S175)</f>
        <v>0</v>
      </c>
      <c r="H175" s="372">
        <v>0</v>
      </c>
      <c r="I175" s="372">
        <v>0</v>
      </c>
      <c r="J175" s="372">
        <v>0</v>
      </c>
      <c r="K175" s="372">
        <v>0</v>
      </c>
      <c r="L175" s="372">
        <v>0</v>
      </c>
      <c r="M175" s="372">
        <v>0</v>
      </c>
      <c r="N175" s="372">
        <v>0</v>
      </c>
      <c r="O175" s="372">
        <v>0</v>
      </c>
      <c r="P175" s="372">
        <v>0</v>
      </c>
      <c r="Q175" s="372">
        <v>0</v>
      </c>
      <c r="R175" s="372">
        <v>0</v>
      </c>
      <c r="S175" s="372">
        <v>0</v>
      </c>
      <c r="U175" s="1463">
        <v>71100010</v>
      </c>
    </row>
    <row r="176" spans="1:21" x14ac:dyDescent="0.2">
      <c r="A176" s="191">
        <v>1771</v>
      </c>
      <c r="B176" s="2881" t="s">
        <v>2110</v>
      </c>
      <c r="C176" s="2881"/>
      <c r="D176" s="2881"/>
      <c r="E176" s="2881"/>
      <c r="F176" s="365">
        <f t="shared" si="22"/>
        <v>0</v>
      </c>
      <c r="H176" s="372">
        <v>0</v>
      </c>
      <c r="I176" s="372">
        <v>0</v>
      </c>
      <c r="J176" s="372">
        <v>0</v>
      </c>
      <c r="K176" s="372">
        <v>0</v>
      </c>
      <c r="L176" s="372">
        <v>0</v>
      </c>
      <c r="M176" s="372">
        <v>0</v>
      </c>
      <c r="N176" s="372">
        <v>0</v>
      </c>
      <c r="O176" s="372">
        <v>0</v>
      </c>
      <c r="P176" s="372">
        <v>0</v>
      </c>
      <c r="Q176" s="372">
        <v>0</v>
      </c>
      <c r="R176" s="372">
        <v>0</v>
      </c>
      <c r="S176" s="372">
        <v>0</v>
      </c>
      <c r="U176" s="1463">
        <v>71100011</v>
      </c>
    </row>
    <row r="177" spans="1:22" x14ac:dyDescent="0.2">
      <c r="A177" s="191">
        <v>1773</v>
      </c>
      <c r="B177" s="2881" t="s">
        <v>2752</v>
      </c>
      <c r="C177" s="2881"/>
      <c r="D177" s="2881"/>
      <c r="E177" s="2881"/>
      <c r="F177" s="365">
        <f t="shared" si="22"/>
        <v>0</v>
      </c>
      <c r="H177" s="372">
        <v>0</v>
      </c>
      <c r="I177" s="372">
        <v>0</v>
      </c>
      <c r="J177" s="372">
        <v>0</v>
      </c>
      <c r="K177" s="372">
        <v>0</v>
      </c>
      <c r="L177" s="372">
        <v>0</v>
      </c>
      <c r="M177" s="372">
        <v>0</v>
      </c>
      <c r="N177" s="372">
        <v>0</v>
      </c>
      <c r="O177" s="372">
        <v>0</v>
      </c>
      <c r="P177" s="372">
        <v>0</v>
      </c>
      <c r="Q177" s="372"/>
      <c r="R177" s="372"/>
      <c r="S177" s="372"/>
      <c r="U177" s="1463">
        <v>71100012</v>
      </c>
    </row>
    <row r="178" spans="1:22" x14ac:dyDescent="0.2">
      <c r="A178" s="191">
        <v>1769</v>
      </c>
      <c r="B178" s="2881" t="s">
        <v>2112</v>
      </c>
      <c r="C178" s="2881"/>
      <c r="D178" s="2881"/>
      <c r="E178" s="2881"/>
      <c r="F178" s="365">
        <f t="shared" si="22"/>
        <v>0</v>
      </c>
      <c r="H178" s="372">
        <v>0</v>
      </c>
      <c r="I178" s="372">
        <v>0</v>
      </c>
      <c r="J178" s="372">
        <v>0</v>
      </c>
      <c r="K178" s="372">
        <v>0</v>
      </c>
      <c r="L178" s="372">
        <v>0</v>
      </c>
      <c r="M178" s="372">
        <v>0</v>
      </c>
      <c r="N178" s="372">
        <v>0</v>
      </c>
      <c r="O178" s="372">
        <v>0</v>
      </c>
      <c r="P178" s="372">
        <v>0</v>
      </c>
      <c r="Q178" s="372">
        <v>0</v>
      </c>
      <c r="R178" s="372">
        <v>0</v>
      </c>
      <c r="S178" s="372">
        <v>0</v>
      </c>
      <c r="U178" s="1463">
        <v>71100007</v>
      </c>
    </row>
    <row r="179" spans="1:22" x14ac:dyDescent="0.2">
      <c r="B179" s="2952" t="s">
        <v>2753</v>
      </c>
      <c r="C179" s="2952"/>
      <c r="D179" s="2952"/>
      <c r="E179" s="2952"/>
      <c r="F179" s="374">
        <f>SUM(F168:F178)</f>
        <v>0</v>
      </c>
      <c r="H179" s="374">
        <f t="shared" ref="H179:S179" si="23">SUM(H168:H178)</f>
        <v>0</v>
      </c>
      <c r="I179" s="374">
        <f t="shared" si="23"/>
        <v>0</v>
      </c>
      <c r="J179" s="374">
        <f t="shared" si="23"/>
        <v>0</v>
      </c>
      <c r="K179" s="374">
        <f t="shared" si="23"/>
        <v>0</v>
      </c>
      <c r="L179" s="374">
        <f t="shared" si="23"/>
        <v>0</v>
      </c>
      <c r="M179" s="374">
        <f t="shared" si="23"/>
        <v>0</v>
      </c>
      <c r="N179" s="374">
        <f t="shared" si="23"/>
        <v>0</v>
      </c>
      <c r="O179" s="374">
        <f t="shared" si="23"/>
        <v>0</v>
      </c>
      <c r="P179" s="374">
        <f t="shared" si="23"/>
        <v>0</v>
      </c>
      <c r="Q179" s="374">
        <f t="shared" si="23"/>
        <v>0</v>
      </c>
      <c r="R179" s="374">
        <f t="shared" si="23"/>
        <v>0</v>
      </c>
      <c r="S179" s="374">
        <f t="shared" si="23"/>
        <v>0</v>
      </c>
      <c r="U179" s="1520"/>
    </row>
    <row r="180" spans="1:22" x14ac:dyDescent="0.2">
      <c r="U180" s="1520"/>
    </row>
    <row r="181" spans="1:22" x14ac:dyDescent="0.2">
      <c r="B181" s="234" t="s">
        <v>2114</v>
      </c>
      <c r="U181" s="1520"/>
    </row>
    <row r="182" spans="1:22" x14ac:dyDescent="0.2">
      <c r="A182" s="191">
        <v>2130</v>
      </c>
      <c r="B182" s="2881" t="s">
        <v>1810</v>
      </c>
      <c r="C182" s="2881"/>
      <c r="D182" s="2881"/>
      <c r="E182" s="2881"/>
      <c r="F182" s="365">
        <f>SUM(H182:S182)</f>
        <v>0</v>
      </c>
      <c r="G182" t="str">
        <f>IF((F182&lt;=F70+F86)," ","Problem: Must be less than or equal to capital assets, depreciable and nondeprec, net")</f>
        <v xml:space="preserve"> </v>
      </c>
      <c r="H182" s="372">
        <v>0</v>
      </c>
      <c r="I182" s="372">
        <v>0</v>
      </c>
      <c r="J182" s="372">
        <v>0</v>
      </c>
      <c r="K182" s="372">
        <v>0</v>
      </c>
      <c r="L182" s="372">
        <v>0</v>
      </c>
      <c r="M182" s="372">
        <v>0</v>
      </c>
      <c r="N182" s="372">
        <v>0</v>
      </c>
      <c r="O182" s="372">
        <v>0</v>
      </c>
      <c r="P182" s="372">
        <v>0</v>
      </c>
      <c r="Q182" s="372">
        <v>0</v>
      </c>
      <c r="R182" s="372">
        <v>0</v>
      </c>
      <c r="S182" s="372">
        <v>0</v>
      </c>
      <c r="U182" s="1520" t="s">
        <v>1668</v>
      </c>
      <c r="V182" s="1463" t="s">
        <v>1645</v>
      </c>
    </row>
    <row r="183" spans="1:22" x14ac:dyDescent="0.2">
      <c r="A183" s="187"/>
      <c r="B183" s="191" t="s">
        <v>2754</v>
      </c>
      <c r="C183" s="191"/>
      <c r="D183" s="191"/>
      <c r="E183" s="191"/>
      <c r="U183" s="1520"/>
      <c r="V183" s="1463"/>
    </row>
    <row r="184" spans="1:22" x14ac:dyDescent="0.2">
      <c r="A184" s="191">
        <v>2140</v>
      </c>
      <c r="B184" s="2951" t="s">
        <v>2755</v>
      </c>
      <c r="C184" s="2951"/>
      <c r="D184" s="2951"/>
      <c r="E184" s="2951"/>
      <c r="F184" s="365">
        <f t="shared" ref="F184:F191" si="24">SUM(H184:S184)</f>
        <v>0</v>
      </c>
      <c r="G184" t="str">
        <f>IF(F184&lt;0,"Problem: Restricted net assets cannot be negative - see Net Assets Policy in Instructions"," ")</f>
        <v xml:space="preserve"> </v>
      </c>
      <c r="H184" s="372">
        <v>0</v>
      </c>
      <c r="I184" s="372">
        <v>0</v>
      </c>
      <c r="J184" s="372">
        <v>0</v>
      </c>
      <c r="K184" s="372">
        <v>0</v>
      </c>
      <c r="L184" s="372">
        <v>0</v>
      </c>
      <c r="M184" s="372">
        <v>0</v>
      </c>
      <c r="N184" s="372">
        <v>0</v>
      </c>
      <c r="O184" s="372">
        <v>0</v>
      </c>
      <c r="P184" s="372">
        <v>0</v>
      </c>
      <c r="Q184" s="372">
        <v>0</v>
      </c>
      <c r="R184" s="372">
        <v>0</v>
      </c>
      <c r="S184" s="372">
        <v>0</v>
      </c>
      <c r="U184" s="1520" t="s">
        <v>2756</v>
      </c>
      <c r="V184" s="1463" t="s">
        <v>849</v>
      </c>
    </row>
    <row r="185" spans="1:22" x14ac:dyDescent="0.2">
      <c r="A185" s="191">
        <v>2141</v>
      </c>
      <c r="B185" s="2951" t="s">
        <v>1638</v>
      </c>
      <c r="C185" s="2951"/>
      <c r="D185" s="2951"/>
      <c r="E185" s="2951"/>
      <c r="F185" s="365">
        <f t="shared" si="24"/>
        <v>0</v>
      </c>
      <c r="G185" t="str">
        <f t="shared" ref="G185:G190" si="25">IF(F185&lt;0,"Problem: Restricted net assets cannot be negative - see Net Assets Policy in Instructions"," ")</f>
        <v xml:space="preserve"> </v>
      </c>
      <c r="H185" s="372">
        <v>0</v>
      </c>
      <c r="I185" s="372">
        <v>0</v>
      </c>
      <c r="J185" s="372">
        <v>0</v>
      </c>
      <c r="K185" s="372">
        <v>0</v>
      </c>
      <c r="L185" s="372">
        <v>0</v>
      </c>
      <c r="M185" s="372">
        <v>0</v>
      </c>
      <c r="N185" s="372">
        <v>0</v>
      </c>
      <c r="O185" s="372">
        <v>0</v>
      </c>
      <c r="P185" s="372">
        <v>0</v>
      </c>
      <c r="Q185" s="372">
        <v>0</v>
      </c>
      <c r="R185" s="372">
        <v>0</v>
      </c>
      <c r="S185" s="372">
        <v>0</v>
      </c>
      <c r="U185" s="1520" t="s">
        <v>2756</v>
      </c>
      <c r="V185" s="1463" t="s">
        <v>763</v>
      </c>
    </row>
    <row r="186" spans="1:22" x14ac:dyDescent="0.2">
      <c r="A186" s="191">
        <v>2142</v>
      </c>
      <c r="B186" s="2951" t="s">
        <v>2757</v>
      </c>
      <c r="C186" s="2951"/>
      <c r="D186" s="2951"/>
      <c r="E186" s="2951"/>
      <c r="F186" s="365">
        <f t="shared" si="24"/>
        <v>0</v>
      </c>
      <c r="G186" t="str">
        <f t="shared" si="25"/>
        <v xml:space="preserve"> </v>
      </c>
      <c r="H186" s="372">
        <v>0</v>
      </c>
      <c r="I186" s="372">
        <v>0</v>
      </c>
      <c r="J186" s="372">
        <v>0</v>
      </c>
      <c r="K186" s="372">
        <v>0</v>
      </c>
      <c r="L186" s="372">
        <v>0</v>
      </c>
      <c r="M186" s="372">
        <v>0</v>
      </c>
      <c r="N186" s="372">
        <v>0</v>
      </c>
      <c r="O186" s="372">
        <v>0</v>
      </c>
      <c r="P186" s="372">
        <v>0</v>
      </c>
      <c r="Q186" s="372">
        <v>0</v>
      </c>
      <c r="R186" s="372">
        <v>0</v>
      </c>
      <c r="S186" s="372">
        <v>0</v>
      </c>
      <c r="U186" s="1520" t="s">
        <v>2756</v>
      </c>
      <c r="V186" s="1463" t="s">
        <v>2758</v>
      </c>
    </row>
    <row r="187" spans="1:22" x14ac:dyDescent="0.2">
      <c r="A187" s="187"/>
      <c r="B187" s="191" t="s">
        <v>2759</v>
      </c>
      <c r="U187" s="1520"/>
      <c r="V187" s="1463"/>
    </row>
    <row r="188" spans="1:22" x14ac:dyDescent="0.2">
      <c r="A188" s="191">
        <v>2150</v>
      </c>
      <c r="B188" s="2951" t="s">
        <v>2755</v>
      </c>
      <c r="C188" s="2951"/>
      <c r="D188" s="2951"/>
      <c r="E188" s="2951"/>
      <c r="F188" s="365">
        <f t="shared" si="24"/>
        <v>0</v>
      </c>
      <c r="G188" t="str">
        <f t="shared" si="25"/>
        <v xml:space="preserve"> </v>
      </c>
      <c r="H188" s="372">
        <v>0</v>
      </c>
      <c r="I188" s="372">
        <v>0</v>
      </c>
      <c r="J188" s="372">
        <v>0</v>
      </c>
      <c r="K188" s="372">
        <v>0</v>
      </c>
      <c r="L188" s="372">
        <v>0</v>
      </c>
      <c r="M188" s="372">
        <v>0</v>
      </c>
      <c r="N188" s="372">
        <v>0</v>
      </c>
      <c r="O188" s="372">
        <v>0</v>
      </c>
      <c r="P188" s="372">
        <v>0</v>
      </c>
      <c r="Q188" s="372">
        <v>0</v>
      </c>
      <c r="R188" s="372">
        <v>0</v>
      </c>
      <c r="S188" s="372">
        <v>0</v>
      </c>
      <c r="U188" s="1520" t="s">
        <v>1670</v>
      </c>
      <c r="V188" s="1463" t="s">
        <v>849</v>
      </c>
    </row>
    <row r="189" spans="1:22" x14ac:dyDescent="0.2">
      <c r="A189" s="191">
        <v>2151</v>
      </c>
      <c r="B189" s="2951" t="s">
        <v>1638</v>
      </c>
      <c r="C189" s="2951"/>
      <c r="D189" s="2951"/>
      <c r="E189" s="2951"/>
      <c r="F189" s="365">
        <f t="shared" si="24"/>
        <v>0</v>
      </c>
      <c r="G189" t="str">
        <f t="shared" si="25"/>
        <v xml:space="preserve"> </v>
      </c>
      <c r="H189" s="372">
        <v>0</v>
      </c>
      <c r="I189" s="372">
        <v>0</v>
      </c>
      <c r="J189" s="372">
        <v>0</v>
      </c>
      <c r="K189" s="372">
        <v>0</v>
      </c>
      <c r="L189" s="372">
        <v>0</v>
      </c>
      <c r="M189" s="372">
        <v>0</v>
      </c>
      <c r="N189" s="372">
        <v>0</v>
      </c>
      <c r="O189" s="372">
        <v>0</v>
      </c>
      <c r="P189" s="372">
        <v>0</v>
      </c>
      <c r="Q189" s="372">
        <v>0</v>
      </c>
      <c r="R189" s="372">
        <v>0</v>
      </c>
      <c r="S189" s="372">
        <v>0</v>
      </c>
      <c r="U189" s="1520" t="s">
        <v>1670</v>
      </c>
      <c r="V189" s="1463" t="s">
        <v>763</v>
      </c>
    </row>
    <row r="190" spans="1:22" x14ac:dyDescent="0.2">
      <c r="A190" s="191">
        <v>2152</v>
      </c>
      <c r="B190" s="2951" t="s">
        <v>2757</v>
      </c>
      <c r="C190" s="2951"/>
      <c r="D190" s="2951"/>
      <c r="E190" s="2951"/>
      <c r="F190" s="365">
        <f t="shared" si="24"/>
        <v>0</v>
      </c>
      <c r="G190" t="str">
        <f t="shared" si="25"/>
        <v xml:space="preserve"> </v>
      </c>
      <c r="H190" s="372">
        <v>0</v>
      </c>
      <c r="I190" s="372">
        <v>0</v>
      </c>
      <c r="J190" s="372">
        <v>0</v>
      </c>
      <c r="K190" s="372">
        <v>0</v>
      </c>
      <c r="L190" s="372">
        <v>0</v>
      </c>
      <c r="M190" s="372">
        <v>0</v>
      </c>
      <c r="N190" s="372">
        <v>0</v>
      </c>
      <c r="O190" s="372">
        <v>0</v>
      </c>
      <c r="P190" s="372">
        <v>0</v>
      </c>
      <c r="Q190" s="372">
        <v>0</v>
      </c>
      <c r="R190" s="372">
        <v>0</v>
      </c>
      <c r="S190" s="372">
        <v>0</v>
      </c>
      <c r="U190" s="1520" t="s">
        <v>1670</v>
      </c>
      <c r="V190" s="1463" t="s">
        <v>2758</v>
      </c>
    </row>
    <row r="191" spans="1:22" x14ac:dyDescent="0.2">
      <c r="A191" s="191">
        <v>2180</v>
      </c>
      <c r="B191" s="2881" t="s">
        <v>1629</v>
      </c>
      <c r="C191" s="2881"/>
      <c r="D191" s="2881"/>
      <c r="E191" s="2881"/>
      <c r="F191" s="365">
        <f t="shared" si="24"/>
        <v>0</v>
      </c>
      <c r="H191" s="372">
        <v>0</v>
      </c>
      <c r="I191" s="372">
        <v>0</v>
      </c>
      <c r="J191" s="372">
        <v>0</v>
      </c>
      <c r="K191" s="372">
        <v>0</v>
      </c>
      <c r="L191" s="372">
        <v>0</v>
      </c>
      <c r="M191" s="372">
        <v>0</v>
      </c>
      <c r="N191" s="372">
        <v>0</v>
      </c>
      <c r="O191" s="372">
        <v>0</v>
      </c>
      <c r="P191" s="372">
        <v>0</v>
      </c>
      <c r="Q191" s="372">
        <v>0</v>
      </c>
      <c r="R191" s="372">
        <v>0</v>
      </c>
      <c r="S191" s="372">
        <v>0</v>
      </c>
      <c r="U191" s="1520" t="s">
        <v>1672</v>
      </c>
      <c r="V191" s="1463" t="s">
        <v>673</v>
      </c>
    </row>
    <row r="192" spans="1:22" ht="13.5" thickBot="1" x14ac:dyDescent="0.25">
      <c r="B192" s="2952" t="s">
        <v>2762</v>
      </c>
      <c r="C192" s="2952"/>
      <c r="D192" s="2952"/>
      <c r="E192" s="2952"/>
      <c r="F192" s="453">
        <f>SUM(F182:F191)</f>
        <v>0</v>
      </c>
      <c r="H192" s="453">
        <f t="shared" ref="H192:M192" si="26">SUM(H182:H191)</f>
        <v>0</v>
      </c>
      <c r="I192" s="453">
        <f t="shared" si="26"/>
        <v>0</v>
      </c>
      <c r="J192" s="453">
        <f t="shared" si="26"/>
        <v>0</v>
      </c>
      <c r="K192" s="453">
        <f t="shared" si="26"/>
        <v>0</v>
      </c>
      <c r="L192" s="453">
        <f t="shared" si="26"/>
        <v>0</v>
      </c>
      <c r="M192" s="453">
        <f t="shared" si="26"/>
        <v>0</v>
      </c>
      <c r="N192" s="453">
        <f t="shared" ref="N192:S192" si="27">SUM(N182:N191)</f>
        <v>0</v>
      </c>
      <c r="O192" s="453">
        <f t="shared" si="27"/>
        <v>0</v>
      </c>
      <c r="P192" s="453">
        <f t="shared" si="27"/>
        <v>0</v>
      </c>
      <c r="Q192" s="453">
        <f t="shared" si="27"/>
        <v>0</v>
      </c>
      <c r="R192" s="453">
        <f t="shared" si="27"/>
        <v>0</v>
      </c>
      <c r="S192" s="453">
        <f t="shared" si="27"/>
        <v>0</v>
      </c>
      <c r="T192" t="str">
        <f>IF(SUM(H192:S192)=F192,"OK ","Crossfoot error: sum of Col H thru S must equal total in Col F")</f>
        <v xml:space="preserve">OK </v>
      </c>
    </row>
    <row r="193" spans="1:21" ht="13.5" thickTop="1" x14ac:dyDescent="0.2"/>
    <row r="194" spans="1:21" x14ac:dyDescent="0.2">
      <c r="B194" s="191" t="s">
        <v>2763</v>
      </c>
      <c r="C194" s="191"/>
      <c r="D194" s="191"/>
      <c r="E194" s="191"/>
      <c r="F194" s="454" t="str">
        <f>IF(ROUND(F89+F99-F166-F179,2)=F192, "In Bal.","Out of Bal.")</f>
        <v>In Bal.</v>
      </c>
      <c r="H194" s="454" t="str">
        <f t="shared" ref="H194:S194" si="28">IF(ROUND(H89+H99-H166-H179,2)=H192, "In Bal.","Out of Bal.")</f>
        <v>In Bal.</v>
      </c>
      <c r="I194" s="454" t="str">
        <f t="shared" si="28"/>
        <v>In Bal.</v>
      </c>
      <c r="J194" s="454" t="str">
        <f t="shared" si="28"/>
        <v>In Bal.</v>
      </c>
      <c r="K194" s="454" t="str">
        <f t="shared" si="28"/>
        <v>In Bal.</v>
      </c>
      <c r="L194" s="454" t="str">
        <f t="shared" si="28"/>
        <v>In Bal.</v>
      </c>
      <c r="M194" s="454" t="str">
        <f t="shared" si="28"/>
        <v>In Bal.</v>
      </c>
      <c r="N194" s="454" t="str">
        <f t="shared" si="28"/>
        <v>In Bal.</v>
      </c>
      <c r="O194" s="454" t="str">
        <f t="shared" si="28"/>
        <v>In Bal.</v>
      </c>
      <c r="P194" s="454" t="str">
        <f t="shared" si="28"/>
        <v>In Bal.</v>
      </c>
      <c r="Q194" s="454" t="str">
        <f t="shared" si="28"/>
        <v>In Bal.</v>
      </c>
      <c r="R194" s="454" t="str">
        <f t="shared" si="28"/>
        <v>In Bal.</v>
      </c>
      <c r="S194" s="454" t="str">
        <f t="shared" si="28"/>
        <v>In Bal.</v>
      </c>
    </row>
    <row r="195" spans="1:21" ht="7.5" customHeight="1" x14ac:dyDescent="0.2"/>
    <row r="196" spans="1:21" x14ac:dyDescent="0.2">
      <c r="B196" s="2962" t="s">
        <v>2765</v>
      </c>
      <c r="C196" s="2962"/>
      <c r="D196" s="2962"/>
      <c r="E196" s="2962"/>
      <c r="U196" s="1520"/>
    </row>
    <row r="197" spans="1:21" x14ac:dyDescent="0.2">
      <c r="B197" s="2377" t="s">
        <v>2766</v>
      </c>
      <c r="C197" s="2377"/>
      <c r="U197" s="1520"/>
    </row>
    <row r="198" spans="1:21" x14ac:dyDescent="0.2">
      <c r="A198" s="191">
        <v>2310</v>
      </c>
      <c r="B198" s="2947" t="s">
        <v>2767</v>
      </c>
      <c r="C198" s="2947"/>
      <c r="D198" s="2947"/>
      <c r="E198" s="2947"/>
      <c r="F198" s="365">
        <f>SUM(H198:S198)</f>
        <v>0</v>
      </c>
      <c r="H198" s="372">
        <v>0</v>
      </c>
      <c r="I198" s="372">
        <v>0</v>
      </c>
      <c r="J198" s="372">
        <v>0</v>
      </c>
      <c r="K198" s="372">
        <v>0</v>
      </c>
      <c r="L198" s="372">
        <v>0</v>
      </c>
      <c r="M198" s="372">
        <v>0</v>
      </c>
      <c r="N198" s="372">
        <v>0</v>
      </c>
      <c r="O198" s="372">
        <v>0</v>
      </c>
      <c r="P198" s="372">
        <v>0</v>
      </c>
      <c r="Q198" s="372">
        <v>0</v>
      </c>
      <c r="R198" s="372">
        <v>0</v>
      </c>
      <c r="S198" s="372">
        <v>0</v>
      </c>
      <c r="U198" s="1463">
        <v>44101000</v>
      </c>
    </row>
    <row r="199" spans="1:21" x14ac:dyDescent="0.2">
      <c r="A199" s="191">
        <v>2320</v>
      </c>
      <c r="B199" s="2947" t="s">
        <v>2768</v>
      </c>
      <c r="C199" s="2947"/>
      <c r="D199" s="2947"/>
      <c r="E199" s="2947"/>
      <c r="F199" s="365">
        <f t="shared" ref="F199:F208" si="29">SUM(H199:S199)</f>
        <v>0</v>
      </c>
      <c r="G199" s="159"/>
      <c r="H199" s="372">
        <v>0</v>
      </c>
      <c r="I199" s="372">
        <v>0</v>
      </c>
      <c r="J199" s="372">
        <v>0</v>
      </c>
      <c r="K199" s="372">
        <v>0</v>
      </c>
      <c r="L199" s="372">
        <v>0</v>
      </c>
      <c r="M199" s="372">
        <v>0</v>
      </c>
      <c r="N199" s="372">
        <v>0</v>
      </c>
      <c r="O199" s="372">
        <v>0</v>
      </c>
      <c r="P199" s="372">
        <v>0</v>
      </c>
      <c r="Q199" s="372">
        <v>0</v>
      </c>
      <c r="R199" s="372">
        <v>0</v>
      </c>
      <c r="S199" s="372">
        <v>0</v>
      </c>
      <c r="U199" s="1463">
        <v>45800000</v>
      </c>
    </row>
    <row r="200" spans="1:21" x14ac:dyDescent="0.2">
      <c r="A200" s="191">
        <v>2330</v>
      </c>
      <c r="B200" s="2947" t="s">
        <v>2769</v>
      </c>
      <c r="C200" s="2947"/>
      <c r="D200" s="2947"/>
      <c r="E200" s="2947"/>
      <c r="F200" s="365">
        <f t="shared" si="29"/>
        <v>0</v>
      </c>
      <c r="G200" s="159"/>
      <c r="H200" s="372">
        <v>0</v>
      </c>
      <c r="I200" s="372">
        <v>0</v>
      </c>
      <c r="J200" s="372">
        <v>0</v>
      </c>
      <c r="K200" s="372">
        <v>0</v>
      </c>
      <c r="L200" s="372">
        <v>0</v>
      </c>
      <c r="M200" s="372">
        <v>0</v>
      </c>
      <c r="N200" s="372">
        <v>0</v>
      </c>
      <c r="O200" s="372">
        <v>0</v>
      </c>
      <c r="P200" s="372">
        <v>0</v>
      </c>
      <c r="Q200" s="372">
        <v>0</v>
      </c>
      <c r="R200" s="372">
        <v>0</v>
      </c>
      <c r="S200" s="372">
        <v>0</v>
      </c>
      <c r="U200" s="1463">
        <v>44200000</v>
      </c>
    </row>
    <row r="201" spans="1:21" x14ac:dyDescent="0.2">
      <c r="A201" s="191">
        <v>2350</v>
      </c>
      <c r="B201" s="2947" t="s">
        <v>2770</v>
      </c>
      <c r="C201" s="2947"/>
      <c r="D201" s="2947"/>
      <c r="E201" s="2947"/>
      <c r="F201" s="365">
        <f t="shared" si="29"/>
        <v>0</v>
      </c>
      <c r="G201" s="159"/>
      <c r="H201" s="372">
        <v>0</v>
      </c>
      <c r="I201" s="372">
        <v>0</v>
      </c>
      <c r="J201" s="372">
        <v>0</v>
      </c>
      <c r="K201" s="372">
        <v>0</v>
      </c>
      <c r="L201" s="372">
        <v>0</v>
      </c>
      <c r="M201" s="372">
        <v>0</v>
      </c>
      <c r="N201" s="372">
        <v>0</v>
      </c>
      <c r="O201" s="372">
        <v>0</v>
      </c>
      <c r="P201" s="372">
        <v>0</v>
      </c>
      <c r="Q201" s="372">
        <v>0</v>
      </c>
      <c r="R201" s="372">
        <v>0</v>
      </c>
      <c r="S201" s="372">
        <v>0</v>
      </c>
      <c r="U201" s="1463">
        <v>42997000</v>
      </c>
    </row>
    <row r="202" spans="1:21" x14ac:dyDescent="0.2">
      <c r="A202" s="191">
        <v>2370</v>
      </c>
      <c r="B202" s="2947" t="s">
        <v>2771</v>
      </c>
      <c r="C202" s="2947"/>
      <c r="D202" s="2947"/>
      <c r="E202" s="2947"/>
      <c r="F202" s="365">
        <f t="shared" si="29"/>
        <v>0</v>
      </c>
      <c r="H202" s="372">
        <v>0</v>
      </c>
      <c r="I202" s="372">
        <v>0</v>
      </c>
      <c r="J202" s="372">
        <v>0</v>
      </c>
      <c r="K202" s="372">
        <v>0</v>
      </c>
      <c r="L202" s="372">
        <v>0</v>
      </c>
      <c r="M202" s="372">
        <v>0</v>
      </c>
      <c r="N202" s="372">
        <v>0</v>
      </c>
      <c r="O202" s="372">
        <v>0</v>
      </c>
      <c r="P202" s="372">
        <v>0</v>
      </c>
      <c r="Q202" s="372">
        <v>0</v>
      </c>
      <c r="R202" s="372">
        <v>0</v>
      </c>
      <c r="S202" s="372">
        <v>0</v>
      </c>
      <c r="U202" s="1525" t="s">
        <v>2772</v>
      </c>
    </row>
    <row r="203" spans="1:21" x14ac:dyDescent="0.2">
      <c r="A203" s="191">
        <v>2390</v>
      </c>
      <c r="B203" s="2955" t="s">
        <v>2773</v>
      </c>
      <c r="C203" s="2955"/>
      <c r="D203" s="2955"/>
      <c r="E203" s="2955"/>
      <c r="F203" s="365">
        <f t="shared" si="29"/>
        <v>0</v>
      </c>
      <c r="H203" s="372">
        <v>0</v>
      </c>
      <c r="I203" s="372">
        <v>0</v>
      </c>
      <c r="J203" s="372">
        <v>0</v>
      </c>
      <c r="K203" s="372">
        <v>0</v>
      </c>
      <c r="L203" s="372">
        <v>0</v>
      </c>
      <c r="M203" s="372">
        <v>0</v>
      </c>
      <c r="N203" s="372">
        <v>0</v>
      </c>
      <c r="O203" s="372">
        <v>0</v>
      </c>
      <c r="P203" s="372">
        <v>0</v>
      </c>
      <c r="Q203" s="372">
        <v>0</v>
      </c>
      <c r="R203" s="372">
        <v>0</v>
      </c>
      <c r="S203" s="372">
        <v>0</v>
      </c>
      <c r="U203" s="1525" t="s">
        <v>2774</v>
      </c>
    </row>
    <row r="204" spans="1:21" x14ac:dyDescent="0.2">
      <c r="A204" s="191">
        <v>2400</v>
      </c>
      <c r="B204" s="2881" t="s">
        <v>2775</v>
      </c>
      <c r="C204" s="2881"/>
      <c r="D204" s="2881"/>
      <c r="E204" s="2881"/>
      <c r="F204" s="365">
        <f t="shared" si="29"/>
        <v>0</v>
      </c>
      <c r="H204" s="372">
        <v>0</v>
      </c>
      <c r="I204" s="372">
        <v>0</v>
      </c>
      <c r="J204" s="372">
        <v>0</v>
      </c>
      <c r="K204" s="372">
        <v>0</v>
      </c>
      <c r="L204" s="372">
        <v>0</v>
      </c>
      <c r="M204" s="372">
        <v>0</v>
      </c>
      <c r="N204" s="372">
        <v>0</v>
      </c>
      <c r="O204" s="372">
        <v>0</v>
      </c>
      <c r="P204" s="372">
        <v>0</v>
      </c>
      <c r="Q204" s="372">
        <v>0</v>
      </c>
      <c r="R204" s="372">
        <v>0</v>
      </c>
      <c r="S204" s="372">
        <v>0</v>
      </c>
      <c r="U204" s="1525" t="s">
        <v>2776</v>
      </c>
    </row>
    <row r="205" spans="1:21" x14ac:dyDescent="0.2">
      <c r="A205" s="191">
        <v>2410</v>
      </c>
      <c r="B205" s="2881" t="s">
        <v>1234</v>
      </c>
      <c r="C205" s="2881"/>
      <c r="D205" s="2881"/>
      <c r="E205" s="2881"/>
      <c r="F205" s="365">
        <f t="shared" si="29"/>
        <v>0</v>
      </c>
      <c r="H205" s="372">
        <v>0</v>
      </c>
      <c r="I205" s="372">
        <v>0</v>
      </c>
      <c r="J205" s="372">
        <v>0</v>
      </c>
      <c r="K205" s="372">
        <v>0</v>
      </c>
      <c r="L205" s="372">
        <v>0</v>
      </c>
      <c r="M205" s="372">
        <v>0</v>
      </c>
      <c r="N205" s="372">
        <v>0</v>
      </c>
      <c r="O205" s="372">
        <v>0</v>
      </c>
      <c r="P205" s="372">
        <v>0</v>
      </c>
      <c r="Q205" s="372">
        <v>0</v>
      </c>
      <c r="R205" s="372">
        <v>0</v>
      </c>
      <c r="S205" s="372">
        <v>0</v>
      </c>
      <c r="U205" s="1463">
        <v>43200000</v>
      </c>
    </row>
    <row r="206" spans="1:21" x14ac:dyDescent="0.2">
      <c r="A206" s="191">
        <v>2420</v>
      </c>
      <c r="B206" s="2881" t="s">
        <v>2777</v>
      </c>
      <c r="C206" s="2881"/>
      <c r="D206" s="2881"/>
      <c r="E206" s="2881"/>
      <c r="F206" s="365">
        <f t="shared" si="29"/>
        <v>0</v>
      </c>
      <c r="H206" s="372">
        <v>0</v>
      </c>
      <c r="I206" s="372">
        <v>0</v>
      </c>
      <c r="J206" s="372">
        <v>0</v>
      </c>
      <c r="K206" s="372">
        <v>0</v>
      </c>
      <c r="L206" s="372">
        <v>0</v>
      </c>
      <c r="M206" s="372">
        <v>0</v>
      </c>
      <c r="N206" s="372">
        <v>0</v>
      </c>
      <c r="O206" s="372">
        <v>0</v>
      </c>
      <c r="P206" s="372">
        <v>0</v>
      </c>
      <c r="Q206" s="372">
        <v>0</v>
      </c>
      <c r="R206" s="372">
        <v>0</v>
      </c>
      <c r="S206" s="372">
        <v>0</v>
      </c>
      <c r="U206" s="1463">
        <v>44410000</v>
      </c>
    </row>
    <row r="207" spans="1:21" x14ac:dyDescent="0.2">
      <c r="A207" s="191">
        <v>2430</v>
      </c>
      <c r="B207" s="2881" t="s">
        <v>1226</v>
      </c>
      <c r="C207" s="2881"/>
      <c r="D207" s="2881"/>
      <c r="E207" s="2881"/>
      <c r="F207" s="365">
        <f t="shared" si="29"/>
        <v>0</v>
      </c>
      <c r="H207" s="372">
        <v>0</v>
      </c>
      <c r="I207" s="372">
        <v>0</v>
      </c>
      <c r="J207" s="372">
        <v>0</v>
      </c>
      <c r="K207" s="372">
        <v>0</v>
      </c>
      <c r="L207" s="372">
        <v>0</v>
      </c>
      <c r="M207" s="372">
        <v>0</v>
      </c>
      <c r="N207" s="372">
        <v>0</v>
      </c>
      <c r="O207" s="372">
        <v>0</v>
      </c>
      <c r="P207" s="372">
        <v>0</v>
      </c>
      <c r="Q207" s="372">
        <v>0</v>
      </c>
      <c r="R207" s="372">
        <v>0</v>
      </c>
      <c r="S207" s="372">
        <v>0</v>
      </c>
      <c r="U207" s="1463">
        <v>47993000</v>
      </c>
    </row>
    <row r="208" spans="1:21" x14ac:dyDescent="0.2">
      <c r="A208" s="191">
        <v>2450</v>
      </c>
      <c r="B208" s="2881" t="s">
        <v>1775</v>
      </c>
      <c r="C208" s="2881"/>
      <c r="D208" s="2881"/>
      <c r="E208" s="2881"/>
      <c r="F208" s="365">
        <f t="shared" si="29"/>
        <v>0</v>
      </c>
      <c r="H208" s="372">
        <v>0</v>
      </c>
      <c r="I208" s="372">
        <v>0</v>
      </c>
      <c r="J208" s="372">
        <v>0</v>
      </c>
      <c r="K208" s="372">
        <v>0</v>
      </c>
      <c r="L208" s="372">
        <v>0</v>
      </c>
      <c r="M208" s="372">
        <v>0</v>
      </c>
      <c r="N208" s="372">
        <v>0</v>
      </c>
      <c r="O208" s="372">
        <v>0</v>
      </c>
      <c r="P208" s="372">
        <v>0</v>
      </c>
      <c r="Q208" s="372">
        <v>0</v>
      </c>
      <c r="R208" s="372">
        <v>0</v>
      </c>
      <c r="S208" s="372">
        <v>0</v>
      </c>
      <c r="U208" s="1463">
        <v>47111000</v>
      </c>
    </row>
    <row r="209" spans="1:21" x14ac:dyDescent="0.2">
      <c r="A209" s="191"/>
      <c r="B209" s="2952" t="s">
        <v>2778</v>
      </c>
      <c r="C209" s="2952"/>
      <c r="D209" s="2952"/>
      <c r="E209" s="2952"/>
      <c r="F209" s="374">
        <f>SUM(F198:F208)</f>
        <v>0</v>
      </c>
      <c r="H209" s="374">
        <f t="shared" ref="H209:S209" si="30">SUM(H198:H208)</f>
        <v>0</v>
      </c>
      <c r="I209" s="374">
        <f t="shared" si="30"/>
        <v>0</v>
      </c>
      <c r="J209" s="374">
        <f t="shared" si="30"/>
        <v>0</v>
      </c>
      <c r="K209" s="374">
        <f t="shared" si="30"/>
        <v>0</v>
      </c>
      <c r="L209" s="374">
        <f t="shared" si="30"/>
        <v>0</v>
      </c>
      <c r="M209" s="374">
        <f t="shared" si="30"/>
        <v>0</v>
      </c>
      <c r="N209" s="374">
        <f t="shared" si="30"/>
        <v>0</v>
      </c>
      <c r="O209" s="374">
        <f t="shared" si="30"/>
        <v>0</v>
      </c>
      <c r="P209" s="374">
        <f t="shared" si="30"/>
        <v>0</v>
      </c>
      <c r="Q209" s="374">
        <f t="shared" si="30"/>
        <v>0</v>
      </c>
      <c r="R209" s="374">
        <f t="shared" si="30"/>
        <v>0</v>
      </c>
      <c r="S209" s="374">
        <f t="shared" si="30"/>
        <v>0</v>
      </c>
      <c r="T209" t="str">
        <f>IF(SUM(H209:S209)=F209,"OK ","Crossfoot error: sum of Col H thru S must equal total in Col F")</f>
        <v xml:space="preserve">OK </v>
      </c>
      <c r="U209" s="1520"/>
    </row>
    <row r="210" spans="1:21" ht="5.25" customHeight="1" x14ac:dyDescent="0.2">
      <c r="U210" s="1520"/>
    </row>
    <row r="211" spans="1:21" ht="13.5" customHeight="1" x14ac:dyDescent="0.2">
      <c r="B211" s="2377" t="s">
        <v>2779</v>
      </c>
      <c r="U211" s="1520"/>
    </row>
    <row r="212" spans="1:21" x14ac:dyDescent="0.2">
      <c r="A212" s="191">
        <v>2490</v>
      </c>
      <c r="B212" s="2947" t="s">
        <v>2780</v>
      </c>
      <c r="C212" s="2947"/>
      <c r="D212" s="2947"/>
      <c r="E212" s="2947"/>
      <c r="F212" s="365">
        <f>SUM(H212:S212)</f>
        <v>0</v>
      </c>
      <c r="H212" s="372">
        <v>0</v>
      </c>
      <c r="I212" s="372">
        <v>0</v>
      </c>
      <c r="J212" s="372">
        <v>0</v>
      </c>
      <c r="K212" s="372">
        <v>0</v>
      </c>
      <c r="L212" s="372">
        <v>0</v>
      </c>
      <c r="M212" s="372">
        <v>0</v>
      </c>
      <c r="N212" s="372">
        <v>0</v>
      </c>
      <c r="O212" s="372">
        <v>0</v>
      </c>
      <c r="P212" s="372">
        <v>0</v>
      </c>
      <c r="Q212" s="372">
        <v>0</v>
      </c>
      <c r="R212" s="372">
        <v>0</v>
      </c>
      <c r="S212" s="372">
        <v>0</v>
      </c>
      <c r="U212" s="1463">
        <v>51110000</v>
      </c>
    </row>
    <row r="213" spans="1:21" x14ac:dyDescent="0.2">
      <c r="A213" s="191">
        <v>2510</v>
      </c>
      <c r="B213" s="2947" t="s">
        <v>4631</v>
      </c>
      <c r="C213" s="2947"/>
      <c r="D213" s="2947"/>
      <c r="E213" s="2947"/>
      <c r="F213" s="365">
        <f t="shared" ref="F213:F223" si="31">SUM(H213:S213)</f>
        <v>0</v>
      </c>
      <c r="H213" s="372">
        <v>0</v>
      </c>
      <c r="I213" s="372">
        <v>0</v>
      </c>
      <c r="J213" s="372">
        <v>0</v>
      </c>
      <c r="K213" s="372">
        <v>0</v>
      </c>
      <c r="L213" s="372">
        <v>0</v>
      </c>
      <c r="M213" s="372">
        <v>0</v>
      </c>
      <c r="N213" s="372">
        <v>0</v>
      </c>
      <c r="O213" s="372">
        <v>0</v>
      </c>
      <c r="P213" s="372">
        <v>0</v>
      </c>
      <c r="Q213" s="372">
        <v>0</v>
      </c>
      <c r="R213" s="372">
        <v>0</v>
      </c>
      <c r="S213" s="372">
        <v>0</v>
      </c>
      <c r="U213" s="1463">
        <v>53110000</v>
      </c>
    </row>
    <row r="214" spans="1:21" x14ac:dyDescent="0.2">
      <c r="A214" s="191">
        <v>2520</v>
      </c>
      <c r="B214" s="2955" t="s">
        <v>2782</v>
      </c>
      <c r="C214" s="2955"/>
      <c r="D214" s="2955"/>
      <c r="E214" s="2955"/>
      <c r="F214" s="365">
        <f t="shared" si="31"/>
        <v>0</v>
      </c>
      <c r="H214" s="372">
        <v>0</v>
      </c>
      <c r="I214" s="372">
        <v>0</v>
      </c>
      <c r="J214" s="372">
        <v>0</v>
      </c>
      <c r="K214" s="372">
        <v>0</v>
      </c>
      <c r="L214" s="372">
        <v>0</v>
      </c>
      <c r="M214" s="372">
        <v>0</v>
      </c>
      <c r="N214" s="372">
        <v>0</v>
      </c>
      <c r="O214" s="372">
        <v>0</v>
      </c>
      <c r="P214" s="372">
        <v>0</v>
      </c>
      <c r="Q214" s="372">
        <v>0</v>
      </c>
      <c r="R214" s="372">
        <v>0</v>
      </c>
      <c r="S214" s="372">
        <v>0</v>
      </c>
      <c r="U214" s="1463">
        <v>52110000</v>
      </c>
    </row>
    <row r="215" spans="1:21" x14ac:dyDescent="0.2">
      <c r="A215" s="191">
        <v>2550</v>
      </c>
      <c r="B215" s="2881" t="s">
        <v>2783</v>
      </c>
      <c r="C215" s="2881"/>
      <c r="D215" s="2881"/>
      <c r="E215" s="2881"/>
      <c r="F215" s="365">
        <f t="shared" si="31"/>
        <v>0</v>
      </c>
      <c r="H215" s="372">
        <v>0</v>
      </c>
      <c r="I215" s="372">
        <v>0</v>
      </c>
      <c r="J215" s="372">
        <v>0</v>
      </c>
      <c r="K215" s="372">
        <v>0</v>
      </c>
      <c r="L215" s="372">
        <v>0</v>
      </c>
      <c r="M215" s="372">
        <v>0</v>
      </c>
      <c r="N215" s="372">
        <v>0</v>
      </c>
      <c r="O215" s="372">
        <v>0</v>
      </c>
      <c r="P215" s="372">
        <v>0</v>
      </c>
      <c r="Q215" s="372">
        <v>0</v>
      </c>
      <c r="R215" s="372">
        <v>0</v>
      </c>
      <c r="S215" s="372">
        <v>0</v>
      </c>
      <c r="U215" s="1463">
        <v>53800000</v>
      </c>
    </row>
    <row r="216" spans="1:21" x14ac:dyDescent="0.2">
      <c r="A216" s="191">
        <v>2540</v>
      </c>
      <c r="B216" s="2881" t="s">
        <v>2784</v>
      </c>
      <c r="C216" s="2881"/>
      <c r="D216" s="2881"/>
      <c r="E216" s="2881"/>
      <c r="F216" s="365">
        <f t="shared" si="31"/>
        <v>0</v>
      </c>
      <c r="H216" s="372">
        <v>0</v>
      </c>
      <c r="I216" s="372">
        <v>0</v>
      </c>
      <c r="J216" s="372">
        <v>0</v>
      </c>
      <c r="K216" s="372">
        <v>0</v>
      </c>
      <c r="L216" s="372">
        <v>0</v>
      </c>
      <c r="M216" s="372">
        <v>0</v>
      </c>
      <c r="N216" s="372">
        <v>0</v>
      </c>
      <c r="O216" s="372">
        <v>0</v>
      </c>
      <c r="P216" s="372">
        <v>0</v>
      </c>
      <c r="Q216" s="372">
        <v>0</v>
      </c>
      <c r="R216" s="372">
        <v>0</v>
      </c>
      <c r="S216" s="372">
        <v>0</v>
      </c>
      <c r="U216" s="1463">
        <v>55210000</v>
      </c>
    </row>
    <row r="217" spans="1:21" x14ac:dyDescent="0.2">
      <c r="A217" s="191">
        <v>2560</v>
      </c>
      <c r="B217" s="2881" t="s">
        <v>676</v>
      </c>
      <c r="C217" s="2881"/>
      <c r="D217" s="2881"/>
      <c r="E217" s="2881"/>
      <c r="F217" s="365">
        <f t="shared" si="31"/>
        <v>0</v>
      </c>
      <c r="G217" s="159" t="str">
        <f>IF(F217='210'!M34," ","Should agree to total accumulated depreciation increases per ws 210, cell K25; provide explanation for difference on ws 210")</f>
        <v xml:space="preserve"> </v>
      </c>
      <c r="H217" s="372">
        <v>0</v>
      </c>
      <c r="I217" s="372">
        <v>0</v>
      </c>
      <c r="J217" s="372">
        <v>0</v>
      </c>
      <c r="K217" s="372">
        <v>0</v>
      </c>
      <c r="L217" s="372">
        <v>0</v>
      </c>
      <c r="M217" s="372">
        <v>0</v>
      </c>
      <c r="N217" s="372">
        <v>0</v>
      </c>
      <c r="O217" s="372">
        <v>0</v>
      </c>
      <c r="P217" s="372">
        <v>0</v>
      </c>
      <c r="Q217" s="372">
        <v>0</v>
      </c>
      <c r="R217" s="372">
        <v>0</v>
      </c>
      <c r="S217" s="372">
        <v>0</v>
      </c>
      <c r="U217" s="1463">
        <v>55430000</v>
      </c>
    </row>
    <row r="218" spans="1:21" x14ac:dyDescent="0.2">
      <c r="A218" s="191">
        <v>2570</v>
      </c>
      <c r="B218" s="2881" t="s">
        <v>2785</v>
      </c>
      <c r="C218" s="2881"/>
      <c r="D218" s="2881"/>
      <c r="E218" s="2881"/>
      <c r="F218" s="365">
        <f t="shared" si="31"/>
        <v>0</v>
      </c>
      <c r="H218" s="372">
        <v>0</v>
      </c>
      <c r="I218" s="372">
        <v>0</v>
      </c>
      <c r="J218" s="372">
        <v>0</v>
      </c>
      <c r="K218" s="372">
        <v>0</v>
      </c>
      <c r="L218" s="372">
        <v>0</v>
      </c>
      <c r="M218" s="372">
        <v>0</v>
      </c>
      <c r="N218" s="372">
        <v>0</v>
      </c>
      <c r="O218" s="372">
        <v>0</v>
      </c>
      <c r="P218" s="372">
        <v>0</v>
      </c>
      <c r="Q218" s="372">
        <v>0</v>
      </c>
      <c r="R218" s="372">
        <v>0</v>
      </c>
      <c r="S218" s="372">
        <v>0</v>
      </c>
      <c r="U218" s="1463">
        <v>52911000</v>
      </c>
    </row>
    <row r="219" spans="1:21" x14ac:dyDescent="0.2">
      <c r="A219" s="191">
        <v>2590</v>
      </c>
      <c r="B219" s="2947" t="s">
        <v>2786</v>
      </c>
      <c r="C219" s="2947"/>
      <c r="D219" s="2947"/>
      <c r="E219" s="2947"/>
      <c r="F219" s="365">
        <f t="shared" si="31"/>
        <v>0</v>
      </c>
      <c r="G219" s="159"/>
      <c r="H219" s="372">
        <v>0</v>
      </c>
      <c r="I219" s="372">
        <v>0</v>
      </c>
      <c r="J219" s="372">
        <v>0</v>
      </c>
      <c r="K219" s="372">
        <v>0</v>
      </c>
      <c r="L219" s="372">
        <v>0</v>
      </c>
      <c r="M219" s="372">
        <v>0</v>
      </c>
      <c r="N219" s="372">
        <v>0</v>
      </c>
      <c r="O219" s="372">
        <v>0</v>
      </c>
      <c r="P219" s="372">
        <v>0</v>
      </c>
      <c r="Q219" s="372">
        <v>0</v>
      </c>
      <c r="R219" s="372">
        <v>0</v>
      </c>
      <c r="S219" s="372">
        <v>0</v>
      </c>
      <c r="U219" s="1463">
        <v>56810000</v>
      </c>
    </row>
    <row r="220" spans="1:21" x14ac:dyDescent="0.2">
      <c r="A220" s="191"/>
      <c r="B220" s="191" t="s">
        <v>1361</v>
      </c>
      <c r="C220" s="890"/>
      <c r="D220" s="890"/>
      <c r="E220" s="890"/>
      <c r="F220" s="890"/>
      <c r="G220" s="159"/>
      <c r="H220" s="365"/>
      <c r="I220" s="365"/>
      <c r="J220" s="365"/>
      <c r="K220" s="365"/>
      <c r="L220" s="365"/>
      <c r="M220" s="365"/>
      <c r="N220" s="365"/>
      <c r="O220" s="365"/>
      <c r="P220" s="365"/>
      <c r="Q220" s="365"/>
      <c r="R220" s="365"/>
      <c r="S220" s="365"/>
      <c r="U220" s="1463"/>
    </row>
    <row r="221" spans="1:21" x14ac:dyDescent="0.2">
      <c r="A221" s="191">
        <v>2610</v>
      </c>
      <c r="B221" s="2951" t="s">
        <v>2787</v>
      </c>
      <c r="C221" s="2951"/>
      <c r="D221" s="2951"/>
      <c r="E221" s="2951"/>
      <c r="F221" s="365">
        <f t="shared" si="31"/>
        <v>0</v>
      </c>
      <c r="G221" s="159"/>
      <c r="H221" s="372">
        <v>0</v>
      </c>
      <c r="I221" s="372">
        <v>0</v>
      </c>
      <c r="J221" s="372">
        <v>0</v>
      </c>
      <c r="K221" s="372">
        <v>0</v>
      </c>
      <c r="L221" s="372">
        <v>0</v>
      </c>
      <c r="M221" s="372">
        <v>0</v>
      </c>
      <c r="N221" s="372">
        <v>0</v>
      </c>
      <c r="O221" s="372">
        <v>0</v>
      </c>
      <c r="P221" s="372">
        <v>0</v>
      </c>
      <c r="Q221" s="372">
        <v>0</v>
      </c>
      <c r="R221" s="372">
        <v>0</v>
      </c>
      <c r="S221" s="372">
        <v>0</v>
      </c>
      <c r="U221" s="1463">
        <v>52410000</v>
      </c>
    </row>
    <row r="222" spans="1:21" x14ac:dyDescent="0.2">
      <c r="A222" s="191">
        <v>2625</v>
      </c>
      <c r="B222" s="2951" t="s">
        <v>2788</v>
      </c>
      <c r="C222" s="2951"/>
      <c r="D222" s="2951"/>
      <c r="E222" s="2951"/>
      <c r="F222" s="365">
        <f t="shared" si="31"/>
        <v>0</v>
      </c>
      <c r="G222" s="159"/>
      <c r="H222" s="372">
        <v>0</v>
      </c>
      <c r="I222" s="372">
        <v>0</v>
      </c>
      <c r="J222" s="372">
        <v>0</v>
      </c>
      <c r="K222" s="372">
        <v>0</v>
      </c>
      <c r="L222" s="372">
        <v>0</v>
      </c>
      <c r="M222" s="372">
        <v>0</v>
      </c>
      <c r="N222" s="372">
        <v>0</v>
      </c>
      <c r="O222" s="372">
        <v>0</v>
      </c>
      <c r="P222" s="372">
        <v>0</v>
      </c>
      <c r="Q222" s="372">
        <v>0</v>
      </c>
      <c r="R222" s="372">
        <v>0</v>
      </c>
      <c r="S222" s="372">
        <v>0</v>
      </c>
      <c r="U222" s="1525">
        <v>56900000</v>
      </c>
    </row>
    <row r="223" spans="1:21" x14ac:dyDescent="0.2">
      <c r="A223" s="191">
        <v>2630</v>
      </c>
      <c r="B223" s="2951" t="s">
        <v>2789</v>
      </c>
      <c r="C223" s="2951"/>
      <c r="D223" s="2951"/>
      <c r="E223" s="2951"/>
      <c r="F223" s="365">
        <f t="shared" si="31"/>
        <v>0</v>
      </c>
      <c r="G223" s="159"/>
      <c r="H223" s="372">
        <v>0</v>
      </c>
      <c r="I223" s="372">
        <v>0</v>
      </c>
      <c r="J223" s="372">
        <v>0</v>
      </c>
      <c r="K223" s="372">
        <v>0</v>
      </c>
      <c r="L223" s="372">
        <v>0</v>
      </c>
      <c r="M223" s="372">
        <v>0</v>
      </c>
      <c r="N223" s="372">
        <v>0</v>
      </c>
      <c r="O223" s="372">
        <v>0</v>
      </c>
      <c r="P223" s="372">
        <v>0</v>
      </c>
      <c r="Q223" s="372">
        <v>0</v>
      </c>
      <c r="R223" s="372">
        <v>0</v>
      </c>
      <c r="S223" s="372">
        <v>0</v>
      </c>
      <c r="U223" s="1463">
        <v>52511000</v>
      </c>
    </row>
    <row r="224" spans="1:21" x14ac:dyDescent="0.2">
      <c r="B224" s="2952" t="s">
        <v>2790</v>
      </c>
      <c r="C224" s="2952"/>
      <c r="D224" s="2952"/>
      <c r="E224" s="2952"/>
      <c r="F224" s="403">
        <f>SUM(F212:F223)</f>
        <v>0</v>
      </c>
      <c r="H224" s="403">
        <f t="shared" ref="H224:S224" si="32">SUM(H212:H223)</f>
        <v>0</v>
      </c>
      <c r="I224" s="403">
        <f t="shared" si="32"/>
        <v>0</v>
      </c>
      <c r="J224" s="403">
        <f t="shared" si="32"/>
        <v>0</v>
      </c>
      <c r="K224" s="403">
        <f t="shared" si="32"/>
        <v>0</v>
      </c>
      <c r="L224" s="403">
        <f t="shared" si="32"/>
        <v>0</v>
      </c>
      <c r="M224" s="403">
        <f t="shared" si="32"/>
        <v>0</v>
      </c>
      <c r="N224" s="403">
        <f t="shared" si="32"/>
        <v>0</v>
      </c>
      <c r="O224" s="403">
        <f t="shared" si="32"/>
        <v>0</v>
      </c>
      <c r="P224" s="403">
        <f t="shared" si="32"/>
        <v>0</v>
      </c>
      <c r="Q224" s="403">
        <f t="shared" si="32"/>
        <v>0</v>
      </c>
      <c r="R224" s="403">
        <f t="shared" si="32"/>
        <v>0</v>
      </c>
      <c r="S224" s="403">
        <f t="shared" si="32"/>
        <v>0</v>
      </c>
      <c r="T224" t="str">
        <f>IF(SUM(H224:S224)=F224,"OK ","Crossfoot error: sum of Col H thru S must equal total in Col F")</f>
        <v xml:space="preserve">OK </v>
      </c>
      <c r="U224" s="1520"/>
    </row>
    <row r="225" spans="1:21" x14ac:dyDescent="0.2">
      <c r="B225" s="2952" t="s">
        <v>2791</v>
      </c>
      <c r="C225" s="2952"/>
      <c r="D225" s="2952"/>
      <c r="E225" s="2952"/>
      <c r="F225" s="403">
        <f>F209-F224</f>
        <v>0</v>
      </c>
      <c r="H225" s="403">
        <f t="shared" ref="H225:S225" si="33">H209-H224</f>
        <v>0</v>
      </c>
      <c r="I225" s="403">
        <f t="shared" si="33"/>
        <v>0</v>
      </c>
      <c r="J225" s="403">
        <f t="shared" si="33"/>
        <v>0</v>
      </c>
      <c r="K225" s="403">
        <f t="shared" si="33"/>
        <v>0</v>
      </c>
      <c r="L225" s="403">
        <f t="shared" si="33"/>
        <v>0</v>
      </c>
      <c r="M225" s="403">
        <f t="shared" si="33"/>
        <v>0</v>
      </c>
      <c r="N225" s="403">
        <f t="shared" si="33"/>
        <v>0</v>
      </c>
      <c r="O225" s="403">
        <f t="shared" si="33"/>
        <v>0</v>
      </c>
      <c r="P225" s="403">
        <f t="shared" si="33"/>
        <v>0</v>
      </c>
      <c r="Q225" s="403">
        <f t="shared" si="33"/>
        <v>0</v>
      </c>
      <c r="R225" s="403">
        <f t="shared" si="33"/>
        <v>0</v>
      </c>
      <c r="S225" s="403">
        <f t="shared" si="33"/>
        <v>0</v>
      </c>
      <c r="T225" t="str">
        <f>IF(SUM(H225:S225)=F225,"OK ","Crossfoot error: sum of Col H thru S must equal total in Col F")</f>
        <v xml:space="preserve">OK </v>
      </c>
      <c r="U225" s="1520"/>
    </row>
    <row r="226" spans="1:21" ht="3.75" customHeight="1" x14ac:dyDescent="0.2">
      <c r="B226" s="2367"/>
      <c r="C226" s="2367"/>
      <c r="D226" s="2367"/>
      <c r="E226" s="2367"/>
      <c r="U226" s="1520"/>
    </row>
    <row r="227" spans="1:21" x14ac:dyDescent="0.2">
      <c r="B227" s="2377" t="s">
        <v>2792</v>
      </c>
      <c r="U227" s="1520"/>
    </row>
    <row r="228" spans="1:21" x14ac:dyDescent="0.2">
      <c r="A228" s="191">
        <v>2690</v>
      </c>
      <c r="B228" s="2881" t="s">
        <v>2793</v>
      </c>
      <c r="C228" s="2881"/>
      <c r="D228" s="2881"/>
      <c r="E228" s="2881"/>
      <c r="F228" s="365">
        <f>SUM(H228:S228)</f>
        <v>0</v>
      </c>
      <c r="G228" s="528"/>
      <c r="H228" s="372">
        <v>0</v>
      </c>
      <c r="I228" s="372">
        <v>0</v>
      </c>
      <c r="J228" s="372">
        <v>0</v>
      </c>
      <c r="K228" s="372">
        <v>0</v>
      </c>
      <c r="L228" s="372">
        <v>0</v>
      </c>
      <c r="M228" s="372">
        <v>0</v>
      </c>
      <c r="N228" s="372">
        <v>0</v>
      </c>
      <c r="O228" s="372">
        <v>0</v>
      </c>
      <c r="P228" s="372">
        <v>0</v>
      </c>
      <c r="Q228" s="372">
        <v>0</v>
      </c>
      <c r="R228" s="372">
        <v>0</v>
      </c>
      <c r="S228" s="372">
        <v>0</v>
      </c>
      <c r="U228" s="1463">
        <v>49100000</v>
      </c>
    </row>
    <row r="229" spans="1:21" x14ac:dyDescent="0.2">
      <c r="A229" s="191">
        <v>2691</v>
      </c>
      <c r="B229" s="2881" t="s">
        <v>2794</v>
      </c>
      <c r="C229" s="2881"/>
      <c r="D229" s="2881"/>
      <c r="E229" s="2881"/>
      <c r="F229" s="365">
        <f t="shared" ref="F229:F246" si="34">SUM(H229:S229)</f>
        <v>0</v>
      </c>
      <c r="G229" s="621"/>
      <c r="H229" s="372">
        <v>0</v>
      </c>
      <c r="I229" s="372">
        <v>0</v>
      </c>
      <c r="J229" s="372">
        <v>0</v>
      </c>
      <c r="K229" s="372">
        <v>0</v>
      </c>
      <c r="L229" s="372">
        <v>0</v>
      </c>
      <c r="M229" s="372">
        <v>0</v>
      </c>
      <c r="N229" s="372">
        <v>0</v>
      </c>
      <c r="O229" s="372">
        <v>0</v>
      </c>
      <c r="P229" s="372">
        <v>0</v>
      </c>
      <c r="Q229" s="372">
        <v>0</v>
      </c>
      <c r="R229" s="372">
        <v>0</v>
      </c>
      <c r="S229" s="372">
        <v>0</v>
      </c>
      <c r="U229" s="1463">
        <v>42908000</v>
      </c>
    </row>
    <row r="230" spans="1:21" x14ac:dyDescent="0.2">
      <c r="A230" s="191">
        <v>2692</v>
      </c>
      <c r="B230" s="2881" t="s">
        <v>2795</v>
      </c>
      <c r="C230" s="2881"/>
      <c r="D230" s="2881"/>
      <c r="E230" s="2881"/>
      <c r="F230" s="365">
        <f t="shared" si="34"/>
        <v>0</v>
      </c>
      <c r="G230" s="528"/>
      <c r="H230" s="372">
        <v>0</v>
      </c>
      <c r="I230" s="372">
        <v>0</v>
      </c>
      <c r="J230" s="372">
        <v>0</v>
      </c>
      <c r="K230" s="372">
        <v>0</v>
      </c>
      <c r="L230" s="372">
        <v>0</v>
      </c>
      <c r="M230" s="372">
        <v>0</v>
      </c>
      <c r="N230" s="372">
        <v>0</v>
      </c>
      <c r="O230" s="372">
        <v>0</v>
      </c>
      <c r="P230" s="372">
        <v>0</v>
      </c>
      <c r="Q230" s="372">
        <v>0</v>
      </c>
      <c r="R230" s="372">
        <v>0</v>
      </c>
      <c r="S230" s="372">
        <v>0</v>
      </c>
      <c r="U230" s="1463">
        <v>42990000</v>
      </c>
    </row>
    <row r="231" spans="1:21" x14ac:dyDescent="0.2">
      <c r="A231" s="191">
        <v>2693</v>
      </c>
      <c r="B231" s="2881" t="s">
        <v>2796</v>
      </c>
      <c r="C231" s="2881"/>
      <c r="D231" s="2881"/>
      <c r="E231" s="2881"/>
      <c r="F231" s="365">
        <f t="shared" si="34"/>
        <v>0</v>
      </c>
      <c r="G231" s="528"/>
      <c r="H231" s="372">
        <v>0</v>
      </c>
      <c r="I231" s="372">
        <v>0</v>
      </c>
      <c r="J231" s="372">
        <v>0</v>
      </c>
      <c r="K231" s="372">
        <v>0</v>
      </c>
      <c r="L231" s="372">
        <v>0</v>
      </c>
      <c r="M231" s="372">
        <v>0</v>
      </c>
      <c r="N231" s="372">
        <v>0</v>
      </c>
      <c r="O231" s="372">
        <v>0</v>
      </c>
      <c r="P231" s="372">
        <v>0</v>
      </c>
      <c r="Q231" s="372"/>
      <c r="R231" s="372">
        <v>0</v>
      </c>
      <c r="S231" s="372">
        <v>0</v>
      </c>
      <c r="U231" s="1525">
        <v>42905000</v>
      </c>
    </row>
    <row r="232" spans="1:21" x14ac:dyDescent="0.2">
      <c r="A232" s="191">
        <v>2700</v>
      </c>
      <c r="B232" s="2947" t="s">
        <v>2798</v>
      </c>
      <c r="C232" s="2947"/>
      <c r="D232" s="2947"/>
      <c r="E232" s="2947"/>
      <c r="F232" s="365">
        <f t="shared" si="34"/>
        <v>0</v>
      </c>
      <c r="H232" s="372">
        <v>0</v>
      </c>
      <c r="I232" s="372">
        <v>0</v>
      </c>
      <c r="J232" s="372">
        <v>0</v>
      </c>
      <c r="K232" s="372">
        <v>0</v>
      </c>
      <c r="L232" s="372">
        <v>0</v>
      </c>
      <c r="M232" s="372">
        <v>0</v>
      </c>
      <c r="N232" s="372">
        <v>0</v>
      </c>
      <c r="O232" s="372">
        <v>0</v>
      </c>
      <c r="P232" s="372">
        <v>0</v>
      </c>
      <c r="Q232" s="372">
        <v>0</v>
      </c>
      <c r="R232" s="372">
        <v>0</v>
      </c>
      <c r="S232" s="372">
        <v>0</v>
      </c>
      <c r="U232" s="1525" t="s">
        <v>2799</v>
      </c>
    </row>
    <row r="233" spans="1:21" x14ac:dyDescent="0.2">
      <c r="A233" s="191">
        <v>2701</v>
      </c>
      <c r="B233" s="2947" t="s">
        <v>2800</v>
      </c>
      <c r="C233" s="2947"/>
      <c r="D233" s="2947"/>
      <c r="E233" s="2947"/>
      <c r="F233" s="365">
        <f t="shared" si="34"/>
        <v>0</v>
      </c>
      <c r="H233" s="372">
        <v>0</v>
      </c>
      <c r="I233" s="372">
        <v>0</v>
      </c>
      <c r="J233" s="372">
        <v>0</v>
      </c>
      <c r="K233" s="372">
        <v>0</v>
      </c>
      <c r="L233" s="372">
        <v>0</v>
      </c>
      <c r="M233" s="372">
        <v>0</v>
      </c>
      <c r="N233" s="372">
        <v>0</v>
      </c>
      <c r="O233" s="372">
        <v>0</v>
      </c>
      <c r="P233" s="372">
        <v>0</v>
      </c>
      <c r="Q233" s="372"/>
      <c r="R233" s="372">
        <v>0</v>
      </c>
      <c r="S233" s="372">
        <v>0</v>
      </c>
      <c r="U233" s="1525" t="s">
        <v>2801</v>
      </c>
    </row>
    <row r="234" spans="1:21" x14ac:dyDescent="0.2">
      <c r="A234" s="191">
        <v>2710</v>
      </c>
      <c r="B234" s="2955" t="s">
        <v>2802</v>
      </c>
      <c r="C234" s="2955"/>
      <c r="D234" s="2955"/>
      <c r="E234" s="2955"/>
      <c r="F234" s="365">
        <f t="shared" si="34"/>
        <v>0</v>
      </c>
      <c r="H234" s="372">
        <v>0</v>
      </c>
      <c r="I234" s="372">
        <v>0</v>
      </c>
      <c r="J234" s="372">
        <v>0</v>
      </c>
      <c r="K234" s="372">
        <v>0</v>
      </c>
      <c r="L234" s="372">
        <v>0</v>
      </c>
      <c r="M234" s="372">
        <v>0</v>
      </c>
      <c r="N234" s="372">
        <v>0</v>
      </c>
      <c r="O234" s="372">
        <v>0</v>
      </c>
      <c r="P234" s="372">
        <v>0</v>
      </c>
      <c r="Q234" s="372">
        <v>0</v>
      </c>
      <c r="R234" s="372">
        <v>0</v>
      </c>
      <c r="S234" s="372">
        <v>0</v>
      </c>
      <c r="U234" s="1463">
        <v>46200000</v>
      </c>
    </row>
    <row r="235" spans="1:21" x14ac:dyDescent="0.2">
      <c r="A235" s="191">
        <v>2711</v>
      </c>
      <c r="B235" s="2955" t="s">
        <v>2803</v>
      </c>
      <c r="C235" s="2955"/>
      <c r="D235" s="2955"/>
      <c r="E235" s="2955"/>
      <c r="F235" s="365">
        <f t="shared" si="34"/>
        <v>0</v>
      </c>
      <c r="H235" s="372">
        <v>0</v>
      </c>
      <c r="I235" s="372">
        <v>0</v>
      </c>
      <c r="J235" s="372">
        <v>0</v>
      </c>
      <c r="K235" s="372">
        <v>0</v>
      </c>
      <c r="L235" s="372">
        <v>0</v>
      </c>
      <c r="M235" s="372">
        <v>0</v>
      </c>
      <c r="N235" s="372">
        <v>0</v>
      </c>
      <c r="O235" s="372">
        <v>0</v>
      </c>
      <c r="P235" s="372">
        <v>0</v>
      </c>
      <c r="Q235" s="372"/>
      <c r="R235" s="372">
        <v>0</v>
      </c>
      <c r="S235" s="372">
        <v>0</v>
      </c>
      <c r="U235" s="1463">
        <v>46207000</v>
      </c>
    </row>
    <row r="236" spans="1:21" x14ac:dyDescent="0.2">
      <c r="A236" s="191">
        <v>2720</v>
      </c>
      <c r="B236" s="2881" t="s">
        <v>2804</v>
      </c>
      <c r="C236" s="2881"/>
      <c r="D236" s="2881"/>
      <c r="E236" s="2881"/>
      <c r="F236" s="365">
        <f t="shared" si="34"/>
        <v>0</v>
      </c>
      <c r="G236" s="628" t="str">
        <f>IF(F236&gt;0, "Problem: Expense must be entered as negative number"," ")</f>
        <v xml:space="preserve"> </v>
      </c>
      <c r="H236" s="372">
        <v>0</v>
      </c>
      <c r="I236" s="372">
        <v>0</v>
      </c>
      <c r="J236" s="372">
        <v>0</v>
      </c>
      <c r="K236" s="372">
        <v>0</v>
      </c>
      <c r="L236" s="372">
        <v>0</v>
      </c>
      <c r="M236" s="372">
        <v>0</v>
      </c>
      <c r="N236" s="372">
        <v>0</v>
      </c>
      <c r="O236" s="372">
        <v>0</v>
      </c>
      <c r="P236" s="372">
        <v>0</v>
      </c>
      <c r="Q236" s="372">
        <v>0</v>
      </c>
      <c r="R236" s="372">
        <v>0</v>
      </c>
      <c r="S236" s="372">
        <v>0</v>
      </c>
      <c r="U236" s="1463">
        <v>55321000</v>
      </c>
    </row>
    <row r="237" spans="1:21" x14ac:dyDescent="0.2">
      <c r="A237" s="191">
        <v>2740</v>
      </c>
      <c r="B237" s="2881" t="s">
        <v>2805</v>
      </c>
      <c r="C237" s="2881"/>
      <c r="D237" s="2881"/>
      <c r="E237" s="2881"/>
      <c r="F237" s="365">
        <f t="shared" si="34"/>
        <v>0</v>
      </c>
      <c r="G237" s="628" t="str">
        <f>IF(F237&lt;0, "Problem: Gain must be entered as positive number; if loss, please key to loss caption below instead"," ")</f>
        <v xml:space="preserve"> </v>
      </c>
      <c r="H237" s="372">
        <v>0</v>
      </c>
      <c r="I237" s="372">
        <v>0</v>
      </c>
      <c r="J237" s="372">
        <v>0</v>
      </c>
      <c r="K237" s="372">
        <v>0</v>
      </c>
      <c r="L237" s="372">
        <v>0</v>
      </c>
      <c r="M237" s="372">
        <v>0</v>
      </c>
      <c r="N237" s="372">
        <v>0</v>
      </c>
      <c r="O237" s="372">
        <v>0</v>
      </c>
      <c r="P237" s="372">
        <v>0</v>
      </c>
      <c r="Q237" s="372">
        <v>0</v>
      </c>
      <c r="R237" s="372">
        <v>0</v>
      </c>
      <c r="S237" s="372">
        <v>0</v>
      </c>
      <c r="U237" s="1463">
        <v>44330000</v>
      </c>
    </row>
    <row r="238" spans="1:21" x14ac:dyDescent="0.2">
      <c r="A238" s="191">
        <v>2750</v>
      </c>
      <c r="B238" s="2881" t="s">
        <v>2806</v>
      </c>
      <c r="C238" s="2881"/>
      <c r="D238" s="2881"/>
      <c r="E238" s="2881"/>
      <c r="F238" s="365">
        <f t="shared" si="34"/>
        <v>0</v>
      </c>
      <c r="G238" s="628" t="str">
        <f>IF(F238&gt;0, "Problem: Expense/Loss must be entered as negative number; if gain, please key to gain caption above instead"," ")</f>
        <v xml:space="preserve"> </v>
      </c>
      <c r="H238" s="372">
        <v>0</v>
      </c>
      <c r="I238" s="372">
        <v>0</v>
      </c>
      <c r="J238" s="372">
        <v>0</v>
      </c>
      <c r="K238" s="372">
        <v>0</v>
      </c>
      <c r="L238" s="372">
        <v>0</v>
      </c>
      <c r="M238" s="372">
        <v>0</v>
      </c>
      <c r="N238" s="372">
        <v>0</v>
      </c>
      <c r="O238" s="372">
        <v>0</v>
      </c>
      <c r="P238" s="372">
        <v>0</v>
      </c>
      <c r="Q238" s="372">
        <v>0</v>
      </c>
      <c r="R238" s="372">
        <v>0</v>
      </c>
      <c r="S238" s="372">
        <v>0</v>
      </c>
      <c r="U238" s="1463">
        <v>55650000</v>
      </c>
    </row>
    <row r="239" spans="1:21" x14ac:dyDescent="0.2">
      <c r="A239" s="191">
        <v>2755</v>
      </c>
      <c r="B239" s="2881" t="s">
        <v>2807</v>
      </c>
      <c r="C239" s="2881"/>
      <c r="D239" s="2881"/>
      <c r="E239" s="2881"/>
      <c r="F239" s="365">
        <f t="shared" si="34"/>
        <v>0</v>
      </c>
      <c r="H239" s="372">
        <v>0</v>
      </c>
      <c r="I239" s="372">
        <v>0</v>
      </c>
      <c r="J239" s="372">
        <v>0</v>
      </c>
      <c r="K239" s="372">
        <v>0</v>
      </c>
      <c r="L239" s="372">
        <v>0</v>
      </c>
      <c r="M239" s="372">
        <v>0</v>
      </c>
      <c r="N239" s="372">
        <v>0</v>
      </c>
      <c r="O239" s="372">
        <v>0</v>
      </c>
      <c r="P239" s="372">
        <v>0</v>
      </c>
      <c r="Q239" s="372">
        <v>0</v>
      </c>
      <c r="R239" s="372">
        <v>0</v>
      </c>
      <c r="S239" s="372">
        <v>0</v>
      </c>
      <c r="U239" s="1463">
        <v>55341000</v>
      </c>
    </row>
    <row r="240" spans="1:21" x14ac:dyDescent="0.2">
      <c r="A240" s="191">
        <v>2760</v>
      </c>
      <c r="B240" s="2881" t="s">
        <v>1228</v>
      </c>
      <c r="C240" s="2881"/>
      <c r="D240" s="2881"/>
      <c r="E240" s="2881"/>
      <c r="F240" s="365">
        <f t="shared" si="34"/>
        <v>0</v>
      </c>
      <c r="H240" s="372">
        <v>0</v>
      </c>
      <c r="I240" s="372">
        <v>0</v>
      </c>
      <c r="J240" s="372">
        <v>0</v>
      </c>
      <c r="K240" s="372">
        <v>0</v>
      </c>
      <c r="L240" s="372">
        <v>0</v>
      </c>
      <c r="M240" s="372">
        <v>0</v>
      </c>
      <c r="N240" s="372">
        <v>0</v>
      </c>
      <c r="O240" s="372">
        <v>0</v>
      </c>
      <c r="P240" s="372">
        <v>0</v>
      </c>
      <c r="Q240" s="372">
        <v>0</v>
      </c>
      <c r="R240" s="372">
        <v>0</v>
      </c>
      <c r="S240" s="372">
        <v>0</v>
      </c>
      <c r="U240" s="1463">
        <v>43111000</v>
      </c>
    </row>
    <row r="241" spans="1:21" x14ac:dyDescent="0.2">
      <c r="A241" s="191">
        <v>2770</v>
      </c>
      <c r="B241" s="2881" t="s">
        <v>2808</v>
      </c>
      <c r="C241" s="2881"/>
      <c r="D241" s="2881"/>
      <c r="E241" s="2881"/>
      <c r="F241" s="365">
        <f t="shared" si="34"/>
        <v>0</v>
      </c>
      <c r="H241" s="372">
        <v>0</v>
      </c>
      <c r="I241" s="372">
        <v>0</v>
      </c>
      <c r="J241" s="372">
        <v>0</v>
      </c>
      <c r="K241" s="372">
        <v>0</v>
      </c>
      <c r="L241" s="372">
        <v>0</v>
      </c>
      <c r="M241" s="372">
        <v>0</v>
      </c>
      <c r="N241" s="372">
        <v>0</v>
      </c>
      <c r="O241" s="372">
        <v>0</v>
      </c>
      <c r="P241" s="372">
        <v>0</v>
      </c>
      <c r="Q241" s="372">
        <v>0</v>
      </c>
      <c r="R241" s="372">
        <v>0</v>
      </c>
      <c r="S241" s="372">
        <v>0</v>
      </c>
      <c r="U241" s="1463">
        <v>47116000</v>
      </c>
    </row>
    <row r="242" spans="1:21" x14ac:dyDescent="0.2">
      <c r="A242" s="191">
        <v>2780</v>
      </c>
      <c r="B242" s="2881" t="s">
        <v>2809</v>
      </c>
      <c r="C242" s="2881"/>
      <c r="D242" s="2881"/>
      <c r="E242" s="2881"/>
      <c r="F242" s="365">
        <f t="shared" si="34"/>
        <v>0</v>
      </c>
      <c r="G242" s="628" t="str">
        <f>IF(F242&gt;0, "Problem: Nonoperating expense must be entered as negative number; if grant revenue, please see captions above"," ")</f>
        <v xml:space="preserve"> </v>
      </c>
      <c r="H242" s="372">
        <v>0</v>
      </c>
      <c r="I242" s="372">
        <v>0</v>
      </c>
      <c r="J242" s="372">
        <v>0</v>
      </c>
      <c r="K242" s="372">
        <v>0</v>
      </c>
      <c r="L242" s="372">
        <v>0</v>
      </c>
      <c r="M242" s="372">
        <v>0</v>
      </c>
      <c r="N242" s="372">
        <v>0</v>
      </c>
      <c r="O242" s="372">
        <v>0</v>
      </c>
      <c r="P242" s="372">
        <v>0</v>
      </c>
      <c r="Q242" s="372">
        <v>0</v>
      </c>
      <c r="R242" s="372">
        <v>0</v>
      </c>
      <c r="S242" s="372">
        <v>0</v>
      </c>
      <c r="U242" s="1525" t="s">
        <v>2810</v>
      </c>
    </row>
    <row r="243" spans="1:21" x14ac:dyDescent="0.2">
      <c r="A243" s="191">
        <v>2785</v>
      </c>
      <c r="B243" s="2881" t="s">
        <v>1232</v>
      </c>
      <c r="C243" s="2881"/>
      <c r="D243" s="2881"/>
      <c r="E243" s="2881"/>
      <c r="F243" s="365">
        <f t="shared" si="34"/>
        <v>0</v>
      </c>
      <c r="G243" s="159"/>
      <c r="H243" s="372">
        <v>0</v>
      </c>
      <c r="I243" s="372">
        <v>0</v>
      </c>
      <c r="J243" s="372">
        <v>0</v>
      </c>
      <c r="K243" s="372">
        <v>0</v>
      </c>
      <c r="L243" s="372">
        <v>0</v>
      </c>
      <c r="M243" s="372">
        <v>0</v>
      </c>
      <c r="N243" s="372">
        <v>0</v>
      </c>
      <c r="O243" s="372">
        <v>0</v>
      </c>
      <c r="P243" s="372">
        <v>0</v>
      </c>
      <c r="Q243" s="372">
        <v>0</v>
      </c>
      <c r="R243" s="372">
        <v>0</v>
      </c>
      <c r="S243" s="372">
        <v>0</v>
      </c>
      <c r="U243" s="1463">
        <v>42907000</v>
      </c>
    </row>
    <row r="244" spans="1:21" x14ac:dyDescent="0.2">
      <c r="A244" s="191">
        <v>2786</v>
      </c>
      <c r="B244" s="2881" t="s">
        <v>2811</v>
      </c>
      <c r="C244" s="2881"/>
      <c r="D244" s="2881"/>
      <c r="E244" s="2881"/>
      <c r="F244" s="365">
        <f t="shared" si="34"/>
        <v>0</v>
      </c>
      <c r="G244" s="159"/>
      <c r="H244" s="372">
        <v>0</v>
      </c>
      <c r="I244" s="372">
        <v>0</v>
      </c>
      <c r="J244" s="372">
        <v>0</v>
      </c>
      <c r="K244" s="372">
        <v>0</v>
      </c>
      <c r="L244" s="372">
        <v>0</v>
      </c>
      <c r="M244" s="372">
        <v>0</v>
      </c>
      <c r="N244" s="372">
        <v>0</v>
      </c>
      <c r="O244" s="372">
        <v>0</v>
      </c>
      <c r="P244" s="372">
        <v>0</v>
      </c>
      <c r="Q244" s="372"/>
      <c r="R244" s="372"/>
      <c r="S244" s="372"/>
      <c r="U244" s="1463">
        <v>47128000</v>
      </c>
    </row>
    <row r="245" spans="1:21" x14ac:dyDescent="0.2">
      <c r="A245" s="191">
        <v>2800</v>
      </c>
      <c r="B245" s="2881" t="s">
        <v>2812</v>
      </c>
      <c r="C245" s="2881"/>
      <c r="D245" s="2881"/>
      <c r="E245" s="2881"/>
      <c r="F245" s="365">
        <f t="shared" si="34"/>
        <v>0</v>
      </c>
      <c r="G245" s="628" t="str">
        <f>IF(F245&lt;0, "Problem: Misc nonperating revenue must be entered as positive number; if expense key to nonoperating expense caption below"," ")</f>
        <v xml:space="preserve"> </v>
      </c>
      <c r="H245" s="372">
        <v>0</v>
      </c>
      <c r="I245" s="372">
        <v>0</v>
      </c>
      <c r="J245" s="372">
        <v>0</v>
      </c>
      <c r="K245" s="372">
        <v>0</v>
      </c>
      <c r="L245" s="372">
        <v>0</v>
      </c>
      <c r="M245" s="372">
        <v>0</v>
      </c>
      <c r="N245" s="372">
        <v>0</v>
      </c>
      <c r="O245" s="372">
        <v>0</v>
      </c>
      <c r="P245" s="372">
        <v>0</v>
      </c>
      <c r="Q245" s="372">
        <v>0</v>
      </c>
      <c r="R245" s="372">
        <v>0</v>
      </c>
      <c r="S245" s="372">
        <v>0</v>
      </c>
      <c r="U245" s="1463">
        <v>44321000</v>
      </c>
    </row>
    <row r="246" spans="1:21" x14ac:dyDescent="0.2">
      <c r="A246" s="191">
        <v>2810</v>
      </c>
      <c r="B246" s="2881" t="s">
        <v>2813</v>
      </c>
      <c r="C246" s="2881"/>
      <c r="D246" s="2881"/>
      <c r="E246" s="2881"/>
      <c r="F246" s="365">
        <f t="shared" si="34"/>
        <v>0</v>
      </c>
      <c r="G246" s="628" t="str">
        <f>IF(F246&gt;0, "Problem: Misc nonoperating expense must be entered as negative number; if revenue, key to nonoperating revenue caption above."," ")</f>
        <v xml:space="preserve"> </v>
      </c>
      <c r="H246" s="372">
        <v>0</v>
      </c>
      <c r="I246" s="372">
        <v>0</v>
      </c>
      <c r="J246" s="372">
        <v>0</v>
      </c>
      <c r="K246" s="372">
        <v>0</v>
      </c>
      <c r="L246" s="372">
        <v>0</v>
      </c>
      <c r="M246" s="372">
        <v>0</v>
      </c>
      <c r="N246" s="372">
        <v>0</v>
      </c>
      <c r="O246" s="372">
        <v>0</v>
      </c>
      <c r="P246" s="372">
        <v>0</v>
      </c>
      <c r="Q246" s="372">
        <v>0</v>
      </c>
      <c r="R246" s="372">
        <v>0</v>
      </c>
      <c r="S246" s="372">
        <v>0</v>
      </c>
      <c r="U246" s="1463">
        <v>55332000</v>
      </c>
    </row>
    <row r="247" spans="1:21" x14ac:dyDescent="0.2">
      <c r="B247" s="2952" t="s">
        <v>2814</v>
      </c>
      <c r="C247" s="2952"/>
      <c r="D247" s="2952"/>
      <c r="E247" s="2952"/>
      <c r="F247" s="374">
        <f>SUM(F228:F246)</f>
        <v>0</v>
      </c>
      <c r="H247" s="374">
        <f t="shared" ref="H247:S247" si="35">SUM(H228:H246)</f>
        <v>0</v>
      </c>
      <c r="I247" s="374">
        <f t="shared" si="35"/>
        <v>0</v>
      </c>
      <c r="J247" s="374">
        <f t="shared" si="35"/>
        <v>0</v>
      </c>
      <c r="K247" s="374">
        <f t="shared" si="35"/>
        <v>0</v>
      </c>
      <c r="L247" s="374">
        <f t="shared" si="35"/>
        <v>0</v>
      </c>
      <c r="M247" s="374">
        <f t="shared" si="35"/>
        <v>0</v>
      </c>
      <c r="N247" s="374">
        <f t="shared" si="35"/>
        <v>0</v>
      </c>
      <c r="O247" s="374">
        <f t="shared" si="35"/>
        <v>0</v>
      </c>
      <c r="P247" s="374">
        <f t="shared" si="35"/>
        <v>0</v>
      </c>
      <c r="Q247" s="374">
        <f t="shared" si="35"/>
        <v>0</v>
      </c>
      <c r="R247" s="374">
        <f t="shared" si="35"/>
        <v>0</v>
      </c>
      <c r="S247" s="374">
        <f t="shared" si="35"/>
        <v>0</v>
      </c>
      <c r="T247" t="str">
        <f>IF(SUM(H247:S247)=F247,"OK ","Crossfoot error: sum of Col H thru S must equal total in Col F")</f>
        <v xml:space="preserve">OK </v>
      </c>
      <c r="U247" s="1520"/>
    </row>
    <row r="248" spans="1:21" x14ac:dyDescent="0.2">
      <c r="B248" s="2952" t="s">
        <v>2815</v>
      </c>
      <c r="C248" s="2952"/>
      <c r="D248" s="2952"/>
      <c r="E248" s="2952"/>
      <c r="F248" s="374">
        <f>F225+F247</f>
        <v>0</v>
      </c>
      <c r="H248" s="374">
        <f t="shared" ref="H248:S248" si="36">H225+H247</f>
        <v>0</v>
      </c>
      <c r="I248" s="374">
        <f t="shared" si="36"/>
        <v>0</v>
      </c>
      <c r="J248" s="374">
        <f t="shared" si="36"/>
        <v>0</v>
      </c>
      <c r="K248" s="374">
        <f t="shared" si="36"/>
        <v>0</v>
      </c>
      <c r="L248" s="374">
        <f t="shared" si="36"/>
        <v>0</v>
      </c>
      <c r="M248" s="374">
        <f t="shared" si="36"/>
        <v>0</v>
      </c>
      <c r="N248" s="374">
        <f t="shared" si="36"/>
        <v>0</v>
      </c>
      <c r="O248" s="374">
        <f t="shared" si="36"/>
        <v>0</v>
      </c>
      <c r="P248" s="374">
        <f t="shared" si="36"/>
        <v>0</v>
      </c>
      <c r="Q248" s="374">
        <f t="shared" si="36"/>
        <v>0</v>
      </c>
      <c r="R248" s="374">
        <f t="shared" si="36"/>
        <v>0</v>
      </c>
      <c r="S248" s="374">
        <f t="shared" si="36"/>
        <v>0</v>
      </c>
      <c r="T248" t="str">
        <f>IF(SUM(H248:S248)=F248,"OK ","Crossfoot error: sum of Col H thru S must equal total in Col F")</f>
        <v xml:space="preserve">OK </v>
      </c>
      <c r="U248" s="1520"/>
    </row>
    <row r="249" spans="1:21" x14ac:dyDescent="0.2">
      <c r="A249" s="527">
        <v>2870</v>
      </c>
      <c r="B249" s="2947" t="s">
        <v>2816</v>
      </c>
      <c r="C249" s="2947"/>
      <c r="D249" s="2947"/>
      <c r="E249" s="2947"/>
      <c r="F249" s="365">
        <f>SUM(H249:S249)</f>
        <v>0</v>
      </c>
      <c r="G249" s="528"/>
      <c r="H249" s="372">
        <v>0</v>
      </c>
      <c r="I249" s="372">
        <v>0</v>
      </c>
      <c r="J249" s="372">
        <v>0</v>
      </c>
      <c r="K249" s="372">
        <v>0</v>
      </c>
      <c r="L249" s="372">
        <v>0</v>
      </c>
      <c r="M249" s="372">
        <v>0</v>
      </c>
      <c r="N249" s="372">
        <v>0</v>
      </c>
      <c r="O249" s="372">
        <v>0</v>
      </c>
      <c r="P249" s="372">
        <v>0</v>
      </c>
      <c r="Q249" s="372">
        <v>0</v>
      </c>
      <c r="R249" s="372">
        <v>0</v>
      </c>
      <c r="S249" s="372">
        <v>0</v>
      </c>
      <c r="U249" s="1463">
        <v>42901000</v>
      </c>
    </row>
    <row r="250" spans="1:21" x14ac:dyDescent="0.2">
      <c r="A250" s="191">
        <v>2880</v>
      </c>
      <c r="B250" s="2947" t="s">
        <v>2817</v>
      </c>
      <c r="C250" s="2947"/>
      <c r="D250" s="2947"/>
      <c r="E250" s="2947"/>
      <c r="F250" s="365">
        <f>SUM(H250:S250)</f>
        <v>0</v>
      </c>
      <c r="H250" s="372">
        <v>0</v>
      </c>
      <c r="I250" s="372">
        <v>0</v>
      </c>
      <c r="J250" s="372">
        <v>0</v>
      </c>
      <c r="K250" s="372">
        <v>0</v>
      </c>
      <c r="L250" s="372">
        <v>0</v>
      </c>
      <c r="M250" s="372">
        <v>0</v>
      </c>
      <c r="N250" s="372">
        <v>0</v>
      </c>
      <c r="O250" s="372">
        <v>0</v>
      </c>
      <c r="P250" s="372">
        <v>0</v>
      </c>
      <c r="Q250" s="372">
        <v>0</v>
      </c>
      <c r="R250" s="372">
        <v>0</v>
      </c>
      <c r="S250" s="372">
        <v>0</v>
      </c>
      <c r="U250" s="1525" t="s">
        <v>2818</v>
      </c>
    </row>
    <row r="251" spans="1:21" x14ac:dyDescent="0.2">
      <c r="A251" s="191">
        <v>2890</v>
      </c>
      <c r="B251" s="2947" t="s">
        <v>2819</v>
      </c>
      <c r="C251" s="2947"/>
      <c r="D251" s="2947"/>
      <c r="E251" s="2947"/>
      <c r="F251" s="365">
        <f>SUM(H251:S251)</f>
        <v>0</v>
      </c>
      <c r="H251" s="372">
        <v>0</v>
      </c>
      <c r="I251" s="372">
        <v>0</v>
      </c>
      <c r="J251" s="372">
        <v>0</v>
      </c>
      <c r="K251" s="372">
        <v>0</v>
      </c>
      <c r="L251" s="372">
        <v>0</v>
      </c>
      <c r="M251" s="372">
        <v>0</v>
      </c>
      <c r="N251" s="372">
        <v>0</v>
      </c>
      <c r="O251" s="372">
        <v>0</v>
      </c>
      <c r="P251" s="372">
        <v>0</v>
      </c>
      <c r="Q251" s="372">
        <v>0</v>
      </c>
      <c r="R251" s="372">
        <v>0</v>
      </c>
      <c r="S251" s="372">
        <v>0</v>
      </c>
      <c r="U251" s="1463">
        <v>46203000</v>
      </c>
    </row>
    <row r="252" spans="1:21" x14ac:dyDescent="0.2">
      <c r="A252" s="191">
        <v>2900</v>
      </c>
      <c r="B252" s="2881" t="s">
        <v>2820</v>
      </c>
      <c r="C252" s="2881"/>
      <c r="D252" s="2881"/>
      <c r="E252" s="2881"/>
      <c r="F252" s="365">
        <f>SUM(H252:S252)</f>
        <v>0</v>
      </c>
      <c r="G252" s="159"/>
      <c r="H252" s="372">
        <v>0</v>
      </c>
      <c r="I252" s="372">
        <v>0</v>
      </c>
      <c r="J252" s="372">
        <v>0</v>
      </c>
      <c r="K252" s="372">
        <v>0</v>
      </c>
      <c r="L252" s="372">
        <v>0</v>
      </c>
      <c r="M252" s="372">
        <v>0</v>
      </c>
      <c r="N252" s="372">
        <v>0</v>
      </c>
      <c r="O252" s="372">
        <v>0</v>
      </c>
      <c r="P252" s="372">
        <v>0</v>
      </c>
      <c r="Q252" s="372">
        <v>0</v>
      </c>
      <c r="R252" s="372">
        <v>0</v>
      </c>
      <c r="S252" s="372">
        <v>0</v>
      </c>
      <c r="U252" s="1463">
        <v>46205000</v>
      </c>
    </row>
    <row r="253" spans="1:21" x14ac:dyDescent="0.2">
      <c r="A253" s="666">
        <v>2940</v>
      </c>
      <c r="B253" s="2881" t="s">
        <v>4569</v>
      </c>
      <c r="C253" s="2881"/>
      <c r="D253" s="2881"/>
      <c r="E253" s="2881"/>
      <c r="F253" s="587">
        <f>'565'!H29</f>
        <v>0</v>
      </c>
      <c r="G253" t="str">
        <f>IF(F253='565'!H29," ","Problem: Must agree to ws 565 total Interinstitutional transfers")</f>
        <v xml:space="preserve"> </v>
      </c>
      <c r="H253" s="629">
        <v>0</v>
      </c>
      <c r="I253" s="629">
        <v>0</v>
      </c>
      <c r="J253" s="629">
        <v>0</v>
      </c>
      <c r="K253" s="629">
        <v>0</v>
      </c>
      <c r="L253" s="629">
        <v>0</v>
      </c>
      <c r="M253" s="629">
        <v>0</v>
      </c>
      <c r="N253" s="629">
        <v>0</v>
      </c>
      <c r="O253" s="629">
        <v>0</v>
      </c>
      <c r="P253" s="629">
        <v>0</v>
      </c>
      <c r="Q253" s="629">
        <v>0</v>
      </c>
      <c r="R253" s="629">
        <v>0</v>
      </c>
      <c r="S253" s="629">
        <v>0</v>
      </c>
      <c r="U253" s="1463">
        <v>48700000</v>
      </c>
    </row>
    <row r="254" spans="1:21" x14ac:dyDescent="0.2">
      <c r="A254" s="191">
        <v>2950</v>
      </c>
      <c r="B254" s="2947" t="s">
        <v>2822</v>
      </c>
      <c r="C254" s="2947"/>
      <c r="D254" s="2947"/>
      <c r="E254" s="2947"/>
      <c r="F254" s="1270">
        <f>SUM(H254:S254)</f>
        <v>0</v>
      </c>
      <c r="G254" s="486" t="str">
        <f>IF(AND(ABS(F254)&gt;=1,ABS(F254)&lt;10000000),"Problem: Under $10 million threshold - reclassify to another rev or exp"," ")</f>
        <v xml:space="preserve"> </v>
      </c>
      <c r="H254" s="372">
        <v>0</v>
      </c>
      <c r="I254" s="372">
        <v>0</v>
      </c>
      <c r="J254" s="372">
        <v>0</v>
      </c>
      <c r="K254" s="372">
        <v>0</v>
      </c>
      <c r="L254" s="372">
        <v>0</v>
      </c>
      <c r="M254" s="372">
        <v>0</v>
      </c>
      <c r="N254" s="372">
        <v>0</v>
      </c>
      <c r="O254" s="372">
        <v>0</v>
      </c>
      <c r="P254" s="372">
        <v>0</v>
      </c>
      <c r="Q254" s="372">
        <v>0</v>
      </c>
      <c r="R254" s="372">
        <v>0</v>
      </c>
      <c r="S254" s="372">
        <v>0</v>
      </c>
      <c r="U254" s="1463">
        <v>47750000</v>
      </c>
    </row>
    <row r="255" spans="1:21" x14ac:dyDescent="0.2">
      <c r="A255" s="191">
        <v>2960</v>
      </c>
      <c r="B255" s="2947" t="s">
        <v>2823</v>
      </c>
      <c r="C255" s="2947"/>
      <c r="D255" s="2947"/>
      <c r="E255" s="2947"/>
      <c r="F255" s="1270">
        <f>SUM(H255:S255)</f>
        <v>0</v>
      </c>
      <c r="G255" s="486" t="str">
        <f>IF(AND(ABS(F255)&gt;=1,ABS(F255)&lt;10000000),"Problem: Under $10 million threshold - reclassify to another rev or exp"," ")</f>
        <v xml:space="preserve"> </v>
      </c>
      <c r="H255" s="372">
        <v>0</v>
      </c>
      <c r="I255" s="372">
        <v>0</v>
      </c>
      <c r="J255" s="372">
        <v>0</v>
      </c>
      <c r="K255" s="372">
        <v>0</v>
      </c>
      <c r="L255" s="372">
        <v>0</v>
      </c>
      <c r="M255" s="372">
        <v>0</v>
      </c>
      <c r="N255" s="372">
        <v>0</v>
      </c>
      <c r="O255" s="372">
        <v>0</v>
      </c>
      <c r="P255" s="372">
        <v>0</v>
      </c>
      <c r="Q255" s="372">
        <v>0</v>
      </c>
      <c r="R255" s="372">
        <v>0</v>
      </c>
      <c r="S255" s="372">
        <v>0</v>
      </c>
      <c r="U255" s="1463">
        <v>47700000</v>
      </c>
    </row>
    <row r="256" spans="1:21" x14ac:dyDescent="0.2">
      <c r="B256" s="2952" t="s">
        <v>2824</v>
      </c>
      <c r="C256" s="2952"/>
      <c r="D256" s="2952"/>
      <c r="E256" s="2952"/>
      <c r="F256" s="622">
        <f>SUM(F248:F255)</f>
        <v>0</v>
      </c>
      <c r="H256" s="622">
        <f t="shared" ref="H256:M256" si="37">SUM(H248:H255)</f>
        <v>0</v>
      </c>
      <c r="I256" s="622">
        <f t="shared" si="37"/>
        <v>0</v>
      </c>
      <c r="J256" s="622">
        <f t="shared" si="37"/>
        <v>0</v>
      </c>
      <c r="K256" s="622">
        <f t="shared" si="37"/>
        <v>0</v>
      </c>
      <c r="L256" s="622">
        <f t="shared" si="37"/>
        <v>0</v>
      </c>
      <c r="M256" s="622">
        <f t="shared" si="37"/>
        <v>0</v>
      </c>
      <c r="N256" s="622">
        <f t="shared" ref="N256:S256" si="38">SUM(N248:N255)</f>
        <v>0</v>
      </c>
      <c r="O256" s="622">
        <f t="shared" si="38"/>
        <v>0</v>
      </c>
      <c r="P256" s="622">
        <f t="shared" si="38"/>
        <v>0</v>
      </c>
      <c r="Q256" s="622">
        <f t="shared" si="38"/>
        <v>0</v>
      </c>
      <c r="R256" s="622">
        <f t="shared" si="38"/>
        <v>0</v>
      </c>
      <c r="S256" s="622">
        <f t="shared" si="38"/>
        <v>0</v>
      </c>
      <c r="U256" s="1463"/>
    </row>
    <row r="257" spans="1:21" x14ac:dyDescent="0.2">
      <c r="A257" s="191">
        <v>2980</v>
      </c>
      <c r="B257" s="2947" t="s">
        <v>2825</v>
      </c>
      <c r="C257" s="2947"/>
      <c r="D257" s="2947"/>
      <c r="E257" s="2947"/>
      <c r="F257" s="587">
        <f>SUM(H257:S257)</f>
        <v>2586929488.8099999</v>
      </c>
      <c r="H257" s="587">
        <v>0</v>
      </c>
      <c r="I257" s="587">
        <f>INDEX(NetAssetsData,MATCH('905Hosp'!$I$9,NetAssetsDataRow,0),3)</f>
        <v>1251877019.8299999</v>
      </c>
      <c r="J257" s="587">
        <f>INDEX(NetAssetsData,MATCH('905Hosp'!$J$9,NetAssetsDataRow,0),3)</f>
        <v>165095146.65000001</v>
      </c>
      <c r="K257" s="587">
        <f>INDEX(NetAssetsData,MATCH('905Hosp'!$K$9,NetAssetsDataRow,0),3)</f>
        <v>27173156</v>
      </c>
      <c r="L257" s="587">
        <f>INDEX(NetAssetsData,MATCH('905Hosp'!$L$9,NetAssetsDataRow,0),3)</f>
        <v>1004993015.99</v>
      </c>
      <c r="M257" s="587">
        <f>INDEX(NetAssetsData,MATCH('905Hosp'!$M$9,NetAssetsDataRow,0),3)</f>
        <v>-2305104.1800000002</v>
      </c>
      <c r="N257" s="587">
        <f>INDEX(NetAssetsData,MATCH('905Hosp'!$N$9,NetAssetsDataRow,0),3)</f>
        <v>51946496.740000002</v>
      </c>
      <c r="O257" s="587">
        <f>INDEX(NetAssetsData,MATCH('905Hosp'!$O$9,NetAssetsDataRow,0),3)</f>
        <v>11127369.91</v>
      </c>
      <c r="P257" s="587">
        <f>INDEX(NetAssetsData,MATCH('905Hosp'!$P$9,NetAssetsDataRow,0),3)</f>
        <v>77022387.870000005</v>
      </c>
      <c r="Q257" s="587">
        <f>INDEX(NetAssetsData,MATCH('905Hosp'!$Q$9,NetAssetsDataRow,0),3)</f>
        <v>0</v>
      </c>
      <c r="R257" s="587">
        <v>0</v>
      </c>
      <c r="S257" s="587">
        <v>0</v>
      </c>
      <c r="T257" t="str">
        <f>IF(SUM(H257:S257)=F257,"OK ","Crossfoot error: sum of Col H thru S must equal total in Col F")</f>
        <v xml:space="preserve">OK </v>
      </c>
      <c r="U257" s="1463"/>
    </row>
    <row r="258" spans="1:21" x14ac:dyDescent="0.2">
      <c r="A258" s="191">
        <v>2990</v>
      </c>
      <c r="B258" s="2947" t="s">
        <v>1737</v>
      </c>
      <c r="C258" s="2947"/>
      <c r="D258" s="2947"/>
      <c r="E258" s="2947"/>
      <c r="F258" s="365">
        <f>SUM(H258:S258)</f>
        <v>0</v>
      </c>
      <c r="H258" s="372">
        <v>0</v>
      </c>
      <c r="I258" s="372">
        <v>0</v>
      </c>
      <c r="J258" s="372">
        <v>0</v>
      </c>
      <c r="K258" s="372">
        <v>0</v>
      </c>
      <c r="L258" s="372">
        <v>0</v>
      </c>
      <c r="M258" s="372">
        <v>0</v>
      </c>
      <c r="N258" s="372">
        <v>0</v>
      </c>
      <c r="O258" s="372">
        <v>0</v>
      </c>
      <c r="P258" s="372">
        <v>0</v>
      </c>
      <c r="Q258" s="372">
        <v>0</v>
      </c>
      <c r="R258" s="372">
        <v>0</v>
      </c>
      <c r="S258" s="372">
        <v>0</v>
      </c>
      <c r="U258" s="1463">
        <v>33000100</v>
      </c>
    </row>
    <row r="259" spans="1:21" ht="13.5" thickBot="1" x14ac:dyDescent="0.25">
      <c r="A259" s="191"/>
      <c r="B259" s="2947" t="s">
        <v>2826</v>
      </c>
      <c r="C259" s="2947"/>
      <c r="D259" s="2947"/>
      <c r="E259" s="2947"/>
      <c r="F259" s="453">
        <f>SUM(F256:F258)</f>
        <v>2586929488.8099999</v>
      </c>
      <c r="H259" s="453">
        <f t="shared" ref="H259:M259" si="39">SUM(H256:H258)</f>
        <v>0</v>
      </c>
      <c r="I259" s="453">
        <f t="shared" si="39"/>
        <v>1251877019.8299999</v>
      </c>
      <c r="J259" s="453">
        <f t="shared" si="39"/>
        <v>165095146.65000001</v>
      </c>
      <c r="K259" s="453">
        <f t="shared" si="39"/>
        <v>27173156</v>
      </c>
      <c r="L259" s="453">
        <f t="shared" si="39"/>
        <v>1004993015.99</v>
      </c>
      <c r="M259" s="453">
        <f t="shared" si="39"/>
        <v>-2305104.1800000002</v>
      </c>
      <c r="N259" s="453">
        <f t="shared" ref="N259:S259" si="40">SUM(N256:N258)</f>
        <v>51946496.740000002</v>
      </c>
      <c r="O259" s="453">
        <f t="shared" si="40"/>
        <v>11127369.91</v>
      </c>
      <c r="P259" s="453">
        <f t="shared" si="40"/>
        <v>77022387.870000005</v>
      </c>
      <c r="Q259" s="453">
        <f t="shared" si="40"/>
        <v>0</v>
      </c>
      <c r="R259" s="453">
        <f t="shared" si="40"/>
        <v>0</v>
      </c>
      <c r="S259" s="453">
        <f t="shared" si="40"/>
        <v>0</v>
      </c>
      <c r="T259" t="str">
        <f>IF(SUM(H259:S259)=F259,"OK ","Crossfoot error: sum of Col H thru S must equal total in Col F")</f>
        <v xml:space="preserve">OK </v>
      </c>
      <c r="U259" s="1520"/>
    </row>
    <row r="260" spans="1:21" ht="9.75" customHeight="1" thickTop="1" x14ac:dyDescent="0.2">
      <c r="U260" s="1520"/>
    </row>
    <row r="261" spans="1:21" x14ac:dyDescent="0.2">
      <c r="B261" s="191" t="s">
        <v>2827</v>
      </c>
      <c r="F261" s="454" t="str">
        <f>IF(ROUND(F192-F259,2)=0,"OK", "Error")</f>
        <v>Error</v>
      </c>
      <c r="H261" s="454" t="str">
        <f t="shared" ref="H261:S261" si="41">IF(ROUND(H192-H259,2)=0,"OK", "Error")</f>
        <v>OK</v>
      </c>
      <c r="I261" s="454" t="str">
        <f t="shared" si="41"/>
        <v>Error</v>
      </c>
      <c r="J261" s="454" t="str">
        <f t="shared" si="41"/>
        <v>Error</v>
      </c>
      <c r="K261" s="454" t="str">
        <f t="shared" si="41"/>
        <v>Error</v>
      </c>
      <c r="L261" s="454" t="str">
        <f t="shared" si="41"/>
        <v>Error</v>
      </c>
      <c r="M261" s="454" t="str">
        <f t="shared" si="41"/>
        <v>Error</v>
      </c>
      <c r="N261" s="454" t="str">
        <f t="shared" si="41"/>
        <v>Error</v>
      </c>
      <c r="O261" s="454" t="str">
        <f t="shared" si="41"/>
        <v>Error</v>
      </c>
      <c r="P261" s="454" t="str">
        <f t="shared" si="41"/>
        <v>Error</v>
      </c>
      <c r="Q261" s="454" t="str">
        <f t="shared" si="41"/>
        <v>OK</v>
      </c>
      <c r="R261" s="454" t="str">
        <f t="shared" si="41"/>
        <v>OK</v>
      </c>
      <c r="S261" s="454" t="str">
        <f t="shared" si="41"/>
        <v>OK</v>
      </c>
    </row>
    <row r="263" spans="1:21" x14ac:dyDescent="0.2">
      <c r="B263" s="187" t="s">
        <v>4632</v>
      </c>
      <c r="F263" s="627" t="str">
        <f>IF(ROUND(SUM(H257:S257),2)=F257,"OK","Problem: Sum of beginning net assets must equal total prior year ending per CAFR")</f>
        <v>OK</v>
      </c>
    </row>
    <row r="264" spans="1:21" ht="13.5" thickBot="1" x14ac:dyDescent="0.25"/>
    <row r="265" spans="1:21" x14ac:dyDescent="0.2">
      <c r="A265" s="976" t="s">
        <v>4633</v>
      </c>
      <c r="B265" s="573"/>
      <c r="C265" s="573"/>
      <c r="D265" s="573"/>
      <c r="E265" s="573"/>
      <c r="F265" s="574"/>
      <c r="G265" s="575"/>
    </row>
    <row r="266" spans="1:21" x14ac:dyDescent="0.2">
      <c r="A266" s="975" t="s">
        <v>4634</v>
      </c>
      <c r="B266" s="577"/>
      <c r="C266" s="577"/>
      <c r="D266" s="577"/>
      <c r="E266" s="577"/>
      <c r="F266" s="578"/>
      <c r="G266" s="579"/>
    </row>
    <row r="267" spans="1:21" x14ac:dyDescent="0.2">
      <c r="A267" s="975" t="s">
        <v>4635</v>
      </c>
      <c r="B267" s="577"/>
      <c r="C267" s="577"/>
      <c r="D267" s="577"/>
      <c r="E267" s="577"/>
      <c r="F267" s="578"/>
      <c r="G267" s="579"/>
    </row>
    <row r="268" spans="1:21" x14ac:dyDescent="0.2">
      <c r="A268" s="975" t="s">
        <v>4636</v>
      </c>
      <c r="B268" s="577"/>
      <c r="C268" s="577"/>
      <c r="D268" s="577"/>
      <c r="E268" s="577"/>
      <c r="F268" s="578"/>
      <c r="G268" s="579"/>
    </row>
    <row r="269" spans="1:21" x14ac:dyDescent="0.2">
      <c r="A269" s="975" t="s">
        <v>4637</v>
      </c>
      <c r="B269" s="577"/>
      <c r="C269" s="577"/>
      <c r="D269" s="577"/>
      <c r="E269" s="577"/>
      <c r="F269" s="578"/>
      <c r="G269" s="579"/>
    </row>
    <row r="270" spans="1:21" x14ac:dyDescent="0.2">
      <c r="A270" s="975"/>
      <c r="B270" s="577"/>
      <c r="C270" s="577"/>
      <c r="D270" s="577"/>
      <c r="E270" s="577"/>
      <c r="F270" s="578"/>
      <c r="G270" s="579"/>
    </row>
    <row r="271" spans="1:21" x14ac:dyDescent="0.2">
      <c r="A271" s="2963"/>
      <c r="B271" s="2964"/>
      <c r="C271" s="2964"/>
      <c r="D271" s="2964"/>
      <c r="E271" s="577"/>
      <c r="F271" s="2967"/>
      <c r="G271" s="2968"/>
    </row>
    <row r="272" spans="1:21" x14ac:dyDescent="0.2">
      <c r="A272" s="576" t="s">
        <v>2834</v>
      </c>
      <c r="B272" s="577"/>
      <c r="C272" s="577"/>
      <c r="D272" s="577"/>
      <c r="E272" s="577"/>
      <c r="F272" s="578" t="s">
        <v>670</v>
      </c>
      <c r="G272" s="579"/>
    </row>
    <row r="273" spans="1:7" ht="13.5" thickBot="1" x14ac:dyDescent="0.25">
      <c r="A273" s="581"/>
      <c r="B273" s="582"/>
      <c r="C273" s="582"/>
      <c r="D273" s="582"/>
      <c r="E273" s="582"/>
      <c r="F273" s="583"/>
      <c r="G273" s="584"/>
    </row>
    <row r="275" spans="1:7" x14ac:dyDescent="0.2">
      <c r="A275" s="159" t="s">
        <v>2835</v>
      </c>
    </row>
    <row r="279" spans="1:7" x14ac:dyDescent="0.2">
      <c r="A279" s="159"/>
    </row>
  </sheetData>
  <sheetProtection autoFilter="0"/>
  <customSheetViews>
    <customSheetView guid="{9FCFC836-1CA5-48BF-958D-24D2EA94B219}">
      <pane xSplit="6" ySplit="8" topLeftCell="G36" activePane="bottomRight" state="frozen"/>
      <selection pane="bottomRight" activeCell="B45" sqref="B45:E45"/>
      <pageMargins left="0" right="0" top="0" bottom="0" header="0" footer="0"/>
      <printOptions headings="1" gridLines="1"/>
      <pageSetup scale="95" fitToHeight="3" orientation="portrait" r:id="rId1"/>
      <headerFooter alignWithMargins="0">
        <oddFooter>&amp;R&amp;A (&amp;P of &amp;N)</oddFooter>
      </headerFooter>
    </customSheetView>
    <customSheetView guid="{B08879A4-635B-4C39-9937-AC7883D562FC}">
      <pane xSplit="6" ySplit="8" topLeftCell="G36" activePane="bottomRight" state="frozen"/>
      <selection pane="bottomRight" activeCell="B45" sqref="B45:E45"/>
      <pageMargins left="0" right="0" top="0" bottom="0" header="0" footer="0"/>
      <printOptions headings="1" gridLines="1"/>
      <pageSetup scale="95" fitToHeight="3" orientation="portrait" r:id="rId2"/>
      <headerFooter alignWithMargins="0">
        <oddFooter>&amp;R&amp;A (&amp;P of &amp;N)</oddFooter>
      </headerFooter>
    </customSheetView>
  </customSheetViews>
  <mergeCells count="228">
    <mergeCell ref="A1:G1"/>
    <mergeCell ref="A2:G2"/>
    <mergeCell ref="A4:G4"/>
    <mergeCell ref="F5:G5"/>
    <mergeCell ref="C6:D6"/>
    <mergeCell ref="F6:G6"/>
    <mergeCell ref="A3:G3"/>
    <mergeCell ref="A10:D10"/>
    <mergeCell ref="B93:E93"/>
    <mergeCell ref="B11:E11"/>
    <mergeCell ref="B14:E14"/>
    <mergeCell ref="B15:E15"/>
    <mergeCell ref="B16:E16"/>
    <mergeCell ref="B27:E27"/>
    <mergeCell ref="B28:E28"/>
    <mergeCell ref="B29:E29"/>
    <mergeCell ref="B30:E30"/>
    <mergeCell ref="B33:E33"/>
    <mergeCell ref="B17:E17"/>
    <mergeCell ref="B18:E18"/>
    <mergeCell ref="B34:E34"/>
    <mergeCell ref="B20:E20"/>
    <mergeCell ref="B21:E21"/>
    <mergeCell ref="B22:E22"/>
    <mergeCell ref="B23:E23"/>
    <mergeCell ref="B25:E25"/>
    <mergeCell ref="B26:E26"/>
    <mergeCell ref="B45:E45"/>
    <mergeCell ref="B46:E46"/>
    <mergeCell ref="B47:E47"/>
    <mergeCell ref="B48:E48"/>
    <mergeCell ref="B49:E49"/>
    <mergeCell ref="B52:E52"/>
    <mergeCell ref="B35:E35"/>
    <mergeCell ref="B38:E38"/>
    <mergeCell ref="B39:E39"/>
    <mergeCell ref="B42:E42"/>
    <mergeCell ref="B43:E43"/>
    <mergeCell ref="B36:E36"/>
    <mergeCell ref="B37:E37"/>
    <mergeCell ref="B24:E24"/>
    <mergeCell ref="B31:E31"/>
    <mergeCell ref="B50:E50"/>
    <mergeCell ref="B51:E51"/>
    <mergeCell ref="B32:E32"/>
    <mergeCell ref="B59:E59"/>
    <mergeCell ref="B62:E62"/>
    <mergeCell ref="B63:E63"/>
    <mergeCell ref="B64:E64"/>
    <mergeCell ref="B65:E65"/>
    <mergeCell ref="B53:E53"/>
    <mergeCell ref="B54:E54"/>
    <mergeCell ref="B55:E55"/>
    <mergeCell ref="B56:E56"/>
    <mergeCell ref="B57:E57"/>
    <mergeCell ref="B58:E58"/>
    <mergeCell ref="B60:E60"/>
    <mergeCell ref="B61:E61"/>
    <mergeCell ref="B73:E73"/>
    <mergeCell ref="B74:E74"/>
    <mergeCell ref="B75:E75"/>
    <mergeCell ref="B80:E80"/>
    <mergeCell ref="B81:E81"/>
    <mergeCell ref="B84:E84"/>
    <mergeCell ref="B66:E66"/>
    <mergeCell ref="B67:E67"/>
    <mergeCell ref="B68:E68"/>
    <mergeCell ref="B70:E70"/>
    <mergeCell ref="B71:E71"/>
    <mergeCell ref="B72:E72"/>
    <mergeCell ref="B69:E69"/>
    <mergeCell ref="B76:E76"/>
    <mergeCell ref="B77:E77"/>
    <mergeCell ref="B78:E78"/>
    <mergeCell ref="B79:E79"/>
    <mergeCell ref="B82:E82"/>
    <mergeCell ref="B83:E83"/>
    <mergeCell ref="B106:E106"/>
    <mergeCell ref="B107:E107"/>
    <mergeCell ref="B108:E108"/>
    <mergeCell ref="B110:E110"/>
    <mergeCell ref="B111:E111"/>
    <mergeCell ref="B114:E114"/>
    <mergeCell ref="B85:E85"/>
    <mergeCell ref="B86:E86"/>
    <mergeCell ref="B87:E87"/>
    <mergeCell ref="B89:E89"/>
    <mergeCell ref="B104:E104"/>
    <mergeCell ref="B105:E105"/>
    <mergeCell ref="B92:E92"/>
    <mergeCell ref="B96:E96"/>
    <mergeCell ref="B97:E97"/>
    <mergeCell ref="B98:E98"/>
    <mergeCell ref="B99:E99"/>
    <mergeCell ref="B95:E95"/>
    <mergeCell ref="B94:E94"/>
    <mergeCell ref="B112:E112"/>
    <mergeCell ref="B113:E113"/>
    <mergeCell ref="B121:E121"/>
    <mergeCell ref="B122:E122"/>
    <mergeCell ref="B123:E123"/>
    <mergeCell ref="B125:E125"/>
    <mergeCell ref="B115:E115"/>
    <mergeCell ref="B116:E116"/>
    <mergeCell ref="B117:E117"/>
    <mergeCell ref="B118:E118"/>
    <mergeCell ref="B119:E119"/>
    <mergeCell ref="B120:E120"/>
    <mergeCell ref="B124:E124"/>
    <mergeCell ref="B137:E137"/>
    <mergeCell ref="B138:E138"/>
    <mergeCell ref="B142:E142"/>
    <mergeCell ref="B143:E143"/>
    <mergeCell ref="B144:E144"/>
    <mergeCell ref="B145:E145"/>
    <mergeCell ref="B127:E127"/>
    <mergeCell ref="B128:E128"/>
    <mergeCell ref="B130:E130"/>
    <mergeCell ref="B131:E131"/>
    <mergeCell ref="B133:E133"/>
    <mergeCell ref="B136:E136"/>
    <mergeCell ref="B129:E129"/>
    <mergeCell ref="B134:E134"/>
    <mergeCell ref="B135:E135"/>
    <mergeCell ref="B132:E132"/>
    <mergeCell ref="B151:E151"/>
    <mergeCell ref="B153:E153"/>
    <mergeCell ref="B154:E154"/>
    <mergeCell ref="B156:E156"/>
    <mergeCell ref="B157:E157"/>
    <mergeCell ref="B159:E159"/>
    <mergeCell ref="B155:E155"/>
    <mergeCell ref="B146:E146"/>
    <mergeCell ref="B147:E147"/>
    <mergeCell ref="B148:E148"/>
    <mergeCell ref="B149:E149"/>
    <mergeCell ref="B158:E158"/>
    <mergeCell ref="B150:E150"/>
    <mergeCell ref="B162:E162"/>
    <mergeCell ref="B163:E163"/>
    <mergeCell ref="B164:E164"/>
    <mergeCell ref="B166:E166"/>
    <mergeCell ref="B182:E182"/>
    <mergeCell ref="B184:E184"/>
    <mergeCell ref="B169:E169"/>
    <mergeCell ref="B170:E170"/>
    <mergeCell ref="B179:E179"/>
    <mergeCell ref="B178:E178"/>
    <mergeCell ref="B171:E171"/>
    <mergeCell ref="B172:E172"/>
    <mergeCell ref="B177:E177"/>
    <mergeCell ref="B192:E192"/>
    <mergeCell ref="B196:E196"/>
    <mergeCell ref="B198:E198"/>
    <mergeCell ref="B199:E199"/>
    <mergeCell ref="B200:E200"/>
    <mergeCell ref="B201:E201"/>
    <mergeCell ref="B185:E185"/>
    <mergeCell ref="B186:E186"/>
    <mergeCell ref="B188:E188"/>
    <mergeCell ref="B189:E189"/>
    <mergeCell ref="B190:E190"/>
    <mergeCell ref="B191:E191"/>
    <mergeCell ref="B208:E208"/>
    <mergeCell ref="B209:E209"/>
    <mergeCell ref="B212:E212"/>
    <mergeCell ref="B213:E213"/>
    <mergeCell ref="B214:E214"/>
    <mergeCell ref="B215:E215"/>
    <mergeCell ref="B202:E202"/>
    <mergeCell ref="B203:E203"/>
    <mergeCell ref="B204:E204"/>
    <mergeCell ref="B205:E205"/>
    <mergeCell ref="B206:E206"/>
    <mergeCell ref="B207:E207"/>
    <mergeCell ref="B222:E222"/>
    <mergeCell ref="B223:E223"/>
    <mergeCell ref="B224:E224"/>
    <mergeCell ref="B225:E225"/>
    <mergeCell ref="B228:E228"/>
    <mergeCell ref="B216:E216"/>
    <mergeCell ref="B217:E217"/>
    <mergeCell ref="B218:E218"/>
    <mergeCell ref="B219:E219"/>
    <mergeCell ref="B221:E221"/>
    <mergeCell ref="B229:E229"/>
    <mergeCell ref="B230:E230"/>
    <mergeCell ref="B232:E232"/>
    <mergeCell ref="B234:E234"/>
    <mergeCell ref="B236:E236"/>
    <mergeCell ref="B237:E237"/>
    <mergeCell ref="B231:E231"/>
    <mergeCell ref="B233:E233"/>
    <mergeCell ref="B235:E235"/>
    <mergeCell ref="B249:E249"/>
    <mergeCell ref="B250:E250"/>
    <mergeCell ref="B251:E251"/>
    <mergeCell ref="B238:E238"/>
    <mergeCell ref="B240:E240"/>
    <mergeCell ref="B241:E241"/>
    <mergeCell ref="B242:E242"/>
    <mergeCell ref="B243:E243"/>
    <mergeCell ref="B245:E245"/>
    <mergeCell ref="B244:E244"/>
    <mergeCell ref="B126:E126"/>
    <mergeCell ref="B152:E152"/>
    <mergeCell ref="B161:E161"/>
    <mergeCell ref="B173:E173"/>
    <mergeCell ref="B175:E175"/>
    <mergeCell ref="B239:E239"/>
    <mergeCell ref="A8:F8"/>
    <mergeCell ref="A271:D271"/>
    <mergeCell ref="F271:G271"/>
    <mergeCell ref="B160:E160"/>
    <mergeCell ref="B174:E174"/>
    <mergeCell ref="B176:E176"/>
    <mergeCell ref="A9:D9"/>
    <mergeCell ref="B258:E258"/>
    <mergeCell ref="B259:E259"/>
    <mergeCell ref="B252:E252"/>
    <mergeCell ref="B253:E253"/>
    <mergeCell ref="B254:E254"/>
    <mergeCell ref="B255:E255"/>
    <mergeCell ref="B256:E256"/>
    <mergeCell ref="B257:E257"/>
    <mergeCell ref="B246:E246"/>
    <mergeCell ref="B247:E247"/>
    <mergeCell ref="B248:E248"/>
  </mergeCells>
  <hyperlinks>
    <hyperlink ref="A1:G1" location="Index!A1" display="Index!A1" xr:uid="{00000000-0004-0000-4C00-000000000000}"/>
  </hyperlinks>
  <printOptions headings="1" gridLines="1"/>
  <pageMargins left="0.25" right="0.25" top="0.75" bottom="0.75" header="0.3" footer="0.3"/>
  <pageSetup scale="90" fitToHeight="0" orientation="portrait" r:id="rId3"/>
  <headerFooter alignWithMargins="0">
    <oddFooter xml:space="preserve">&amp;L&amp;D &amp;T&amp;R&amp;A </oddFooter>
  </headerFooter>
  <legacyDrawing r:id="rId4"/>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3"/>
  <dimension ref="B1:W169"/>
  <sheetViews>
    <sheetView zoomScaleNormal="100" workbookViewId="0">
      <selection sqref="A1:M1"/>
    </sheetView>
  </sheetViews>
  <sheetFormatPr defaultColWidth="9.42578125" defaultRowHeight="12.75" x14ac:dyDescent="0.2"/>
  <cols>
    <col min="1" max="1" width="3.5703125" style="381" customWidth="1"/>
    <col min="2" max="2" width="9.42578125" style="381"/>
    <col min="3" max="3" width="5.5703125" style="381" customWidth="1"/>
    <col min="4" max="6" width="9.42578125" style="381"/>
    <col min="7" max="7" width="5.5703125" style="381" customWidth="1"/>
    <col min="8" max="8" width="1.5703125" style="381" customWidth="1"/>
    <col min="9" max="9" width="9.42578125" style="381"/>
    <col min="10" max="10" width="19.42578125" style="236" customWidth="1"/>
    <col min="11" max="12" width="4.5703125" style="381" customWidth="1"/>
    <col min="13" max="13" width="18.5703125" style="381" customWidth="1"/>
    <col min="14" max="15" width="9.42578125" style="381"/>
    <col min="16" max="16" width="15.5703125" style="1508" bestFit="1" customWidth="1"/>
    <col min="17" max="17" width="14.140625" bestFit="1" customWidth="1"/>
    <col min="18" max="18" width="11.42578125" customWidth="1"/>
    <col min="20" max="16384" width="9.42578125" style="381"/>
  </cols>
  <sheetData>
    <row r="1" spans="2:23" ht="25.15" customHeight="1" x14ac:dyDescent="0.25">
      <c r="B1" s="2455" t="str">
        <f>+Index!$A$1</f>
        <v xml:space="preserve">                                                               Office of the State Controller                                                                </v>
      </c>
      <c r="C1" s="2455"/>
      <c r="D1" s="2455"/>
      <c r="E1" s="2455"/>
      <c r="F1" s="2455"/>
      <c r="G1" s="2455"/>
      <c r="H1" s="2455"/>
      <c r="I1" s="2455"/>
      <c r="J1" s="2455"/>
      <c r="K1" s="1977" t="str">
        <f>IF(Index!$B$107="na","NA","")</f>
        <v/>
      </c>
      <c r="L1" s="380"/>
      <c r="M1" s="380"/>
      <c r="N1" s="380"/>
      <c r="O1" s="380"/>
      <c r="P1" s="2348"/>
      <c r="Q1" s="2214"/>
      <c r="R1" s="1506" t="s">
        <v>2612</v>
      </c>
      <c r="S1" s="1506" t="s">
        <v>4638</v>
      </c>
      <c r="T1" s="380"/>
      <c r="U1" s="380"/>
      <c r="V1" s="380"/>
    </row>
    <row r="2" spans="2:23" ht="16.5" x14ac:dyDescent="0.3">
      <c r="B2" s="2439" t="str">
        <f>+Index!$A$2</f>
        <v>2023 ACFR Worksheets</v>
      </c>
      <c r="C2" s="2439"/>
      <c r="D2" s="2439"/>
      <c r="E2" s="2439"/>
      <c r="F2" s="2439"/>
      <c r="G2" s="2439"/>
      <c r="H2" s="2439"/>
      <c r="I2" s="2439"/>
      <c r="J2" s="2439"/>
      <c r="K2" s="1977"/>
      <c r="L2" s="382"/>
      <c r="M2" s="382"/>
      <c r="N2" s="382"/>
      <c r="O2" s="383"/>
      <c r="P2" s="1507"/>
      <c r="Q2" s="353"/>
      <c r="R2" s="1506" t="s">
        <v>2614</v>
      </c>
      <c r="S2" s="1506" t="s">
        <v>4639</v>
      </c>
      <c r="T2" s="383"/>
      <c r="U2" s="383"/>
      <c r="V2" s="383"/>
    </row>
    <row r="3" spans="2:23" ht="33" customHeight="1" x14ac:dyDescent="0.3">
      <c r="B3" s="2978" t="s">
        <v>4640</v>
      </c>
      <c r="C3" s="2978"/>
      <c r="D3" s="2978"/>
      <c r="E3" s="2978"/>
      <c r="F3" s="2978"/>
      <c r="G3" s="2978"/>
      <c r="H3" s="2978"/>
      <c r="I3" s="2978"/>
      <c r="J3" s="2978"/>
      <c r="K3" s="1977"/>
      <c r="L3" s="382"/>
      <c r="M3" s="382"/>
      <c r="N3" s="382"/>
      <c r="O3" s="383"/>
      <c r="P3" s="1507"/>
      <c r="Q3" s="353"/>
      <c r="R3" s="353"/>
      <c r="S3" s="353"/>
      <c r="T3" s="383"/>
      <c r="U3" s="383"/>
      <c r="V3" s="383"/>
    </row>
    <row r="4" spans="2:23" x14ac:dyDescent="0.2">
      <c r="B4" s="797" t="s">
        <v>4641</v>
      </c>
      <c r="C4" s="793"/>
      <c r="D4" s="793"/>
      <c r="E4" s="793"/>
      <c r="F4" s="793"/>
      <c r="G4" s="793"/>
      <c r="H4" s="793"/>
      <c r="I4" s="793"/>
      <c r="J4" s="794"/>
    </row>
    <row r="5" spans="2:23" s="384" customFormat="1" ht="15" customHeight="1" x14ac:dyDescent="0.2">
      <c r="B5" s="124" t="s">
        <v>317</v>
      </c>
      <c r="C5" s="124"/>
      <c r="D5" s="357" t="s">
        <v>4642</v>
      </c>
      <c r="E5" s="356"/>
      <c r="F5" s="124" t="s">
        <v>319</v>
      </c>
      <c r="G5" s="124"/>
      <c r="H5" s="2956" t="str">
        <f>+CONCATENATE(Index!$E$12," ",Index!$E$14)</f>
        <v xml:space="preserve"> </v>
      </c>
      <c r="I5" s="2956"/>
      <c r="J5" s="2956"/>
      <c r="O5" s="385"/>
      <c r="P5" s="1509"/>
      <c r="Q5" s="124"/>
      <c r="R5" s="124"/>
      <c r="S5" s="124"/>
      <c r="W5" s="386"/>
    </row>
    <row r="6" spans="2:23" s="384" customFormat="1" ht="15" customHeight="1" x14ac:dyDescent="0.2">
      <c r="B6" s="124" t="s">
        <v>318</v>
      </c>
      <c r="C6" s="124"/>
      <c r="D6" s="2977" t="s">
        <v>4643</v>
      </c>
      <c r="E6" s="2977"/>
      <c r="F6" s="2977"/>
      <c r="G6" s="2977"/>
      <c r="H6" s="124"/>
      <c r="I6" s="124"/>
      <c r="J6" s="124"/>
      <c r="O6" s="387"/>
      <c r="P6" s="1510"/>
      <c r="Q6" s="355"/>
      <c r="R6" s="355"/>
      <c r="S6" s="355"/>
      <c r="T6" s="387"/>
      <c r="U6" s="387"/>
      <c r="V6" s="388"/>
      <c r="W6" s="386"/>
    </row>
    <row r="7" spans="2:23" s="384" customFormat="1" ht="15" customHeight="1" x14ac:dyDescent="0.2">
      <c r="B7" s="124" t="s">
        <v>568</v>
      </c>
      <c r="D7" s="617">
        <f>INDEX(NetAssetsData,MATCH('906-6B'!$D$5,NetAssetsDataRow,0),4)</f>
        <v>3324</v>
      </c>
      <c r="F7" s="459" t="s">
        <v>71</v>
      </c>
      <c r="G7" s="2979">
        <f>+Index!$E$13</f>
        <v>0</v>
      </c>
      <c r="H7" s="2979"/>
      <c r="I7" s="2979"/>
      <c r="J7" s="2979"/>
      <c r="P7" s="1509"/>
      <c r="Q7" s="124"/>
      <c r="R7" s="124"/>
      <c r="S7" s="124"/>
      <c r="W7" s="386"/>
    </row>
    <row r="8" spans="2:23" s="389" customFormat="1" ht="12" customHeight="1" x14ac:dyDescent="0.2">
      <c r="B8" s="2980" t="s">
        <v>4644</v>
      </c>
      <c r="C8" s="2981"/>
      <c r="D8" s="2981"/>
      <c r="E8" s="2981"/>
      <c r="F8" s="2981"/>
      <c r="G8" s="2981"/>
      <c r="H8" s="2981"/>
      <c r="I8" s="2981"/>
      <c r="J8" s="2982"/>
      <c r="P8" s="1511"/>
      <c r="Q8" s="27"/>
      <c r="R8" s="27"/>
      <c r="S8" s="27"/>
    </row>
    <row r="9" spans="2:23" x14ac:dyDescent="0.2">
      <c r="B9" s="415"/>
      <c r="C9" s="27"/>
      <c r="D9" s="27"/>
      <c r="E9" s="27"/>
      <c r="F9" s="27"/>
      <c r="G9" s="762"/>
      <c r="H9" s="27"/>
      <c r="J9" s="1550" t="s">
        <v>4645</v>
      </c>
      <c r="M9" s="740" t="s">
        <v>2619</v>
      </c>
    </row>
    <row r="10" spans="2:23" x14ac:dyDescent="0.2">
      <c r="B10" s="800" t="s">
        <v>576</v>
      </c>
      <c r="C10" s="802"/>
      <c r="D10" s="802"/>
      <c r="E10"/>
      <c r="F10"/>
      <c r="G10"/>
      <c r="H10"/>
      <c r="I10"/>
      <c r="J10" s="636" t="str">
        <f>TEXT(Data!$A$2,"mmmm d,yyyy")</f>
        <v>June 30,2023</v>
      </c>
      <c r="K10" s="391"/>
      <c r="L10" s="391"/>
      <c r="M10" s="636" t="str">
        <f>TEXT(Data!$A$4,"mmmm d,yyyy")</f>
        <v>June 30,2022</v>
      </c>
      <c r="N10" s="391"/>
    </row>
    <row r="11" spans="2:23" x14ac:dyDescent="0.2">
      <c r="B11" s="2974" t="s">
        <v>2624</v>
      </c>
      <c r="C11" s="2974"/>
      <c r="D11" s="2974"/>
      <c r="E11" s="2974"/>
      <c r="F11" s="2974"/>
      <c r="G11" s="2974"/>
      <c r="H11" s="2974"/>
      <c r="I11" s="2974"/>
      <c r="J11" s="235">
        <v>0</v>
      </c>
      <c r="K11" s="392"/>
      <c r="L11" s="392"/>
      <c r="M11" s="475">
        <f>HLOOKUP($D$5,PriorYr906!$J$9:$K$87,3,FALSE)</f>
        <v>0</v>
      </c>
      <c r="N11" s="392"/>
      <c r="P11" s="1512">
        <v>11111000</v>
      </c>
    </row>
    <row r="12" spans="2:23" x14ac:dyDescent="0.2">
      <c r="B12" s="1978" t="s">
        <v>4646</v>
      </c>
      <c r="C12" s="802"/>
      <c r="D12"/>
      <c r="E12"/>
      <c r="F12"/>
      <c r="G12"/>
      <c r="H12"/>
      <c r="I12"/>
      <c r="J12" s="1979"/>
      <c r="K12" s="392"/>
      <c r="L12" s="392"/>
      <c r="M12" s="2347"/>
      <c r="N12" s="2367"/>
    </row>
    <row r="13" spans="2:23" x14ac:dyDescent="0.2">
      <c r="B13" s="2974" t="s">
        <v>4647</v>
      </c>
      <c r="C13" s="2974"/>
      <c r="D13" s="2974"/>
      <c r="E13" s="2974"/>
      <c r="F13" s="2974"/>
      <c r="G13" s="2974"/>
      <c r="H13" s="2974"/>
      <c r="I13" s="2974"/>
      <c r="J13" s="236">
        <v>0</v>
      </c>
      <c r="K13" s="392"/>
      <c r="L13" s="392"/>
      <c r="M13" s="233">
        <f>HLOOKUP($D$5,PriorYr906!$J$9:$K$87,5,FALSE)</f>
        <v>0</v>
      </c>
      <c r="N13" s="2367"/>
      <c r="P13" s="1512">
        <v>11210100</v>
      </c>
    </row>
    <row r="14" spans="2:23" x14ac:dyDescent="0.2">
      <c r="B14" s="2974" t="s">
        <v>4648</v>
      </c>
      <c r="C14" s="2974"/>
      <c r="D14" s="2974"/>
      <c r="E14" s="2974"/>
      <c r="F14" s="2974"/>
      <c r="G14" s="2974"/>
      <c r="H14" s="2974"/>
      <c r="I14" s="2974"/>
      <c r="J14" s="236">
        <v>0</v>
      </c>
      <c r="K14" s="392"/>
      <c r="L14" s="392"/>
      <c r="M14" s="233">
        <f>HLOOKUP($D$5,PriorYr906!$J$9:$K$87,6,FALSE)</f>
        <v>0</v>
      </c>
      <c r="N14" s="2367"/>
      <c r="R14" s="159" t="s">
        <v>4649</v>
      </c>
    </row>
    <row r="15" spans="2:23" x14ac:dyDescent="0.2">
      <c r="B15" s="2974" t="s">
        <v>4650</v>
      </c>
      <c r="C15" s="2974"/>
      <c r="D15" s="2974"/>
      <c r="E15" s="2974"/>
      <c r="F15" s="2974"/>
      <c r="G15" s="2974"/>
      <c r="H15" s="2974"/>
      <c r="I15" s="2974"/>
      <c r="J15" s="236">
        <v>0</v>
      </c>
      <c r="K15" s="392"/>
      <c r="L15" s="392"/>
      <c r="M15" s="233">
        <f>HLOOKUP($D$5,PriorYr906!$J$9:$K$87,7,FALSE)</f>
        <v>0</v>
      </c>
      <c r="N15" s="2367"/>
      <c r="P15" s="1508">
        <v>11212400</v>
      </c>
      <c r="R15" s="159"/>
    </row>
    <row r="16" spans="2:23" x14ac:dyDescent="0.2">
      <c r="B16" s="2974" t="s">
        <v>4651</v>
      </c>
      <c r="C16" s="2974"/>
      <c r="D16" s="2974"/>
      <c r="E16" s="2974"/>
      <c r="F16" s="2974"/>
      <c r="G16" s="2974"/>
      <c r="H16" s="2974"/>
      <c r="I16" s="2974"/>
      <c r="J16" s="236">
        <v>0</v>
      </c>
      <c r="K16" s="392"/>
      <c r="L16" s="392"/>
      <c r="M16" s="233">
        <f>HLOOKUP($D$5,PriorYr906!$J$9:$K$87,8,FALSE)</f>
        <v>0</v>
      </c>
      <c r="N16" s="2367"/>
      <c r="P16" s="1512">
        <v>11211100</v>
      </c>
    </row>
    <row r="17" spans="2:18" x14ac:dyDescent="0.2">
      <c r="B17" s="2974" t="s">
        <v>4652</v>
      </c>
      <c r="C17" s="2974"/>
      <c r="D17" s="2974"/>
      <c r="E17" s="2974"/>
      <c r="F17" s="2974"/>
      <c r="G17" s="2974"/>
      <c r="H17" s="2974"/>
      <c r="I17" s="2974"/>
      <c r="J17" s="236">
        <v>0</v>
      </c>
      <c r="K17" s="392"/>
      <c r="L17" s="392"/>
      <c r="M17" s="233">
        <f>HLOOKUP($D$5,PriorYr906!$J$9:$K$87,9,FALSE)</f>
        <v>0</v>
      </c>
      <c r="N17" s="2367"/>
      <c r="R17" s="159" t="s">
        <v>4649</v>
      </c>
    </row>
    <row r="18" spans="2:18" x14ac:dyDescent="0.2">
      <c r="B18" s="2974" t="s">
        <v>4653</v>
      </c>
      <c r="C18" s="2974"/>
      <c r="D18" s="2974"/>
      <c r="E18" s="2974"/>
      <c r="F18" s="2974"/>
      <c r="G18" s="2974"/>
      <c r="H18" s="2974"/>
      <c r="I18" s="2974"/>
      <c r="J18" s="236">
        <v>0</v>
      </c>
      <c r="K18" s="392"/>
      <c r="L18" s="392"/>
      <c r="M18" s="233">
        <f>HLOOKUP($D$5,PriorYr906!$J$9:$K$87,10,FALSE)</f>
        <v>0</v>
      </c>
      <c r="N18" s="2367"/>
      <c r="R18" s="159" t="s">
        <v>4649</v>
      </c>
    </row>
    <row r="19" spans="2:18" x14ac:dyDescent="0.2">
      <c r="B19" s="2974" t="s">
        <v>4654</v>
      </c>
      <c r="C19" s="2974"/>
      <c r="D19" s="2974"/>
      <c r="E19" s="2974"/>
      <c r="F19" s="2974"/>
      <c r="G19" s="2974"/>
      <c r="H19" s="2974"/>
      <c r="I19" s="2974"/>
      <c r="J19" s="236">
        <v>0</v>
      </c>
      <c r="K19" s="392"/>
      <c r="L19" s="392"/>
      <c r="M19" s="233">
        <f>HLOOKUP($D$5,PriorYr906!$J$9:$K$87,11,FALSE)</f>
        <v>0</v>
      </c>
      <c r="N19" s="2367"/>
      <c r="P19" s="1512">
        <v>11210500</v>
      </c>
    </row>
    <row r="20" spans="2:18" x14ac:dyDescent="0.2">
      <c r="B20" s="2974" t="s">
        <v>4655</v>
      </c>
      <c r="C20" s="2974"/>
      <c r="D20" s="2974"/>
      <c r="E20" s="2974"/>
      <c r="F20" s="2974"/>
      <c r="G20" s="2974"/>
      <c r="H20" s="2974"/>
      <c r="I20" s="2974"/>
      <c r="J20" s="236">
        <v>0</v>
      </c>
      <c r="K20" s="392"/>
      <c r="L20" s="392"/>
      <c r="M20" s="233">
        <f>HLOOKUP($D$5,PriorYr906!$J$9:$K$87,12,FALSE)</f>
        <v>0</v>
      </c>
      <c r="N20" s="2367"/>
      <c r="P20" s="1512">
        <v>11210600</v>
      </c>
    </row>
    <row r="21" spans="2:18" x14ac:dyDescent="0.2">
      <c r="B21" s="2974" t="s">
        <v>4656</v>
      </c>
      <c r="C21" s="2974"/>
      <c r="D21" s="2974"/>
      <c r="E21" s="2974"/>
      <c r="F21" s="2974"/>
      <c r="G21" s="2974"/>
      <c r="H21" s="2974"/>
      <c r="I21" s="2974"/>
      <c r="J21" s="236">
        <v>0</v>
      </c>
      <c r="K21" s="392"/>
      <c r="L21" s="392"/>
      <c r="M21" s="233">
        <f>HLOOKUP($D$5,PriorYr906!$J$9:$K$87,13,FALSE)</f>
        <v>0</v>
      </c>
      <c r="N21" s="2367"/>
      <c r="P21" s="1508">
        <v>11210800</v>
      </c>
    </row>
    <row r="22" spans="2:18" x14ac:dyDescent="0.2">
      <c r="B22" s="2974" t="s">
        <v>4657</v>
      </c>
      <c r="C22" s="2974"/>
      <c r="D22" s="2974"/>
      <c r="E22" s="2974"/>
      <c r="F22" s="2974"/>
      <c r="G22" s="2974"/>
      <c r="H22" s="2974"/>
      <c r="I22" s="2974"/>
      <c r="J22" s="236">
        <v>0</v>
      </c>
      <c r="K22" s="392"/>
      <c r="L22" s="392"/>
      <c r="M22" s="233">
        <f>HLOOKUP($D$5,PriorYr906!$J$9:$K$87,14,FALSE)</f>
        <v>0</v>
      </c>
      <c r="N22" s="2367"/>
      <c r="P22" s="1508">
        <v>11211000</v>
      </c>
    </row>
    <row r="23" spans="2:18" x14ac:dyDescent="0.2">
      <c r="B23" s="2974" t="s">
        <v>4658</v>
      </c>
      <c r="C23" s="2974"/>
      <c r="D23" s="2974"/>
      <c r="E23" s="2974"/>
      <c r="F23" s="2974"/>
      <c r="G23" s="2974"/>
      <c r="H23" s="2974"/>
      <c r="I23" s="2974"/>
      <c r="J23" s="236">
        <v>0</v>
      </c>
      <c r="K23" s="392"/>
      <c r="L23" s="392"/>
      <c r="M23" s="233">
        <f>HLOOKUP($D$5,PriorYr906!$J$9:$K$87,15,FALSE)</f>
        <v>0</v>
      </c>
      <c r="N23" s="2367"/>
      <c r="P23" s="1508">
        <v>11211300</v>
      </c>
    </row>
    <row r="24" spans="2:18" x14ac:dyDescent="0.2">
      <c r="B24" s="2974" t="s">
        <v>4659</v>
      </c>
      <c r="C24" s="2974"/>
      <c r="D24" s="2974"/>
      <c r="E24" s="2974"/>
      <c r="F24" s="2974"/>
      <c r="G24" s="2974"/>
      <c r="H24" s="2974"/>
      <c r="I24" s="2974"/>
      <c r="J24" s="236">
        <v>0</v>
      </c>
      <c r="K24" s="392"/>
      <c r="L24" s="392"/>
      <c r="M24" s="233">
        <f>HLOOKUP($D$5,PriorYr906!$J$9:$K$87,16,FALSE)</f>
        <v>6920601.2800000003</v>
      </c>
      <c r="N24" s="2367"/>
      <c r="P24" s="1508" t="s">
        <v>4660</v>
      </c>
    </row>
    <row r="25" spans="2:18" x14ac:dyDescent="0.2">
      <c r="B25" s="2974" t="s">
        <v>4661</v>
      </c>
      <c r="C25" s="2974"/>
      <c r="D25" s="2974"/>
      <c r="E25" s="2974"/>
      <c r="F25" s="2974"/>
      <c r="G25" s="2974"/>
      <c r="H25" s="2974"/>
      <c r="I25" s="2974"/>
      <c r="J25" s="236">
        <v>0</v>
      </c>
      <c r="K25" s="392"/>
      <c r="L25" s="392"/>
      <c r="M25" s="233">
        <f>HLOOKUP($D$5,PriorYr906!$J$9:$K$87,17,FALSE)</f>
        <v>0</v>
      </c>
      <c r="N25" s="2367"/>
      <c r="R25" s="159" t="s">
        <v>4649</v>
      </c>
    </row>
    <row r="26" spans="2:18" x14ac:dyDescent="0.2">
      <c r="B26" s="2974" t="s">
        <v>4662</v>
      </c>
      <c r="C26" s="2974"/>
      <c r="D26" s="2974"/>
      <c r="E26" s="2974"/>
      <c r="F26" s="2974"/>
      <c r="G26" s="2974"/>
      <c r="H26" s="2974"/>
      <c r="I26" s="2974"/>
      <c r="J26" s="236">
        <v>0</v>
      </c>
      <c r="K26" s="392"/>
      <c r="L26" s="392"/>
      <c r="M26" s="233">
        <f>HLOOKUP($D$5,PriorYr906!$J$9:$K$87,18,FALSE)</f>
        <v>40189699.240000002</v>
      </c>
      <c r="N26" s="2367"/>
      <c r="P26" s="1508" t="s">
        <v>4663</v>
      </c>
    </row>
    <row r="27" spans="2:18" x14ac:dyDescent="0.2">
      <c r="B27" s="2974" t="s">
        <v>4664</v>
      </c>
      <c r="C27" s="2974"/>
      <c r="D27" s="2974"/>
      <c r="E27" s="2974"/>
      <c r="F27" s="2974"/>
      <c r="G27" s="2974"/>
      <c r="H27" s="2974"/>
      <c r="I27" s="2974"/>
      <c r="J27" s="236">
        <v>0</v>
      </c>
      <c r="K27" s="392"/>
      <c r="L27" s="392"/>
      <c r="M27" s="233">
        <f>HLOOKUP($D$5,PriorYr906!$J$9:$K$87,19,FALSE)</f>
        <v>339253945.89999998</v>
      </c>
      <c r="N27" s="2367"/>
      <c r="P27" s="1508" t="s">
        <v>4665</v>
      </c>
    </row>
    <row r="28" spans="2:18" x14ac:dyDescent="0.2">
      <c r="B28" s="2974" t="s">
        <v>4666</v>
      </c>
      <c r="C28" s="2974"/>
      <c r="D28" s="2974"/>
      <c r="E28" s="2974"/>
      <c r="F28" s="2974"/>
      <c r="G28" s="2974"/>
      <c r="H28" s="2974"/>
      <c r="I28" s="2974"/>
      <c r="J28" s="236">
        <v>0</v>
      </c>
      <c r="K28" s="392"/>
      <c r="L28" s="392"/>
      <c r="M28" s="233">
        <f>HLOOKUP($D$5,PriorYr906!$J$9:$K$87,20,FALSE)</f>
        <v>1580511862.3599999</v>
      </c>
      <c r="N28" s="2367"/>
      <c r="P28" s="1508">
        <v>11212300</v>
      </c>
    </row>
    <row r="29" spans="2:18" x14ac:dyDescent="0.2">
      <c r="B29" s="2974" t="s">
        <v>2930</v>
      </c>
      <c r="C29" s="2974"/>
      <c r="D29" s="2974"/>
      <c r="E29" s="2974"/>
      <c r="F29" s="2974"/>
      <c r="G29" s="2974"/>
      <c r="H29" s="2974"/>
      <c r="I29" s="2974"/>
      <c r="J29" s="236">
        <v>0</v>
      </c>
      <c r="K29" s="392"/>
      <c r="L29" s="392"/>
      <c r="M29" s="233">
        <f>HLOOKUP($D$5,PriorYr906!$J$9:$K$87,21,FALSE)</f>
        <v>0</v>
      </c>
      <c r="N29" s="2367"/>
      <c r="P29" s="1508">
        <v>11230000</v>
      </c>
    </row>
    <row r="30" spans="2:18" x14ac:dyDescent="0.2">
      <c r="B30" s="802" t="s">
        <v>2629</v>
      </c>
      <c r="C30" s="802"/>
      <c r="D30"/>
      <c r="E30"/>
      <c r="F30"/>
      <c r="G30"/>
      <c r="H30"/>
      <c r="I30"/>
      <c r="K30" s="392"/>
      <c r="L30" s="392"/>
      <c r="M30" s="233">
        <f>HLOOKUP($D$5,PriorYr906!$J$9:$K$87,22,FALSE)</f>
        <v>0</v>
      </c>
      <c r="N30" s="2367"/>
    </row>
    <row r="31" spans="2:18" x14ac:dyDescent="0.2">
      <c r="B31" s="2974" t="s">
        <v>4667</v>
      </c>
      <c r="C31" s="2974"/>
      <c r="D31" s="2974"/>
      <c r="E31" s="2974"/>
      <c r="F31" s="2974"/>
      <c r="G31" s="2974"/>
      <c r="H31" s="2974"/>
      <c r="I31" s="2974"/>
      <c r="J31" s="236">
        <v>0</v>
      </c>
      <c r="K31" s="392"/>
      <c r="L31" s="392"/>
      <c r="M31" s="233">
        <f>HLOOKUP($D$5,PriorYr906!$J$9:$K$87,23,FALSE)</f>
        <v>1154.6600000000001</v>
      </c>
      <c r="N31" s="2367"/>
      <c r="P31" s="1508">
        <v>11320000</v>
      </c>
    </row>
    <row r="32" spans="2:18" x14ac:dyDescent="0.2">
      <c r="B32" s="2974" t="s">
        <v>4668</v>
      </c>
      <c r="C32" s="2974"/>
      <c r="D32" s="2974"/>
      <c r="E32" s="2974"/>
      <c r="F32" s="2974"/>
      <c r="G32" s="2974"/>
      <c r="H32" s="2974"/>
      <c r="I32" s="2974"/>
      <c r="J32" s="236">
        <v>0</v>
      </c>
      <c r="K32" s="392"/>
      <c r="L32" s="392"/>
      <c r="M32" s="233">
        <f>HLOOKUP($D$5,PriorYr906!$J$9:$K$87,24,FALSE)</f>
        <v>0</v>
      </c>
      <c r="N32" s="2367"/>
      <c r="P32" s="1508">
        <v>11352000</v>
      </c>
    </row>
    <row r="33" spans="2:18" x14ac:dyDescent="0.2">
      <c r="B33" s="2974" t="s">
        <v>4669</v>
      </c>
      <c r="C33" s="2974"/>
      <c r="D33" s="2974"/>
      <c r="E33" s="2974"/>
      <c r="F33" s="2974"/>
      <c r="G33" s="2974"/>
      <c r="H33" s="2974"/>
      <c r="I33" s="2974"/>
      <c r="J33" s="236">
        <v>0</v>
      </c>
      <c r="K33" s="392"/>
      <c r="L33" s="392"/>
      <c r="M33" s="233">
        <f>HLOOKUP($D$5,PriorYr906!$J$9:$K$87,25,FALSE)</f>
        <v>659638.49</v>
      </c>
      <c r="N33" s="2367"/>
      <c r="P33" s="1508">
        <v>11370000</v>
      </c>
    </row>
    <row r="34" spans="2:18" x14ac:dyDescent="0.2">
      <c r="B34" s="2974" t="s">
        <v>2640</v>
      </c>
      <c r="C34" s="2974"/>
      <c r="D34" s="2974"/>
      <c r="E34" s="2974"/>
      <c r="F34" s="2974"/>
      <c r="G34" s="2974"/>
      <c r="H34" s="2974"/>
      <c r="I34" s="2974"/>
      <c r="J34" s="236">
        <v>0</v>
      </c>
      <c r="K34" s="392"/>
      <c r="L34" s="392"/>
      <c r="M34" s="233">
        <f>HLOOKUP($D$5,PriorYr906!$J$9:$K$87,26,FALSE)</f>
        <v>20710751.27</v>
      </c>
      <c r="N34" s="2367"/>
      <c r="P34" s="1508">
        <v>11510000</v>
      </c>
    </row>
    <row r="35" spans="2:18" x14ac:dyDescent="0.2">
      <c r="B35" s="2974" t="s">
        <v>2638</v>
      </c>
      <c r="C35" s="2974"/>
      <c r="D35" s="2974"/>
      <c r="E35" s="2974"/>
      <c r="F35" s="2974"/>
      <c r="G35" s="2974"/>
      <c r="H35" s="2974"/>
      <c r="I35" s="2974"/>
      <c r="J35" s="236">
        <v>0</v>
      </c>
      <c r="K35" s="392"/>
      <c r="L35" s="392"/>
      <c r="M35" s="233">
        <f>HLOOKUP($D$5,PriorYr906!$J$9:$K$87,27,FALSE)</f>
        <v>0</v>
      </c>
      <c r="N35" s="2367"/>
      <c r="P35" s="1508">
        <v>11699000</v>
      </c>
    </row>
    <row r="36" spans="2:18" x14ac:dyDescent="0.2">
      <c r="B36" s="2974" t="s">
        <v>4670</v>
      </c>
      <c r="C36" s="2974"/>
      <c r="D36" s="2974"/>
      <c r="E36" s="2974"/>
      <c r="F36" s="2974"/>
      <c r="G36" s="2974"/>
      <c r="H36" s="2974"/>
      <c r="I36" s="2974"/>
      <c r="J36" s="236">
        <v>0</v>
      </c>
      <c r="K36" s="392"/>
      <c r="L36" s="392"/>
      <c r="M36" s="233">
        <f>HLOOKUP($D$5,PriorYr906!$J$9:$K$87,28,FALSE)</f>
        <v>0</v>
      </c>
      <c r="N36" s="2367"/>
      <c r="P36" s="1508">
        <v>11930000</v>
      </c>
      <c r="R36" s="159"/>
    </row>
    <row r="37" spans="2:18" x14ac:dyDescent="0.2">
      <c r="B37" s="2974" t="s">
        <v>4671</v>
      </c>
      <c r="C37" s="2974"/>
      <c r="D37" s="2974"/>
      <c r="E37" s="2974"/>
      <c r="F37" s="2974"/>
      <c r="G37" s="2974"/>
      <c r="H37" s="2974"/>
      <c r="I37" s="2974"/>
      <c r="J37" s="236">
        <v>0</v>
      </c>
      <c r="K37" s="392"/>
      <c r="L37" s="392"/>
      <c r="M37" s="233">
        <f>HLOOKUP($D$5,PriorYr906!$J$9:$K$87,29,FALSE)</f>
        <v>0</v>
      </c>
      <c r="N37" s="2367"/>
      <c r="P37" s="1508">
        <v>12700000</v>
      </c>
    </row>
    <row r="38" spans="2:18" x14ac:dyDescent="0.2">
      <c r="B38" s="2974" t="s">
        <v>4672</v>
      </c>
      <c r="C38" s="2974"/>
      <c r="D38" s="2974"/>
      <c r="E38" s="2974"/>
      <c r="F38" s="2974"/>
      <c r="G38" s="2974"/>
      <c r="H38" s="2974"/>
      <c r="I38" s="2974"/>
      <c r="J38" s="362">
        <v>0</v>
      </c>
      <c r="K38" s="392"/>
      <c r="L38" s="392"/>
      <c r="M38" s="233">
        <f>HLOOKUP($D$5,PriorYr906!$J$9:$K$87,30,FALSE)</f>
        <v>0</v>
      </c>
      <c r="N38" s="2367"/>
      <c r="P38" s="1508">
        <v>12710000</v>
      </c>
    </row>
    <row r="39" spans="2:18" x14ac:dyDescent="0.2">
      <c r="B39" s="2974" t="s">
        <v>1742</v>
      </c>
      <c r="C39" s="2974"/>
      <c r="D39" s="2974"/>
      <c r="E39" s="2974"/>
      <c r="F39" s="2974"/>
      <c r="G39" s="2974"/>
      <c r="H39" s="2974"/>
      <c r="I39" s="2974"/>
      <c r="J39" s="403">
        <f>SUM(J10:J38)</f>
        <v>0</v>
      </c>
      <c r="K39" s="392"/>
      <c r="L39" s="392"/>
      <c r="M39" s="403">
        <f>SUM(M10:M38)</f>
        <v>1988247653.2</v>
      </c>
      <c r="N39" s="2367"/>
    </row>
    <row r="40" spans="2:18" x14ac:dyDescent="0.2">
      <c r="B40" s="801"/>
      <c r="C40" s="802"/>
      <c r="D40"/>
      <c r="E40"/>
      <c r="F40"/>
      <c r="G40"/>
      <c r="H40"/>
      <c r="I40"/>
      <c r="J40" s="397"/>
      <c r="K40" s="392"/>
      <c r="L40" s="392"/>
      <c r="M40" s="2347"/>
      <c r="N40" s="2367"/>
    </row>
    <row r="41" spans="2:18" x14ac:dyDescent="0.2">
      <c r="B41" s="800" t="s">
        <v>4673</v>
      </c>
      <c r="C41" s="802"/>
      <c r="D41"/>
      <c r="E41"/>
      <c r="F41"/>
      <c r="G41"/>
      <c r="H41"/>
      <c r="I41"/>
      <c r="J41" s="397"/>
      <c r="K41" s="392"/>
      <c r="L41" s="392"/>
      <c r="M41" s="2347"/>
      <c r="N41" s="2367"/>
    </row>
    <row r="42" spans="2:18" x14ac:dyDescent="0.2">
      <c r="B42" s="1980" t="s">
        <v>2691</v>
      </c>
      <c r="C42" s="802"/>
      <c r="D42"/>
      <c r="E42"/>
      <c r="F42"/>
      <c r="G42"/>
      <c r="H42"/>
      <c r="I42"/>
      <c r="J42" s="397"/>
      <c r="K42" s="392"/>
      <c r="L42" s="392"/>
      <c r="M42" s="2347"/>
      <c r="N42" s="2367"/>
    </row>
    <row r="43" spans="2:18" x14ac:dyDescent="0.2">
      <c r="B43" s="2976" t="s">
        <v>2729</v>
      </c>
      <c r="C43" s="2976"/>
      <c r="D43" s="2976"/>
      <c r="E43" s="2976"/>
      <c r="F43" s="2976"/>
      <c r="G43" s="2976"/>
      <c r="H43" s="2976"/>
      <c r="I43" s="2976"/>
      <c r="J43" s="236">
        <v>0</v>
      </c>
      <c r="K43" s="392"/>
      <c r="L43" s="392"/>
      <c r="M43" s="233">
        <f>HLOOKUP($D$5,PriorYr906!$J$9:$K$87,35,FALSE)</f>
        <v>292326.01</v>
      </c>
      <c r="N43" s="2367"/>
      <c r="P43" s="1512">
        <v>21110000</v>
      </c>
    </row>
    <row r="44" spans="2:18" x14ac:dyDescent="0.2">
      <c r="B44" s="2976" t="s">
        <v>2694</v>
      </c>
      <c r="C44" s="2976"/>
      <c r="D44" s="2976"/>
      <c r="E44" s="2976"/>
      <c r="F44" s="2976"/>
      <c r="G44" s="2976"/>
      <c r="H44" s="2976"/>
      <c r="I44" s="2976"/>
      <c r="J44" s="236">
        <v>0</v>
      </c>
      <c r="K44" s="392"/>
      <c r="L44" s="392"/>
      <c r="M44" s="233">
        <f>HLOOKUP($D$5,PriorYr906!$J$9:$K$87,36,FALSE)</f>
        <v>0</v>
      </c>
      <c r="N44" s="2367"/>
      <c r="P44" s="1512">
        <v>21131000</v>
      </c>
    </row>
    <row r="45" spans="2:18" x14ac:dyDescent="0.2">
      <c r="B45" s="2976" t="s">
        <v>4674</v>
      </c>
      <c r="C45" s="2976"/>
      <c r="D45" s="2976"/>
      <c r="E45" s="2976"/>
      <c r="F45" s="2976"/>
      <c r="G45" s="2976"/>
      <c r="H45" s="2976"/>
      <c r="I45" s="2976"/>
      <c r="J45" s="236">
        <v>0</v>
      </c>
      <c r="K45" s="392"/>
      <c r="L45" s="392"/>
      <c r="M45" s="233">
        <f>HLOOKUP($D$5,PriorYr906!$J$9:$K$87,37,FALSE)</f>
        <v>0</v>
      </c>
      <c r="N45" s="2367"/>
      <c r="P45" s="1512">
        <v>21511000</v>
      </c>
    </row>
    <row r="46" spans="2:18" x14ac:dyDescent="0.2">
      <c r="B46" s="2971" t="s">
        <v>2708</v>
      </c>
      <c r="C46" s="2971"/>
      <c r="D46" s="2971"/>
      <c r="E46" s="2971"/>
      <c r="F46" s="2971"/>
      <c r="G46" s="2971"/>
      <c r="H46" s="2971"/>
      <c r="I46" s="2971"/>
      <c r="J46" s="236">
        <v>0</v>
      </c>
      <c r="K46" s="392"/>
      <c r="L46" s="392"/>
      <c r="M46" s="233">
        <f>HLOOKUP($D$5,PriorYr906!$J$9:$K$87,38,FALSE)</f>
        <v>0</v>
      </c>
      <c r="N46" s="2367"/>
      <c r="P46" s="1512">
        <v>21315000</v>
      </c>
    </row>
    <row r="47" spans="2:18" x14ac:dyDescent="0.2">
      <c r="B47" s="2971" t="s">
        <v>2706</v>
      </c>
      <c r="C47" s="2971"/>
      <c r="D47" s="2971"/>
      <c r="E47" s="2971"/>
      <c r="F47" s="2971"/>
      <c r="G47" s="2971"/>
      <c r="H47" s="2971"/>
      <c r="I47" s="2971"/>
      <c r="J47" s="236">
        <v>0</v>
      </c>
      <c r="K47" s="392"/>
      <c r="L47" s="392"/>
      <c r="M47" s="233">
        <f>HLOOKUP($D$5,PriorYr906!$J$9:$K$87,39,FALSE)</f>
        <v>0</v>
      </c>
      <c r="N47" s="2367"/>
      <c r="P47" s="1512">
        <v>21811000</v>
      </c>
    </row>
    <row r="48" spans="2:18" x14ac:dyDescent="0.2">
      <c r="B48" s="2971" t="s">
        <v>2709</v>
      </c>
      <c r="C48" s="2971"/>
      <c r="D48" s="2971"/>
      <c r="E48" s="2971"/>
      <c r="F48" s="2971"/>
      <c r="G48" s="2971"/>
      <c r="H48" s="2971"/>
      <c r="I48" s="2971"/>
      <c r="J48" s="236">
        <v>0</v>
      </c>
      <c r="K48" s="392"/>
      <c r="L48" s="392"/>
      <c r="M48" s="233">
        <f>HLOOKUP($D$5,PriorYr906!$J$9:$K$87,40,FALSE)</f>
        <v>0</v>
      </c>
      <c r="N48" s="2367"/>
      <c r="P48" s="1512">
        <v>21712000</v>
      </c>
    </row>
    <row r="49" spans="2:17" x14ac:dyDescent="0.2">
      <c r="B49" s="2974" t="s">
        <v>2710</v>
      </c>
      <c r="C49" s="2974"/>
      <c r="D49" s="2974"/>
      <c r="E49" s="2974"/>
      <c r="F49" s="2974"/>
      <c r="G49" s="2974"/>
      <c r="H49" s="2974"/>
      <c r="I49" s="2974"/>
      <c r="J49" s="236">
        <v>0</v>
      </c>
      <c r="K49" s="392"/>
      <c r="L49" s="392"/>
      <c r="M49" s="233">
        <f>HLOOKUP($D$5,PriorYr906!$J$9:$K$87,41,FALSE)</f>
        <v>0</v>
      </c>
      <c r="N49" s="2367"/>
      <c r="P49" s="1512">
        <v>21719000</v>
      </c>
    </row>
    <row r="50" spans="2:17" x14ac:dyDescent="0.2">
      <c r="B50" s="2971" t="s">
        <v>1049</v>
      </c>
      <c r="C50" s="2971"/>
      <c r="D50" s="2971"/>
      <c r="E50" s="2971"/>
      <c r="F50" s="2971"/>
      <c r="G50" s="2971"/>
      <c r="H50" s="2971"/>
      <c r="I50" s="2971"/>
      <c r="J50" s="362">
        <v>0</v>
      </c>
      <c r="K50" s="392"/>
      <c r="L50" s="392"/>
      <c r="M50" s="233">
        <f>HLOOKUP($D$5,PriorYr906!$J$9:$K$87,42,FALSE)</f>
        <v>0</v>
      </c>
      <c r="N50" s="2367"/>
      <c r="P50" s="1512">
        <v>21192000</v>
      </c>
    </row>
    <row r="51" spans="2:17" x14ac:dyDescent="0.2">
      <c r="B51" s="2974" t="s">
        <v>1746</v>
      </c>
      <c r="C51" s="2974"/>
      <c r="D51" s="2974"/>
      <c r="E51" s="2974"/>
      <c r="F51" s="2974"/>
      <c r="G51" s="2974"/>
      <c r="H51" s="2974"/>
      <c r="I51" s="2974"/>
      <c r="J51" s="403">
        <f>SUM(J42:J50)</f>
        <v>0</v>
      </c>
      <c r="K51" s="392"/>
      <c r="L51" s="392"/>
      <c r="M51" s="403">
        <f>SUM(M42:M50)</f>
        <v>292326.01</v>
      </c>
      <c r="N51" s="2367"/>
      <c r="P51" s="1512"/>
    </row>
    <row r="52" spans="2:17" x14ac:dyDescent="0.2">
      <c r="B52" s="802"/>
      <c r="C52" s="802"/>
      <c r="D52"/>
      <c r="E52"/>
      <c r="F52"/>
      <c r="G52"/>
      <c r="H52"/>
      <c r="I52"/>
      <c r="J52" s="397"/>
      <c r="K52" s="392"/>
      <c r="L52" s="392"/>
      <c r="M52" s="2375"/>
      <c r="N52" s="2367"/>
      <c r="P52" s="1512"/>
    </row>
    <row r="53" spans="2:17" x14ac:dyDescent="0.2">
      <c r="B53" s="2371" t="s">
        <v>1748</v>
      </c>
      <c r="C53"/>
      <c r="D53"/>
      <c r="E53"/>
      <c r="F53"/>
      <c r="G53"/>
      <c r="H53"/>
      <c r="I53"/>
      <c r="K53" s="392"/>
      <c r="L53" s="392"/>
      <c r="M53" s="2375"/>
      <c r="N53" s="2367"/>
      <c r="P53" s="1512"/>
    </row>
    <row r="54" spans="2:17" x14ac:dyDescent="0.2">
      <c r="B54" s="2970" t="s">
        <v>1613</v>
      </c>
      <c r="C54" s="2970"/>
      <c r="D54" s="2970"/>
      <c r="E54" s="2970"/>
      <c r="F54" s="2970"/>
      <c r="G54" s="2970"/>
      <c r="H54" s="2970"/>
      <c r="I54" s="2970"/>
      <c r="K54" s="392"/>
      <c r="L54" s="392"/>
      <c r="M54" s="2375"/>
      <c r="N54" s="2367"/>
      <c r="P54" s="1512"/>
    </row>
    <row r="55" spans="2:17" x14ac:dyDescent="0.2">
      <c r="B55" s="2971" t="s">
        <v>4675</v>
      </c>
      <c r="C55" s="2971"/>
      <c r="D55" s="2971"/>
      <c r="E55" s="2971"/>
      <c r="F55" s="2971"/>
      <c r="G55" s="2971"/>
      <c r="H55" s="2971"/>
      <c r="I55" s="2971"/>
      <c r="J55" s="236">
        <v>0</v>
      </c>
      <c r="K55" s="392"/>
      <c r="L55" s="392"/>
      <c r="M55" s="233">
        <f>HLOOKUP($D$5,PriorYr906!$J$9:$K$87,47,FALSE)</f>
        <v>1987955327.1900001</v>
      </c>
      <c r="N55" s="2367"/>
      <c r="P55" s="1512" t="s">
        <v>4676</v>
      </c>
      <c r="Q55" s="1463"/>
    </row>
    <row r="56" spans="2:17" ht="13.5" thickBot="1" x14ac:dyDescent="0.25">
      <c r="B56" s="2972" t="s">
        <v>1630</v>
      </c>
      <c r="C56" s="2972"/>
      <c r="D56" s="2972"/>
      <c r="E56" s="2972"/>
      <c r="F56" s="2972"/>
      <c r="G56" s="2972"/>
      <c r="H56" s="2972"/>
      <c r="I56" s="2972"/>
      <c r="J56" s="404">
        <f>SUM(J54:J55)</f>
        <v>0</v>
      </c>
      <c r="K56" s="392"/>
      <c r="L56" s="392"/>
      <c r="M56" s="404">
        <f>SUM(M54:M55)</f>
        <v>1987955327.1900001</v>
      </c>
      <c r="N56" s="2367"/>
      <c r="P56" s="1512"/>
    </row>
    <row r="57" spans="2:17" ht="13.5" thickTop="1" x14ac:dyDescent="0.2">
      <c r="B57" s="2369"/>
      <c r="C57" s="2369"/>
      <c r="D57" s="2369"/>
      <c r="E57" s="2369"/>
      <c r="F57" s="2369"/>
      <c r="G57" s="2369"/>
      <c r="H57" s="2369"/>
      <c r="I57" s="2369"/>
      <c r="K57" s="392"/>
      <c r="L57" s="392"/>
      <c r="M57" s="2347"/>
      <c r="N57" s="2367"/>
      <c r="P57" s="1512"/>
    </row>
    <row r="58" spans="2:17" x14ac:dyDescent="0.2">
      <c r="B58" s="2972" t="s">
        <v>4677</v>
      </c>
      <c r="C58" s="2972"/>
      <c r="D58" s="2972"/>
      <c r="E58" s="2972"/>
      <c r="F58" s="2972"/>
      <c r="G58" s="2972"/>
      <c r="H58" s="2972"/>
      <c r="I58" s="2972"/>
      <c r="J58" s="766" t="str">
        <f>IF(J39-J51=J56,"In Balance","NOT BALANCED")</f>
        <v>In Balance</v>
      </c>
      <c r="K58" s="392"/>
      <c r="L58" s="392"/>
      <c r="M58" s="766" t="str">
        <f>IF(M39-M51=M56,"In Balance","NOT BALANCED")</f>
        <v>In Balance</v>
      </c>
      <c r="N58" s="2367"/>
      <c r="P58" s="1512"/>
    </row>
    <row r="59" spans="2:17" x14ac:dyDescent="0.2">
      <c r="B59"/>
      <c r="C59"/>
      <c r="D59"/>
      <c r="E59"/>
      <c r="F59"/>
      <c r="G59"/>
      <c r="H59"/>
      <c r="I59"/>
      <c r="K59" s="392"/>
      <c r="L59" s="392"/>
      <c r="M59" s="2347"/>
      <c r="N59" s="2367"/>
      <c r="P59" s="1512"/>
    </row>
    <row r="60" spans="2:17" x14ac:dyDescent="0.2">
      <c r="B60" s="803" t="s">
        <v>4678</v>
      </c>
      <c r="C60"/>
      <c r="D60"/>
      <c r="E60"/>
      <c r="F60"/>
      <c r="G60"/>
      <c r="H60"/>
      <c r="I60"/>
      <c r="J60" s="761" t="str">
        <f>CONCATENATE("FYE ",+TEXT(Data!$A$2,"mmmm d,yyyy"))</f>
        <v>FYE June 30,2023</v>
      </c>
      <c r="K60" s="392"/>
      <c r="L60" s="392"/>
      <c r="M60" s="763" t="str">
        <f>CONCATENATE("FYE ",+TEXT(Data!$A$4,"mmmm d,yyyy"))</f>
        <v>FYE June 30,2022</v>
      </c>
      <c r="N60" s="2367"/>
      <c r="P60" s="1512"/>
    </row>
    <row r="61" spans="2:17" x14ac:dyDescent="0.2">
      <c r="B61" s="2973" t="s">
        <v>4679</v>
      </c>
      <c r="C61" s="2973"/>
      <c r="D61" s="2973"/>
      <c r="E61" s="2973"/>
      <c r="F61" s="2973"/>
      <c r="G61" s="2973"/>
      <c r="H61" s="2973"/>
      <c r="I61" s="2973"/>
      <c r="K61" s="392"/>
      <c r="L61" s="392"/>
      <c r="M61" s="2347"/>
      <c r="N61" s="2367"/>
      <c r="P61" s="1512"/>
    </row>
    <row r="62" spans="2:17" x14ac:dyDescent="0.2">
      <c r="B62" s="2947" t="s">
        <v>4680</v>
      </c>
      <c r="C62" s="2947"/>
      <c r="D62" s="2947"/>
      <c r="E62" s="2947"/>
      <c r="F62" s="2947"/>
      <c r="G62" s="2947"/>
      <c r="H62" s="2947"/>
      <c r="I62" s="2947"/>
      <c r="J62" s="235">
        <v>0</v>
      </c>
      <c r="K62" s="392"/>
      <c r="L62" s="392"/>
      <c r="M62" s="475">
        <f>HLOOKUP($D$5,PriorYr906!$J$9:$K$87,54,FALSE)</f>
        <v>4521121.71</v>
      </c>
      <c r="N62" s="2367"/>
      <c r="P62" s="1512">
        <v>46110000</v>
      </c>
    </row>
    <row r="63" spans="2:17" x14ac:dyDescent="0.2">
      <c r="B63" s="2947" t="s">
        <v>4681</v>
      </c>
      <c r="C63" s="2947"/>
      <c r="D63" s="2947"/>
      <c r="E63" s="2947"/>
      <c r="F63" s="2947"/>
      <c r="G63" s="2947"/>
      <c r="H63" s="2947"/>
      <c r="I63" s="2947"/>
      <c r="J63" s="236">
        <v>0</v>
      </c>
      <c r="K63" s="392"/>
      <c r="L63" s="392"/>
      <c r="M63" s="233">
        <f>HLOOKUP($D$5,PriorYr906!$J$9:$K$87,55,FALSE)</f>
        <v>88847584.730000004</v>
      </c>
      <c r="N63" s="2367"/>
      <c r="P63" s="1512">
        <v>46120000</v>
      </c>
    </row>
    <row r="64" spans="2:17" x14ac:dyDescent="0.2">
      <c r="B64" s="2955" t="s">
        <v>4682</v>
      </c>
      <c r="C64" s="2955"/>
      <c r="D64" s="2955"/>
      <c r="E64" s="2955"/>
      <c r="F64" s="2955"/>
      <c r="G64" s="2955"/>
      <c r="H64" s="2955"/>
      <c r="I64" s="2955"/>
      <c r="J64" s="236">
        <v>0</v>
      </c>
      <c r="K64" s="392"/>
      <c r="L64" s="392"/>
      <c r="M64" s="233">
        <f>HLOOKUP($D$5,PriorYr906!$J$9:$K$87,56,FALSE)</f>
        <v>0</v>
      </c>
      <c r="N64" s="2367"/>
      <c r="P64" s="1512">
        <v>46160000</v>
      </c>
    </row>
    <row r="65" spans="2:16" x14ac:dyDescent="0.2">
      <c r="B65" s="2947" t="s">
        <v>4683</v>
      </c>
      <c r="C65" s="2947"/>
      <c r="D65" s="2947"/>
      <c r="E65" s="2947"/>
      <c r="F65" s="2947"/>
      <c r="G65" s="2947"/>
      <c r="H65" s="2947"/>
      <c r="I65" s="2947"/>
      <c r="J65" s="362">
        <v>0</v>
      </c>
      <c r="K65" s="392"/>
      <c r="L65" s="392"/>
      <c r="M65" s="233">
        <f>HLOOKUP($D$5,PriorYr906!$J$9:$K$87,57,FALSE)</f>
        <v>0</v>
      </c>
      <c r="N65" s="2367"/>
      <c r="P65" s="1512">
        <v>42990000</v>
      </c>
    </row>
    <row r="66" spans="2:16" x14ac:dyDescent="0.2">
      <c r="B66" s="2947" t="s">
        <v>4684</v>
      </c>
      <c r="C66" s="2947"/>
      <c r="D66" s="2947"/>
      <c r="E66" s="2947"/>
      <c r="F66" s="2947"/>
      <c r="G66" s="2947"/>
      <c r="H66" s="2947"/>
      <c r="I66" s="2947"/>
      <c r="J66" s="403">
        <f>SUM(J62:J65)</f>
        <v>0</v>
      </c>
      <c r="K66" s="392"/>
      <c r="L66" s="392"/>
      <c r="M66" s="403">
        <f>SUM(M62:M65)</f>
        <v>93368706.439999998</v>
      </c>
      <c r="N66" s="2367"/>
      <c r="P66" s="1512"/>
    </row>
    <row r="67" spans="2:16" x14ac:dyDescent="0.2">
      <c r="B67" s="2973" t="s">
        <v>4685</v>
      </c>
      <c r="C67" s="2973"/>
      <c r="D67" s="2973"/>
      <c r="E67" s="2973"/>
      <c r="F67" s="2973"/>
      <c r="G67" s="2973"/>
      <c r="H67" s="2973"/>
      <c r="I67" s="2973"/>
      <c r="K67" s="392"/>
      <c r="L67" s="392"/>
      <c r="M67" s="2347"/>
      <c r="N67" s="2367"/>
      <c r="P67" s="1512"/>
    </row>
    <row r="68" spans="2:16" x14ac:dyDescent="0.2">
      <c r="B68" s="2947" t="s">
        <v>4686</v>
      </c>
      <c r="C68" s="2947"/>
      <c r="D68" s="2947"/>
      <c r="E68" s="2947"/>
      <c r="F68" s="2947"/>
      <c r="G68" s="2947"/>
      <c r="H68" s="2947"/>
      <c r="I68" s="2947"/>
      <c r="J68" s="236">
        <v>0</v>
      </c>
      <c r="K68" s="392"/>
      <c r="L68" s="392"/>
      <c r="M68" s="233">
        <f>HLOOKUP($D$5,PriorYr906!$J$9:$K$87,60,FALSE)</f>
        <v>223910709.19999999</v>
      </c>
      <c r="N68" s="2367"/>
      <c r="P68" s="1512">
        <v>43110000</v>
      </c>
    </row>
    <row r="69" spans="2:16" x14ac:dyDescent="0.2">
      <c r="B69" s="2947" t="s">
        <v>4687</v>
      </c>
      <c r="C69" s="2947"/>
      <c r="D69" s="2947"/>
      <c r="E69" s="2947"/>
      <c r="F69" s="2947"/>
      <c r="G69" s="2947"/>
      <c r="H69" s="2947"/>
      <c r="I69" s="2947"/>
      <c r="J69" s="362">
        <v>0</v>
      </c>
      <c r="K69" s="392"/>
      <c r="L69" s="392"/>
      <c r="M69" s="233">
        <f>HLOOKUP($D$5,PriorYr906!$J$9:$K$87,61,FALSE)</f>
        <v>-2693535.46</v>
      </c>
      <c r="N69" s="2367"/>
      <c r="P69" s="1512">
        <v>52120110</v>
      </c>
    </row>
    <row r="70" spans="2:16" x14ac:dyDescent="0.2">
      <c r="B70" s="2947" t="s">
        <v>4688</v>
      </c>
      <c r="C70" s="2947"/>
      <c r="D70" s="2947"/>
      <c r="E70" s="2947"/>
      <c r="F70" s="2947"/>
      <c r="G70" s="2947"/>
      <c r="H70" s="2947"/>
      <c r="I70" s="2947"/>
      <c r="J70" s="403">
        <f>SUM(J68:J69)</f>
        <v>0</v>
      </c>
      <c r="K70" s="392"/>
      <c r="L70" s="392"/>
      <c r="M70" s="403">
        <f>SUM(M68:M69)</f>
        <v>221217173.74000001</v>
      </c>
      <c r="N70" s="2367"/>
      <c r="P70" s="1512"/>
    </row>
    <row r="71" spans="2:16" x14ac:dyDescent="0.2">
      <c r="B71" s="2973" t="s">
        <v>4689</v>
      </c>
      <c r="C71" s="2973"/>
      <c r="D71" s="2973"/>
      <c r="E71" s="2973"/>
      <c r="F71" s="2973"/>
      <c r="G71" s="2973"/>
      <c r="H71" s="2973"/>
      <c r="I71" s="2973"/>
      <c r="K71" s="392"/>
      <c r="L71" s="392"/>
      <c r="M71" s="2375"/>
      <c r="N71" s="2367"/>
      <c r="P71" s="1512"/>
    </row>
    <row r="72" spans="2:16" x14ac:dyDescent="0.2">
      <c r="B72" s="2947" t="s">
        <v>4690</v>
      </c>
      <c r="C72" s="2947"/>
      <c r="D72" s="2947"/>
      <c r="E72" s="2947"/>
      <c r="F72" s="2947"/>
      <c r="G72" s="2947"/>
      <c r="H72" s="2947"/>
      <c r="I72" s="2947"/>
      <c r="J72" s="236">
        <v>0</v>
      </c>
      <c r="K72" s="392"/>
      <c r="L72" s="392"/>
      <c r="M72" s="233">
        <f>HLOOKUP($D$5,PriorYr906!$J$9:$K$87,64,FALSE)</f>
        <v>0</v>
      </c>
      <c r="N72" s="2367"/>
      <c r="P72" s="1512">
        <v>45100000</v>
      </c>
    </row>
    <row r="73" spans="2:16" x14ac:dyDescent="0.2">
      <c r="B73" s="2947" t="s">
        <v>4691</v>
      </c>
      <c r="C73" s="2947"/>
      <c r="D73" s="2947"/>
      <c r="E73" s="2947"/>
      <c r="F73" s="2947"/>
      <c r="G73" s="2947"/>
      <c r="H73" s="2947"/>
      <c r="I73" s="2947"/>
      <c r="J73" s="236">
        <v>0</v>
      </c>
      <c r="K73" s="392"/>
      <c r="L73" s="392"/>
      <c r="M73" s="233">
        <f>HLOOKUP($D$5,PriorYr906!$J$9:$K$87,65,FALSE)</f>
        <v>1109407.24</v>
      </c>
      <c r="N73" s="2367"/>
      <c r="P73" s="1512">
        <v>43200000</v>
      </c>
    </row>
    <row r="74" spans="2:16" x14ac:dyDescent="0.2">
      <c r="B74" s="2947" t="s">
        <v>4692</v>
      </c>
      <c r="C74" s="2947"/>
      <c r="D74" s="2947"/>
      <c r="E74" s="2947"/>
      <c r="F74" s="2947"/>
      <c r="G74" s="2947"/>
      <c r="H74" s="2947"/>
      <c r="I74" s="2947"/>
      <c r="J74" s="236">
        <v>0</v>
      </c>
      <c r="K74" s="392"/>
      <c r="L74" s="392"/>
      <c r="M74" s="233">
        <f>HLOOKUP($D$5,PriorYr906!$J$9:$K$87,66,FALSE)</f>
        <v>508763.32</v>
      </c>
      <c r="N74" s="2367"/>
      <c r="P74" s="1512">
        <v>47111000</v>
      </c>
    </row>
    <row r="75" spans="2:16" x14ac:dyDescent="0.2">
      <c r="B75" s="2947" t="s">
        <v>4693</v>
      </c>
      <c r="C75" s="2947"/>
      <c r="D75" s="2947"/>
      <c r="E75" s="2947"/>
      <c r="F75" s="2947"/>
      <c r="G75" s="2947"/>
      <c r="H75" s="2947"/>
      <c r="I75" s="2947"/>
      <c r="J75" s="403">
        <f>SUM(J72:J74)</f>
        <v>0</v>
      </c>
      <c r="K75" s="392"/>
      <c r="L75" s="392"/>
      <c r="M75" s="403">
        <f>SUM(M72:M74)</f>
        <v>1618170.56</v>
      </c>
      <c r="N75" s="2367"/>
      <c r="P75" s="1512"/>
    </row>
    <row r="76" spans="2:16" x14ac:dyDescent="0.2">
      <c r="B76" s="2947" t="s">
        <v>4694</v>
      </c>
      <c r="C76" s="2947"/>
      <c r="D76" s="2947"/>
      <c r="E76" s="2947"/>
      <c r="F76" s="2947"/>
      <c r="G76" s="2947"/>
      <c r="H76" s="2947"/>
      <c r="I76" s="2947"/>
      <c r="J76" s="403">
        <f>J66+J70+J75</f>
        <v>0</v>
      </c>
      <c r="K76" s="392"/>
      <c r="L76" s="392"/>
      <c r="M76" s="403">
        <f>M66+M70+M75</f>
        <v>316204050.74000001</v>
      </c>
      <c r="N76" s="2367"/>
      <c r="P76" s="1512"/>
    </row>
    <row r="77" spans="2:16" x14ac:dyDescent="0.2">
      <c r="B77" s="2347"/>
      <c r="C77"/>
      <c r="D77"/>
      <c r="E77"/>
      <c r="F77"/>
      <c r="G77"/>
      <c r="H77"/>
      <c r="I77"/>
      <c r="K77" s="392"/>
      <c r="L77" s="392"/>
      <c r="M77" s="2347"/>
      <c r="N77" s="2367"/>
      <c r="P77" s="1512"/>
    </row>
    <row r="78" spans="2:16" x14ac:dyDescent="0.2">
      <c r="B78" s="2975" t="s">
        <v>4695</v>
      </c>
      <c r="C78" s="2975"/>
      <c r="D78" s="2975"/>
      <c r="E78" s="2975"/>
      <c r="F78" s="2975"/>
      <c r="G78" s="2975"/>
      <c r="H78" s="2975"/>
      <c r="I78" s="2975"/>
      <c r="K78" s="392"/>
      <c r="L78" s="392"/>
      <c r="M78" s="2347"/>
      <c r="N78" s="2367"/>
      <c r="P78" s="1512"/>
    </row>
    <row r="79" spans="2:16" x14ac:dyDescent="0.2">
      <c r="B79" s="2947" t="s">
        <v>2784</v>
      </c>
      <c r="C79" s="2947"/>
      <c r="D79" s="2947"/>
      <c r="E79" s="2947"/>
      <c r="F79" s="2947"/>
      <c r="G79" s="2947"/>
      <c r="H79" s="2947"/>
      <c r="I79" s="2947"/>
      <c r="J79" s="236">
        <v>0</v>
      </c>
      <c r="K79" s="392"/>
      <c r="L79" s="392"/>
      <c r="M79" s="233">
        <f>HLOOKUP($D$5,PriorYr906!$J$9:$K$87,71,FALSE)</f>
        <v>122309834.73</v>
      </c>
      <c r="N79" s="2367"/>
      <c r="P79" s="1512">
        <v>55210000</v>
      </c>
    </row>
    <row r="80" spans="2:16" x14ac:dyDescent="0.2">
      <c r="B80" s="2947" t="s">
        <v>4316</v>
      </c>
      <c r="C80" s="2947"/>
      <c r="D80" s="2947"/>
      <c r="E80" s="2947"/>
      <c r="F80" s="2947"/>
      <c r="G80" s="2947"/>
      <c r="H80" s="2947"/>
      <c r="I80" s="2947"/>
      <c r="J80" s="236">
        <v>0</v>
      </c>
      <c r="K80" s="392"/>
      <c r="L80" s="392"/>
      <c r="M80" s="233">
        <f>HLOOKUP($D$5,PriorYr906!$J$9:$K$87,72,FALSE)</f>
        <v>0</v>
      </c>
      <c r="N80" s="2367"/>
      <c r="P80" s="1512">
        <v>55218000</v>
      </c>
    </row>
    <row r="81" spans="2:16" x14ac:dyDescent="0.2">
      <c r="B81" s="2947" t="s">
        <v>4696</v>
      </c>
      <c r="C81" s="2947"/>
      <c r="D81" s="2947"/>
      <c r="E81" s="2947"/>
      <c r="F81" s="2947"/>
      <c r="G81" s="2947"/>
      <c r="H81" s="2947"/>
      <c r="I81" s="2947"/>
      <c r="J81" s="236">
        <v>0</v>
      </c>
      <c r="K81" s="392"/>
      <c r="L81" s="392"/>
      <c r="M81" s="233">
        <f>HLOOKUP($D$5,PriorYr906!$J$9:$K$87,73,FALSE)</f>
        <v>1966162.13</v>
      </c>
      <c r="N81" s="2367"/>
      <c r="P81" s="1512" t="s">
        <v>4697</v>
      </c>
    </row>
    <row r="82" spans="2:16" x14ac:dyDescent="0.2">
      <c r="B82" s="2947" t="s">
        <v>4698</v>
      </c>
      <c r="C82" s="2947"/>
      <c r="D82" s="2947"/>
      <c r="E82" s="2947"/>
      <c r="F82" s="2947"/>
      <c r="G82" s="2947"/>
      <c r="H82" s="2947"/>
      <c r="I82" s="2947"/>
      <c r="J82" s="362">
        <v>0</v>
      </c>
      <c r="K82" s="392"/>
      <c r="L82" s="392"/>
      <c r="M82" s="233">
        <f>HLOOKUP($D$5,PriorYr906!$J$9:$K$87,74,FALSE)</f>
        <v>0</v>
      </c>
      <c r="N82" s="2367"/>
      <c r="P82" s="1512">
        <v>55610000</v>
      </c>
    </row>
    <row r="83" spans="2:16" x14ac:dyDescent="0.2">
      <c r="B83" s="2947" t="s">
        <v>4699</v>
      </c>
      <c r="C83" s="2947"/>
      <c r="D83" s="2947"/>
      <c r="E83" s="2947"/>
      <c r="F83" s="2947"/>
      <c r="G83" s="2947"/>
      <c r="H83" s="2947"/>
      <c r="I83" s="2947"/>
      <c r="J83" s="403">
        <f>SUM(J79:J82)</f>
        <v>0</v>
      </c>
      <c r="K83" s="392"/>
      <c r="L83" s="392"/>
      <c r="M83" s="403">
        <f>SUM(M79:M82)</f>
        <v>124275996.86</v>
      </c>
      <c r="N83" s="2367"/>
      <c r="P83" s="1512"/>
    </row>
    <row r="84" spans="2:16" x14ac:dyDescent="0.2">
      <c r="B84" s="2947" t="s">
        <v>4700</v>
      </c>
      <c r="C84" s="2947"/>
      <c r="D84" s="2947"/>
      <c r="E84" s="2947"/>
      <c r="F84" s="2947"/>
      <c r="G84" s="2947"/>
      <c r="H84" s="2947"/>
      <c r="I84" s="2947"/>
      <c r="J84" s="760">
        <f>J76-J83</f>
        <v>0</v>
      </c>
      <c r="K84" s="392"/>
      <c r="L84" s="392"/>
      <c r="M84" s="760">
        <f>M76-M83</f>
        <v>191928053.88</v>
      </c>
      <c r="N84" s="2367"/>
      <c r="P84" s="1512"/>
    </row>
    <row r="85" spans="2:16" x14ac:dyDescent="0.2">
      <c r="B85" s="2971" t="s">
        <v>4701</v>
      </c>
      <c r="C85" s="2971"/>
      <c r="D85" s="2971"/>
      <c r="E85" s="2971"/>
      <c r="F85" s="2971"/>
      <c r="G85" s="2971"/>
      <c r="H85" s="2971"/>
      <c r="I85" s="2971"/>
      <c r="J85" s="616">
        <f>INDEX(NetAssetsData,MATCH('906-6B'!$D$5,NetAssetsDataRow,0),3)</f>
        <v>1987955327.1900001</v>
      </c>
      <c r="K85" s="392"/>
      <c r="L85" s="392"/>
      <c r="M85" s="616">
        <f>HLOOKUP($D$5,PriorYr906!$J$9:$K$87,77,FALSE)</f>
        <v>1796027273.3099999</v>
      </c>
      <c r="N85" s="2367"/>
      <c r="P85" s="1512"/>
    </row>
    <row r="86" spans="2:16" x14ac:dyDescent="0.2">
      <c r="B86" s="2971" t="s">
        <v>4702</v>
      </c>
      <c r="C86" s="2971"/>
      <c r="D86" s="2971"/>
      <c r="E86" s="2971"/>
      <c r="F86" s="2971"/>
      <c r="G86" s="2971"/>
      <c r="H86" s="2971"/>
      <c r="I86" s="2971"/>
      <c r="J86" s="362">
        <v>0</v>
      </c>
      <c r="K86" s="392"/>
      <c r="L86" s="392"/>
      <c r="M86" s="233">
        <f>HLOOKUP($D$5,PriorYr906!$J$9:$K$87,78,FALSE)</f>
        <v>0</v>
      </c>
      <c r="N86" s="2367"/>
      <c r="P86" s="1512">
        <v>33000100</v>
      </c>
    </row>
    <row r="87" spans="2:16" ht="13.5" thickBot="1" x14ac:dyDescent="0.25">
      <c r="B87" s="2971" t="s">
        <v>4703</v>
      </c>
      <c r="C87" s="2971"/>
      <c r="D87" s="2971"/>
      <c r="E87" s="2971"/>
      <c r="F87" s="2971"/>
      <c r="G87" s="2971"/>
      <c r="H87" s="2971"/>
      <c r="I87" s="2971"/>
      <c r="J87" s="405">
        <f>SUM(J84:J86)</f>
        <v>1987955327.1900001</v>
      </c>
      <c r="K87" s="392"/>
      <c r="L87" s="392"/>
      <c r="M87" s="405">
        <f>SUM(M84:M86)</f>
        <v>1987955327.1900001</v>
      </c>
      <c r="N87" s="393"/>
    </row>
    <row r="88" spans="2:16" ht="13.5" thickTop="1" x14ac:dyDescent="0.2">
      <c r="B88"/>
      <c r="C88"/>
      <c r="D88"/>
      <c r="E88"/>
      <c r="F88"/>
      <c r="G88"/>
      <c r="H88"/>
      <c r="I88"/>
      <c r="K88" s="401"/>
      <c r="L88" s="401"/>
      <c r="M88" s="239"/>
      <c r="N88" s="401"/>
    </row>
    <row r="89" spans="2:16" x14ac:dyDescent="0.2">
      <c r="B89"/>
      <c r="C89"/>
      <c r="D89"/>
      <c r="E89"/>
      <c r="F89"/>
      <c r="G89"/>
      <c r="H89"/>
      <c r="I89"/>
      <c r="K89" s="393"/>
      <c r="L89" s="393"/>
      <c r="M89" s="191"/>
      <c r="N89" s="393"/>
    </row>
    <row r="90" spans="2:16" x14ac:dyDescent="0.2">
      <c r="B90" s="2972" t="s">
        <v>4704</v>
      </c>
      <c r="C90" s="2972"/>
      <c r="D90" s="2972"/>
      <c r="E90" s="2972"/>
      <c r="F90" s="2972"/>
      <c r="G90" s="2972"/>
      <c r="H90" s="2972"/>
      <c r="I90" s="2972"/>
      <c r="J90" s="766" t="str">
        <f>IF(J56=J87,"In Balance","NOT BALANCED")</f>
        <v>NOT BALANCED</v>
      </c>
      <c r="K90" s="394"/>
      <c r="L90" s="394"/>
      <c r="M90" s="766" t="str">
        <f>IF(M56=M87,"In Balance","NOT BALANCED")</f>
        <v>In Balance</v>
      </c>
      <c r="N90" s="394"/>
    </row>
    <row r="91" spans="2:16" x14ac:dyDescent="0.2">
      <c r="K91" s="394"/>
      <c r="L91" s="394"/>
      <c r="M91" s="394"/>
      <c r="N91" s="394"/>
    </row>
    <row r="92" spans="2:16" x14ac:dyDescent="0.2">
      <c r="K92" s="2367"/>
      <c r="L92" s="2367"/>
      <c r="M92" s="2367"/>
      <c r="N92" s="2367"/>
    </row>
    <row r="93" spans="2:16" x14ac:dyDescent="0.2">
      <c r="K93" s="2367"/>
      <c r="L93" s="2367"/>
      <c r="M93" s="2367"/>
      <c r="N93" s="2367"/>
    </row>
    <row r="94" spans="2:16" x14ac:dyDescent="0.2">
      <c r="K94" s="2367"/>
      <c r="L94" s="2367"/>
      <c r="M94" s="2367"/>
      <c r="N94" s="2367"/>
    </row>
    <row r="95" spans="2:16" x14ac:dyDescent="0.2">
      <c r="K95" s="2367"/>
      <c r="L95" s="2367"/>
      <c r="M95" s="2367"/>
      <c r="N95" s="2367"/>
    </row>
    <row r="96" spans="2:16" x14ac:dyDescent="0.2">
      <c r="K96" s="2367"/>
      <c r="L96" s="2367"/>
      <c r="M96" s="2367"/>
      <c r="N96" s="2367"/>
    </row>
    <row r="97" spans="11:14" x14ac:dyDescent="0.2">
      <c r="K97" s="2367"/>
      <c r="L97" s="2367"/>
      <c r="M97" s="2367"/>
      <c r="N97" s="2367"/>
    </row>
    <row r="98" spans="11:14" x14ac:dyDescent="0.2">
      <c r="K98" s="2367"/>
      <c r="L98" s="2367"/>
      <c r="M98" s="2367"/>
      <c r="N98" s="2367"/>
    </row>
    <row r="99" spans="11:14" x14ac:dyDescent="0.2">
      <c r="K99" s="2367"/>
      <c r="L99" s="2367"/>
      <c r="M99" s="2367"/>
      <c r="N99" s="2367"/>
    </row>
    <row r="100" spans="11:14" x14ac:dyDescent="0.2">
      <c r="K100" s="2367"/>
      <c r="L100" s="2367"/>
      <c r="M100" s="2367"/>
      <c r="N100" s="2367"/>
    </row>
    <row r="101" spans="11:14" x14ac:dyDescent="0.2">
      <c r="K101" s="2367"/>
      <c r="L101" s="2367"/>
      <c r="M101" s="2367"/>
      <c r="N101" s="2367"/>
    </row>
    <row r="102" spans="11:14" x14ac:dyDescent="0.2">
      <c r="K102" s="393"/>
      <c r="L102" s="393"/>
      <c r="M102" s="393"/>
      <c r="N102" s="393"/>
    </row>
    <row r="103" spans="11:14" x14ac:dyDescent="0.2">
      <c r="K103" s="392"/>
      <c r="L103" s="392"/>
      <c r="M103" s="392"/>
      <c r="N103" s="392"/>
    </row>
    <row r="104" spans="11:14" x14ac:dyDescent="0.2">
      <c r="K104" s="2367"/>
      <c r="L104" s="2367"/>
      <c r="M104" s="2367"/>
      <c r="N104" s="2367"/>
    </row>
    <row r="105" spans="11:14" x14ac:dyDescent="0.2">
      <c r="K105" s="393"/>
      <c r="L105" s="393"/>
      <c r="M105" s="393"/>
      <c r="N105" s="393"/>
    </row>
    <row r="106" spans="11:14" x14ac:dyDescent="0.2">
      <c r="K106" s="393"/>
      <c r="L106" s="393"/>
      <c r="M106" s="393"/>
      <c r="N106" s="393"/>
    </row>
    <row r="107" spans="11:14" x14ac:dyDescent="0.2">
      <c r="K107" s="2367"/>
      <c r="L107" s="2367"/>
      <c r="M107" s="2367"/>
      <c r="N107" s="2367"/>
    </row>
    <row r="108" spans="11:14" x14ac:dyDescent="0.2">
      <c r="K108" s="393"/>
      <c r="L108" s="393"/>
      <c r="M108" s="393"/>
      <c r="N108" s="393"/>
    </row>
    <row r="109" spans="11:14" x14ac:dyDescent="0.2">
      <c r="K109" s="2367"/>
      <c r="L109" s="2367"/>
      <c r="M109" s="2367"/>
      <c r="N109" s="2367"/>
    </row>
    <row r="110" spans="11:14" x14ac:dyDescent="0.2">
      <c r="K110" s="2367"/>
      <c r="L110" s="2367"/>
      <c r="M110" s="2367"/>
      <c r="N110" s="2367"/>
    </row>
    <row r="111" spans="11:14" x14ac:dyDescent="0.2">
      <c r="K111" s="2367"/>
      <c r="L111" s="2367"/>
      <c r="M111" s="2367"/>
      <c r="N111" s="2367"/>
    </row>
    <row r="112" spans="11:14" x14ac:dyDescent="0.2">
      <c r="K112" s="2367"/>
      <c r="L112" s="2367"/>
      <c r="M112" s="2367"/>
      <c r="N112" s="2367"/>
    </row>
    <row r="113" spans="11:14" x14ac:dyDescent="0.2">
      <c r="K113" s="2367"/>
      <c r="L113" s="2367"/>
      <c r="M113" s="2367"/>
      <c r="N113" s="2367"/>
    </row>
    <row r="114" spans="11:14" x14ac:dyDescent="0.2">
      <c r="K114" s="2367"/>
      <c r="L114" s="2367"/>
      <c r="M114" s="2367"/>
      <c r="N114" s="2367"/>
    </row>
    <row r="115" spans="11:14" x14ac:dyDescent="0.2">
      <c r="K115" s="2367"/>
      <c r="L115" s="2367"/>
      <c r="M115" s="2367"/>
      <c r="N115" s="2367"/>
    </row>
    <row r="116" spans="11:14" x14ac:dyDescent="0.2">
      <c r="K116" s="2367"/>
      <c r="L116" s="2367"/>
      <c r="M116" s="2367"/>
      <c r="N116" s="2367"/>
    </row>
    <row r="117" spans="11:14" x14ac:dyDescent="0.2">
      <c r="K117" s="393"/>
      <c r="L117" s="393"/>
      <c r="M117" s="393"/>
      <c r="N117" s="393"/>
    </row>
    <row r="118" spans="11:14" x14ac:dyDescent="0.2">
      <c r="K118" s="393"/>
      <c r="L118" s="393"/>
      <c r="M118" s="393"/>
      <c r="N118" s="393"/>
    </row>
    <row r="120" spans="11:14" x14ac:dyDescent="0.2">
      <c r="K120" s="400"/>
      <c r="L120" s="400"/>
      <c r="M120" s="400"/>
      <c r="N120" s="400"/>
    </row>
    <row r="121" spans="11:14" x14ac:dyDescent="0.2">
      <c r="K121" s="400"/>
      <c r="L121" s="400"/>
      <c r="M121" s="400"/>
      <c r="N121" s="400"/>
    </row>
    <row r="122" spans="11:14" x14ac:dyDescent="0.2">
      <c r="K122" s="400"/>
      <c r="L122" s="400"/>
      <c r="M122" s="400"/>
      <c r="N122" s="400"/>
    </row>
    <row r="123" spans="11:14" x14ac:dyDescent="0.2">
      <c r="K123" s="400"/>
      <c r="L123" s="400"/>
      <c r="M123" s="400"/>
      <c r="N123" s="400"/>
    </row>
    <row r="124" spans="11:14" x14ac:dyDescent="0.2">
      <c r="K124" s="2367"/>
      <c r="L124" s="2367"/>
      <c r="M124" s="2367"/>
      <c r="N124" s="2367"/>
    </row>
    <row r="125" spans="11:14" x14ac:dyDescent="0.2">
      <c r="K125" s="402"/>
      <c r="L125" s="402"/>
      <c r="M125" s="402"/>
      <c r="N125" s="402"/>
    </row>
    <row r="126" spans="11:14" x14ac:dyDescent="0.2">
      <c r="K126" s="2367"/>
      <c r="L126" s="2367"/>
      <c r="M126" s="2367"/>
      <c r="N126" s="2367"/>
    </row>
    <row r="127" spans="11:14" x14ac:dyDescent="0.2">
      <c r="K127" s="2367"/>
      <c r="L127" s="2367"/>
      <c r="M127" s="2367"/>
      <c r="N127" s="2367"/>
    </row>
    <row r="128" spans="11:14" x14ac:dyDescent="0.2">
      <c r="K128" s="2367"/>
      <c r="L128" s="2367"/>
      <c r="M128" s="2367"/>
      <c r="N128" s="2367"/>
    </row>
    <row r="129" spans="11:14" x14ac:dyDescent="0.2">
      <c r="K129" s="2367"/>
      <c r="L129" s="2367"/>
      <c r="M129" s="2367"/>
      <c r="N129" s="2367"/>
    </row>
    <row r="130" spans="11:14" x14ac:dyDescent="0.2">
      <c r="K130" s="2367"/>
      <c r="L130" s="2367"/>
      <c r="M130" s="2367"/>
      <c r="N130" s="2367"/>
    </row>
    <row r="131" spans="11:14" x14ac:dyDescent="0.2">
      <c r="K131" s="2367"/>
      <c r="L131" s="2367"/>
      <c r="M131" s="2367"/>
      <c r="N131" s="2367"/>
    </row>
    <row r="132" spans="11:14" x14ac:dyDescent="0.2">
      <c r="K132" s="2367"/>
      <c r="L132" s="2367"/>
      <c r="M132" s="2367"/>
      <c r="N132" s="2367"/>
    </row>
    <row r="133" spans="11:14" x14ac:dyDescent="0.2">
      <c r="K133" s="2367"/>
      <c r="L133" s="2367"/>
      <c r="M133" s="2367"/>
      <c r="N133" s="2367"/>
    </row>
    <row r="134" spans="11:14" x14ac:dyDescent="0.2">
      <c r="K134" s="2367"/>
      <c r="L134" s="2367"/>
      <c r="M134" s="2367"/>
      <c r="N134" s="2367"/>
    </row>
    <row r="135" spans="11:14" x14ac:dyDescent="0.2">
      <c r="K135" s="402"/>
      <c r="L135" s="402"/>
      <c r="M135" s="402"/>
      <c r="N135" s="402"/>
    </row>
    <row r="136" spans="11:14" x14ac:dyDescent="0.2">
      <c r="K136" s="2367"/>
      <c r="L136" s="2367"/>
      <c r="M136" s="2367"/>
      <c r="N136" s="2367"/>
    </row>
    <row r="137" spans="11:14" x14ac:dyDescent="0.2">
      <c r="K137" s="2367"/>
      <c r="L137" s="2367"/>
      <c r="M137" s="2367"/>
      <c r="N137" s="2367"/>
    </row>
    <row r="138" spans="11:14" x14ac:dyDescent="0.2">
      <c r="K138" s="2367"/>
      <c r="L138" s="2367"/>
      <c r="M138" s="2367"/>
      <c r="N138" s="2367"/>
    </row>
    <row r="139" spans="11:14" x14ac:dyDescent="0.2">
      <c r="K139" s="2367"/>
      <c r="L139" s="2367"/>
      <c r="M139" s="2367"/>
      <c r="N139" s="2367"/>
    </row>
    <row r="140" spans="11:14" x14ac:dyDescent="0.2">
      <c r="K140" s="2367"/>
      <c r="L140" s="2367"/>
      <c r="M140" s="2367"/>
      <c r="N140" s="2367"/>
    </row>
    <row r="141" spans="11:14" x14ac:dyDescent="0.2">
      <c r="K141" s="2367"/>
      <c r="L141" s="2367"/>
      <c r="M141" s="2367"/>
      <c r="N141" s="2367"/>
    </row>
    <row r="142" spans="11:14" x14ac:dyDescent="0.2">
      <c r="K142" s="2367"/>
      <c r="L142" s="2367"/>
      <c r="M142" s="2367"/>
      <c r="N142" s="2367"/>
    </row>
    <row r="143" spans="11:14" x14ac:dyDescent="0.2">
      <c r="K143" s="2367"/>
      <c r="L143" s="2367"/>
      <c r="M143" s="2367"/>
      <c r="N143" s="2367"/>
    </row>
    <row r="144" spans="11:14" x14ac:dyDescent="0.2">
      <c r="K144" s="2367"/>
      <c r="L144" s="2367"/>
      <c r="M144" s="2367"/>
      <c r="N144" s="2367"/>
    </row>
    <row r="145" spans="11:14" x14ac:dyDescent="0.2">
      <c r="K145" s="2367"/>
      <c r="L145" s="2367"/>
      <c r="M145" s="2367"/>
      <c r="N145" s="2367"/>
    </row>
    <row r="146" spans="11:14" x14ac:dyDescent="0.2">
      <c r="K146" s="2367"/>
      <c r="L146" s="2367"/>
      <c r="M146" s="2367"/>
      <c r="N146" s="2367"/>
    </row>
    <row r="147" spans="11:14" x14ac:dyDescent="0.2">
      <c r="K147" s="392"/>
      <c r="L147" s="392"/>
      <c r="M147" s="392"/>
      <c r="N147" s="392"/>
    </row>
    <row r="148" spans="11:14" x14ac:dyDescent="0.2">
      <c r="K148" s="2367"/>
      <c r="L148" s="2367"/>
      <c r="M148" s="2367"/>
      <c r="N148" s="2367"/>
    </row>
    <row r="149" spans="11:14" x14ac:dyDescent="0.2">
      <c r="K149" s="2367"/>
      <c r="L149" s="2367"/>
      <c r="M149" s="2367"/>
      <c r="N149" s="2367"/>
    </row>
    <row r="150" spans="11:14" x14ac:dyDescent="0.2">
      <c r="K150" s="2367"/>
      <c r="L150" s="2367"/>
      <c r="M150" s="2367"/>
      <c r="N150" s="2367"/>
    </row>
    <row r="151" spans="11:14" x14ac:dyDescent="0.2">
      <c r="K151" s="2367"/>
      <c r="L151" s="2367"/>
      <c r="M151" s="2367"/>
      <c r="N151" s="2367"/>
    </row>
    <row r="152" spans="11:14" x14ac:dyDescent="0.2">
      <c r="K152" s="2367"/>
      <c r="L152" s="2367"/>
      <c r="M152" s="2367"/>
      <c r="N152" s="2367"/>
    </row>
    <row r="153" spans="11:14" x14ac:dyDescent="0.2">
      <c r="K153" s="2367"/>
      <c r="L153" s="2367"/>
      <c r="M153" s="2367"/>
      <c r="N153" s="2367"/>
    </row>
    <row r="154" spans="11:14" x14ac:dyDescent="0.2">
      <c r="K154" s="2367"/>
      <c r="L154" s="2367"/>
      <c r="M154" s="2367"/>
      <c r="N154" s="2367"/>
    </row>
    <row r="155" spans="11:14" x14ac:dyDescent="0.2">
      <c r="K155" s="2367"/>
      <c r="L155" s="2367"/>
      <c r="M155" s="2367"/>
      <c r="N155" s="2367"/>
    </row>
    <row r="156" spans="11:14" x14ac:dyDescent="0.2">
      <c r="K156" s="2367"/>
      <c r="L156" s="2367"/>
      <c r="M156" s="2367"/>
      <c r="N156" s="2367"/>
    </row>
    <row r="157" spans="11:14" x14ac:dyDescent="0.2">
      <c r="K157" s="2367"/>
      <c r="L157" s="2367"/>
      <c r="M157" s="2367"/>
      <c r="N157" s="2367"/>
    </row>
    <row r="158" spans="11:14" x14ac:dyDescent="0.2">
      <c r="K158" s="2367"/>
      <c r="L158" s="2367"/>
      <c r="M158" s="2367"/>
      <c r="N158" s="2367"/>
    </row>
    <row r="159" spans="11:14" x14ac:dyDescent="0.2">
      <c r="K159" s="2367"/>
      <c r="L159" s="2367"/>
      <c r="M159" s="2367"/>
      <c r="N159" s="2367"/>
    </row>
    <row r="160" spans="11:14" x14ac:dyDescent="0.2">
      <c r="K160" s="2367"/>
      <c r="L160" s="2367"/>
      <c r="M160" s="2367"/>
      <c r="N160" s="2367"/>
    </row>
    <row r="161" spans="11:14" x14ac:dyDescent="0.2">
      <c r="K161" s="2367"/>
      <c r="L161" s="2367"/>
      <c r="M161" s="2367"/>
      <c r="N161" s="2367"/>
    </row>
    <row r="162" spans="11:14" x14ac:dyDescent="0.2">
      <c r="K162" s="2367"/>
      <c r="L162" s="2367"/>
      <c r="M162" s="2367"/>
      <c r="N162" s="2367"/>
    </row>
    <row r="163" spans="11:14" x14ac:dyDescent="0.2">
      <c r="K163" s="2367"/>
      <c r="L163" s="2367"/>
      <c r="M163" s="2367"/>
      <c r="N163" s="2367"/>
    </row>
    <row r="164" spans="11:14" x14ac:dyDescent="0.2">
      <c r="K164" s="2367"/>
      <c r="L164" s="2367"/>
      <c r="M164" s="2367"/>
      <c r="N164" s="2367"/>
    </row>
    <row r="165" spans="11:14" x14ac:dyDescent="0.2">
      <c r="K165" s="2367"/>
      <c r="L165" s="2367"/>
      <c r="M165" s="2367"/>
      <c r="N165" s="2367"/>
    </row>
    <row r="166" spans="11:14" x14ac:dyDescent="0.2">
      <c r="K166" s="2367"/>
      <c r="L166" s="2367"/>
      <c r="M166" s="2367"/>
      <c r="N166" s="2367"/>
    </row>
    <row r="167" spans="11:14" x14ac:dyDescent="0.2">
      <c r="K167" s="2367"/>
      <c r="L167" s="2367"/>
      <c r="M167" s="2367"/>
      <c r="N167" s="2367"/>
    </row>
    <row r="168" spans="11:14" x14ac:dyDescent="0.2">
      <c r="K168" s="2367"/>
      <c r="L168" s="2367"/>
      <c r="M168" s="2367"/>
      <c r="N168" s="2367"/>
    </row>
    <row r="169" spans="11:14" x14ac:dyDescent="0.2">
      <c r="K169" s="2367"/>
      <c r="L169" s="2367"/>
      <c r="M169" s="2367"/>
      <c r="N169" s="2367"/>
    </row>
  </sheetData>
  <sheetProtection algorithmName="SHA-512" hashValue="jE2Iy2yRH5ECOb88olKMtgOBcKcP3qAvUg8ADjDoXPRogEQKeaelyFeOqp4ubDZknPnK8AQveHZ3Y8eSu3fn8g==" saltValue="fhDuCsj2d+eVwciyxvn5iw==" spinCount="100000" sheet="1" objects="1" scenarios="1" autoFilter="0"/>
  <customSheetViews>
    <customSheetView guid="{9FCFC836-1CA5-48BF-958D-24D2EA94B219}" showGridLines="0" fitToPage="1" topLeftCell="A73">
      <selection activeCell="B12" sqref="B12"/>
      <rowBreaks count="1" manualBreakCount="1">
        <brk id="59" max="16383" man="1"/>
      </rowBreaks>
      <pageMargins left="0" right="0" top="0" bottom="0" header="0" footer="0"/>
      <pageSetup scale="98" fitToHeight="2" orientation="portrait" r:id="rId1"/>
      <headerFooter alignWithMargins="0">
        <oddFooter>&amp;R&amp;A (&amp;P of &amp;N)</oddFooter>
      </headerFooter>
    </customSheetView>
    <customSheetView guid="{B08879A4-635B-4C39-9937-AC7883D562FC}" showGridLines="0" fitToPage="1" topLeftCell="A73">
      <selection activeCell="B12" sqref="B12"/>
      <rowBreaks count="1" manualBreakCount="1">
        <brk id="59" max="16383" man="1"/>
      </rowBreaks>
      <pageMargins left="0" right="0" top="0" bottom="0" header="0" footer="0"/>
      <pageSetup scale="98" fitToHeight="2" orientation="portrait" r:id="rId2"/>
      <headerFooter alignWithMargins="0">
        <oddFooter>&amp;R&amp;A (&amp;P of &amp;N)</oddFooter>
      </headerFooter>
    </customSheetView>
  </customSheetViews>
  <mergeCells count="74">
    <mergeCell ref="G7:J7"/>
    <mergeCell ref="B31:I31"/>
    <mergeCell ref="B15:I15"/>
    <mergeCell ref="B33:I33"/>
    <mergeCell ref="B14:I14"/>
    <mergeCell ref="B24:I24"/>
    <mergeCell ref="B25:I25"/>
    <mergeCell ref="B26:I26"/>
    <mergeCell ref="B27:I27"/>
    <mergeCell ref="B8:J8"/>
    <mergeCell ref="H5:J5"/>
    <mergeCell ref="D6:G6"/>
    <mergeCell ref="B1:J1"/>
    <mergeCell ref="B2:J2"/>
    <mergeCell ref="B3:J3"/>
    <mergeCell ref="B39:I39"/>
    <mergeCell ref="B45:I45"/>
    <mergeCell ref="B44:I44"/>
    <mergeCell ref="B43:I43"/>
    <mergeCell ref="B11:I11"/>
    <mergeCell ref="B23:I23"/>
    <mergeCell ref="B13:I13"/>
    <mergeCell ref="B18:I18"/>
    <mergeCell ref="B16:I16"/>
    <mergeCell ref="B17:I17"/>
    <mergeCell ref="B22:I22"/>
    <mergeCell ref="B90:I90"/>
    <mergeCell ref="B47:I47"/>
    <mergeCell ref="B48:I48"/>
    <mergeCell ref="B50:I50"/>
    <mergeCell ref="B56:I56"/>
    <mergeCell ref="B78:I78"/>
    <mergeCell ref="B87:I87"/>
    <mergeCell ref="B76:I76"/>
    <mergeCell ref="B51:I51"/>
    <mergeCell ref="B55:I55"/>
    <mergeCell ref="B73:I73"/>
    <mergeCell ref="B67:I67"/>
    <mergeCell ref="B68:I68"/>
    <mergeCell ref="B66:I66"/>
    <mergeCell ref="B70:I70"/>
    <mergeCell ref="B49:I49"/>
    <mergeCell ref="B69:I69"/>
    <mergeCell ref="B74:I74"/>
    <mergeCell ref="B63:I63"/>
    <mergeCell ref="B71:I71"/>
    <mergeCell ref="B19:I19"/>
    <mergeCell ref="B38:I38"/>
    <mergeCell ref="B20:I20"/>
    <mergeCell ref="B21:I21"/>
    <mergeCell ref="B28:I28"/>
    <mergeCell ref="B29:I29"/>
    <mergeCell ref="B37:I37"/>
    <mergeCell ref="B32:I32"/>
    <mergeCell ref="B35:I35"/>
    <mergeCell ref="B34:I34"/>
    <mergeCell ref="B36:I36"/>
    <mergeCell ref="B46:I46"/>
    <mergeCell ref="B54:I54"/>
    <mergeCell ref="B65:I65"/>
    <mergeCell ref="B86:I86"/>
    <mergeCell ref="B82:I82"/>
    <mergeCell ref="B85:I85"/>
    <mergeCell ref="B84:I84"/>
    <mergeCell ref="B81:I81"/>
    <mergeCell ref="B58:I58"/>
    <mergeCell ref="B83:I83"/>
    <mergeCell ref="B72:I72"/>
    <mergeCell ref="B75:I75"/>
    <mergeCell ref="B80:I80"/>
    <mergeCell ref="B79:I79"/>
    <mergeCell ref="B64:I64"/>
    <mergeCell ref="B62:I62"/>
    <mergeCell ref="B61:I61"/>
  </mergeCells>
  <phoneticPr fontId="16" type="noConversion"/>
  <conditionalFormatting sqref="K1:K3">
    <cfRule type="cellIs" dxfId="13" priority="1" stopIfTrue="1" operator="equal">
      <formula>"na"</formula>
    </cfRule>
  </conditionalFormatting>
  <hyperlinks>
    <hyperlink ref="B1:J1" location="Index!A1" display="Index!A1" xr:uid="{00000000-0004-0000-4D00-000000000000}"/>
  </hyperlinks>
  <pageMargins left="0.5" right="0.5" top="0.5" bottom="0.5" header="0.5" footer="0.25"/>
  <pageSetup scale="95" fitToHeight="2" orientation="portrait" r:id="rId3"/>
  <headerFooter alignWithMargins="0">
    <oddFooter xml:space="preserve">&amp;L&amp;D &amp;T&amp;R&amp;A </oddFooter>
  </headerFooter>
  <rowBreaks count="1" manualBreakCount="1">
    <brk id="58" max="11" man="1"/>
  </rowBreaks>
  <legacyDrawing r:id="rId4"/>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4"/>
  <dimension ref="B1:W169"/>
  <sheetViews>
    <sheetView zoomScaleNormal="100" workbookViewId="0">
      <selection sqref="A1:M1"/>
    </sheetView>
  </sheetViews>
  <sheetFormatPr defaultColWidth="9.42578125" defaultRowHeight="12.75" x14ac:dyDescent="0.2"/>
  <cols>
    <col min="1" max="1" width="3.5703125" style="381" customWidth="1"/>
    <col min="2" max="2" width="9.42578125" style="381"/>
    <col min="3" max="3" width="5.5703125" style="381" customWidth="1"/>
    <col min="4" max="6" width="9.42578125" style="381"/>
    <col min="7" max="7" width="5.5703125" style="381" customWidth="1"/>
    <col min="8" max="8" width="1.5703125" style="381" customWidth="1"/>
    <col min="9" max="9" width="9.42578125" style="381"/>
    <col min="10" max="10" width="19.42578125" style="236" customWidth="1"/>
    <col min="11" max="12" width="4.5703125" style="381" customWidth="1"/>
    <col min="13" max="13" width="18.5703125" style="381" customWidth="1"/>
    <col min="14" max="15" width="9.42578125" style="381"/>
    <col min="16" max="16" width="15.5703125" style="1508" bestFit="1" customWidth="1"/>
    <col min="17" max="17" width="9.5703125" customWidth="1"/>
    <col min="18" max="18" width="11.42578125" customWidth="1"/>
    <col min="20" max="16384" width="9.42578125" style="381"/>
  </cols>
  <sheetData>
    <row r="1" spans="2:23" ht="25.15" customHeight="1" x14ac:dyDescent="0.25">
      <c r="B1" s="2455" t="str">
        <f>+Index!$A$1</f>
        <v xml:space="preserve">                                                               Office of the State Controller                                                                </v>
      </c>
      <c r="C1" s="2455"/>
      <c r="D1" s="2455"/>
      <c r="E1" s="2455"/>
      <c r="F1" s="2455"/>
      <c r="G1" s="2455"/>
      <c r="H1" s="2455"/>
      <c r="I1" s="2455"/>
      <c r="J1" s="2455"/>
      <c r="K1" s="1977" t="str">
        <f>IF(Index!$B$108="na","NA","")</f>
        <v/>
      </c>
      <c r="L1" s="380"/>
      <c r="M1" s="380"/>
      <c r="N1" s="380"/>
      <c r="O1" s="380"/>
      <c r="P1" s="2348"/>
      <c r="Q1" s="2214"/>
      <c r="R1" s="1506" t="s">
        <v>2612</v>
      </c>
      <c r="S1" s="1506" t="s">
        <v>4705</v>
      </c>
      <c r="T1" s="380"/>
      <c r="U1" s="380"/>
      <c r="V1" s="380"/>
    </row>
    <row r="2" spans="2:23" ht="16.5" x14ac:dyDescent="0.3">
      <c r="B2" s="2439" t="str">
        <f>+Index!$A$2</f>
        <v>2023 ACFR Worksheets</v>
      </c>
      <c r="C2" s="2439"/>
      <c r="D2" s="2439"/>
      <c r="E2" s="2439"/>
      <c r="F2" s="2439"/>
      <c r="G2" s="2439"/>
      <c r="H2" s="2439"/>
      <c r="I2" s="2439"/>
      <c r="J2" s="2439"/>
      <c r="K2" s="1977"/>
      <c r="L2" s="382"/>
      <c r="M2" s="382"/>
      <c r="N2" s="382"/>
      <c r="O2" s="383"/>
      <c r="P2" s="1507"/>
      <c r="Q2" s="353"/>
      <c r="R2" s="1506" t="s">
        <v>2614</v>
      </c>
      <c r="S2" s="1506" t="s">
        <v>4639</v>
      </c>
      <c r="T2" s="383"/>
      <c r="U2" s="383"/>
      <c r="V2" s="383"/>
    </row>
    <row r="3" spans="2:23" ht="33" customHeight="1" x14ac:dyDescent="0.3">
      <c r="B3" s="2978" t="s">
        <v>4706</v>
      </c>
      <c r="C3" s="2978"/>
      <c r="D3" s="2978"/>
      <c r="E3" s="2978"/>
      <c r="F3" s="2978"/>
      <c r="G3" s="2978"/>
      <c r="H3" s="2978"/>
      <c r="I3" s="2978"/>
      <c r="J3" s="2978"/>
      <c r="K3" s="1977"/>
      <c r="L3" s="382"/>
      <c r="M3" s="382"/>
      <c r="N3" s="382"/>
      <c r="O3" s="383"/>
      <c r="P3" s="1507"/>
      <c r="Q3" s="353"/>
      <c r="R3" s="353"/>
      <c r="S3" s="353"/>
      <c r="T3" s="383"/>
      <c r="U3" s="383"/>
      <c r="V3" s="383"/>
    </row>
    <row r="4" spans="2:23" x14ac:dyDescent="0.2">
      <c r="B4" s="797" t="s">
        <v>4707</v>
      </c>
      <c r="C4" s="793"/>
      <c r="D4" s="793"/>
      <c r="E4" s="793"/>
      <c r="F4" s="793"/>
      <c r="G4" s="793"/>
      <c r="H4" s="793"/>
      <c r="I4" s="793"/>
      <c r="J4" s="794"/>
    </row>
    <row r="5" spans="2:23" s="384" customFormat="1" ht="15" customHeight="1" x14ac:dyDescent="0.2">
      <c r="B5" s="124" t="s">
        <v>317</v>
      </c>
      <c r="C5" s="124"/>
      <c r="D5" s="357" t="s">
        <v>4708</v>
      </c>
      <c r="E5" s="356"/>
      <c r="F5" s="124" t="s">
        <v>319</v>
      </c>
      <c r="G5" s="124"/>
      <c r="H5" s="2956" t="str">
        <f>+CONCATENATE(Index!$E$12," ",Index!$E$14)</f>
        <v xml:space="preserve"> </v>
      </c>
      <c r="I5" s="2956"/>
      <c r="J5" s="2956"/>
      <c r="O5" s="385"/>
      <c r="P5" s="1509"/>
      <c r="Q5" s="124"/>
      <c r="R5" s="124"/>
      <c r="S5" s="124"/>
      <c r="W5" s="386"/>
    </row>
    <row r="6" spans="2:23" s="384" customFormat="1" ht="15" customHeight="1" x14ac:dyDescent="0.2">
      <c r="B6" s="124" t="s">
        <v>318</v>
      </c>
      <c r="C6" s="124"/>
      <c r="D6" s="2977" t="s">
        <v>4709</v>
      </c>
      <c r="E6" s="2977"/>
      <c r="F6" s="2977"/>
      <c r="G6" s="2977"/>
      <c r="H6" s="124"/>
      <c r="I6" s="124"/>
      <c r="J6" s="124"/>
      <c r="O6" s="387"/>
      <c r="P6" s="1510"/>
      <c r="Q6" s="355"/>
      <c r="R6" s="355"/>
      <c r="S6" s="355"/>
      <c r="T6" s="387"/>
      <c r="U6" s="387"/>
      <c r="V6" s="388"/>
      <c r="W6" s="386"/>
    </row>
    <row r="7" spans="2:23" s="384" customFormat="1" ht="15" customHeight="1" x14ac:dyDescent="0.2">
      <c r="B7" s="124" t="s">
        <v>568</v>
      </c>
      <c r="D7" s="617">
        <f>INDEX(NetAssetsData,MATCH('906-6C'!$D$5,NetAssetsDataRow,0),4)</f>
        <v>3318</v>
      </c>
      <c r="F7" s="459" t="s">
        <v>71</v>
      </c>
      <c r="G7" s="2979">
        <f>+Index!$E$13</f>
        <v>0</v>
      </c>
      <c r="H7" s="2979"/>
      <c r="I7" s="2979"/>
      <c r="J7" s="2979"/>
      <c r="P7" s="1509"/>
      <c r="Q7" s="124"/>
      <c r="R7" s="124"/>
      <c r="S7" s="124"/>
      <c r="W7" s="386"/>
    </row>
    <row r="8" spans="2:23" s="389" customFormat="1" ht="12" customHeight="1" x14ac:dyDescent="0.2">
      <c r="B8" s="2980" t="s">
        <v>4644</v>
      </c>
      <c r="C8" s="2981"/>
      <c r="D8" s="2981"/>
      <c r="E8" s="2981"/>
      <c r="F8" s="2981"/>
      <c r="G8" s="2981"/>
      <c r="H8" s="2981"/>
      <c r="I8" s="2981"/>
      <c r="J8" s="2982"/>
      <c r="P8" s="1511"/>
      <c r="Q8" s="27"/>
      <c r="R8" s="27"/>
      <c r="S8" s="27"/>
    </row>
    <row r="9" spans="2:23" x14ac:dyDescent="0.2">
      <c r="B9" s="415"/>
      <c r="C9" s="27"/>
      <c r="D9" s="27"/>
      <c r="E9" s="27"/>
      <c r="F9" s="27"/>
      <c r="G9" s="762"/>
      <c r="H9" s="27"/>
      <c r="J9" s="1550" t="s">
        <v>4645</v>
      </c>
      <c r="M9" s="740" t="s">
        <v>2619</v>
      </c>
    </row>
    <row r="10" spans="2:23" x14ac:dyDescent="0.2">
      <c r="B10" s="800" t="s">
        <v>576</v>
      </c>
      <c r="C10" s="802"/>
      <c r="D10" s="802"/>
      <c r="E10"/>
      <c r="F10"/>
      <c r="G10"/>
      <c r="H10"/>
      <c r="I10"/>
      <c r="J10" s="636" t="str">
        <f>TEXT(Data!$A$2,"mmmm d,yyyy")</f>
        <v>June 30,2023</v>
      </c>
      <c r="K10" s="391"/>
      <c r="L10" s="391"/>
      <c r="M10" s="636" t="str">
        <f>TEXT(Data!$A$4,"mmmm d,yyyy")</f>
        <v>June 30,2022</v>
      </c>
      <c r="N10" s="391"/>
    </row>
    <row r="11" spans="2:23" x14ac:dyDescent="0.2">
      <c r="B11" s="2974" t="s">
        <v>2624</v>
      </c>
      <c r="C11" s="2974"/>
      <c r="D11" s="2974"/>
      <c r="E11" s="2974"/>
      <c r="F11" s="2974"/>
      <c r="G11" s="2974"/>
      <c r="H11" s="2974"/>
      <c r="I11" s="2974"/>
      <c r="J11" s="235">
        <v>0</v>
      </c>
      <c r="K11" s="392"/>
      <c r="L11" s="392"/>
      <c r="M11" s="475">
        <f>HLOOKUP($D$5,PriorYr906!$J$9:$K$87,3,FALSE)</f>
        <v>0</v>
      </c>
      <c r="N11" s="392"/>
      <c r="P11" s="1512">
        <v>11111000</v>
      </c>
    </row>
    <row r="12" spans="2:23" x14ac:dyDescent="0.2">
      <c r="B12" s="1978" t="s">
        <v>4646</v>
      </c>
      <c r="C12" s="802"/>
      <c r="D12"/>
      <c r="E12"/>
      <c r="F12"/>
      <c r="G12"/>
      <c r="H12"/>
      <c r="I12"/>
      <c r="J12" s="1979"/>
      <c r="K12" s="392"/>
      <c r="L12" s="392"/>
      <c r="M12" s="2347"/>
      <c r="N12" s="2367"/>
    </row>
    <row r="13" spans="2:23" x14ac:dyDescent="0.2">
      <c r="B13" s="2974" t="s">
        <v>4647</v>
      </c>
      <c r="C13" s="2974"/>
      <c r="D13" s="2974"/>
      <c r="E13" s="2974"/>
      <c r="F13" s="2974"/>
      <c r="G13" s="2974"/>
      <c r="H13" s="2974"/>
      <c r="I13" s="2974"/>
      <c r="J13" s="236">
        <v>0</v>
      </c>
      <c r="K13" s="392"/>
      <c r="L13" s="392"/>
      <c r="M13" s="233">
        <f>HLOOKUP($D$5,PriorYr906!$J$9:$K$87,5,FALSE)</f>
        <v>0</v>
      </c>
      <c r="N13" s="2367"/>
      <c r="P13" s="1512">
        <v>11210100</v>
      </c>
    </row>
    <row r="14" spans="2:23" x14ac:dyDescent="0.2">
      <c r="B14" s="2974" t="s">
        <v>4648</v>
      </c>
      <c r="C14" s="2974"/>
      <c r="D14" s="2974"/>
      <c r="E14" s="2974"/>
      <c r="F14" s="2974"/>
      <c r="G14" s="2974"/>
      <c r="H14" s="2974"/>
      <c r="I14" s="2974"/>
      <c r="J14" s="236">
        <v>0</v>
      </c>
      <c r="K14" s="392"/>
      <c r="L14" s="392"/>
      <c r="M14" s="233">
        <f>HLOOKUP($D$5,PriorYr906!$J$9:$K$87,6,FALSE)</f>
        <v>0</v>
      </c>
      <c r="N14" s="2367"/>
      <c r="R14" s="159" t="s">
        <v>4649</v>
      </c>
    </row>
    <row r="15" spans="2:23" x14ac:dyDescent="0.2">
      <c r="B15" s="2974" t="s">
        <v>4650</v>
      </c>
      <c r="C15" s="2974"/>
      <c r="D15" s="2974"/>
      <c r="E15" s="2974"/>
      <c r="F15" s="2974"/>
      <c r="G15" s="2974"/>
      <c r="H15" s="2974"/>
      <c r="I15" s="2974"/>
      <c r="J15" s="236">
        <v>0</v>
      </c>
      <c r="K15" s="392"/>
      <c r="L15" s="392"/>
      <c r="M15" s="233">
        <f>HLOOKUP($D$5,PriorYr906!$J$9:$K$87,7,FALSE)</f>
        <v>0</v>
      </c>
      <c r="N15" s="2367"/>
      <c r="P15" s="1508">
        <v>11212400</v>
      </c>
      <c r="R15" s="159"/>
    </row>
    <row r="16" spans="2:23" x14ac:dyDescent="0.2">
      <c r="B16" s="2974" t="s">
        <v>4651</v>
      </c>
      <c r="C16" s="2974"/>
      <c r="D16" s="2974"/>
      <c r="E16" s="2974"/>
      <c r="F16" s="2974"/>
      <c r="G16" s="2974"/>
      <c r="H16" s="2974"/>
      <c r="I16" s="2974"/>
      <c r="J16" s="236">
        <v>0</v>
      </c>
      <c r="K16" s="392"/>
      <c r="L16" s="392"/>
      <c r="M16" s="233">
        <f>HLOOKUP($D$5,PriorYr906!$J$9:$K$87,8,FALSE)</f>
        <v>0</v>
      </c>
      <c r="N16" s="2367"/>
      <c r="P16" s="1512">
        <v>11211100</v>
      </c>
    </row>
    <row r="17" spans="2:18" x14ac:dyDescent="0.2">
      <c r="B17" s="2974" t="s">
        <v>4652</v>
      </c>
      <c r="C17" s="2974"/>
      <c r="D17" s="2974"/>
      <c r="E17" s="2974"/>
      <c r="F17" s="2974"/>
      <c r="G17" s="2974"/>
      <c r="H17" s="2974"/>
      <c r="I17" s="2974"/>
      <c r="J17" s="236">
        <v>0</v>
      </c>
      <c r="K17" s="392"/>
      <c r="L17" s="392"/>
      <c r="M17" s="233">
        <f>HLOOKUP($D$5,PriorYr906!$J$9:$K$87,9,FALSE)</f>
        <v>0</v>
      </c>
      <c r="N17" s="2367"/>
      <c r="R17" s="159" t="s">
        <v>4649</v>
      </c>
    </row>
    <row r="18" spans="2:18" x14ac:dyDescent="0.2">
      <c r="B18" s="2974" t="s">
        <v>4653</v>
      </c>
      <c r="C18" s="2974"/>
      <c r="D18" s="2974"/>
      <c r="E18" s="2974"/>
      <c r="F18" s="2974"/>
      <c r="G18" s="2974"/>
      <c r="H18" s="2974"/>
      <c r="I18" s="2974"/>
      <c r="J18" s="236">
        <v>0</v>
      </c>
      <c r="K18" s="392"/>
      <c r="L18" s="392"/>
      <c r="M18" s="233">
        <f>HLOOKUP($D$5,PriorYr906!$J$9:$K$87,10,FALSE)</f>
        <v>0</v>
      </c>
      <c r="N18" s="2367"/>
      <c r="R18" s="159" t="s">
        <v>4649</v>
      </c>
    </row>
    <row r="19" spans="2:18" x14ac:dyDescent="0.2">
      <c r="B19" s="2974" t="s">
        <v>4654</v>
      </c>
      <c r="C19" s="2974"/>
      <c r="D19" s="2974"/>
      <c r="E19" s="2974"/>
      <c r="F19" s="2974"/>
      <c r="G19" s="2974"/>
      <c r="H19" s="2974"/>
      <c r="I19" s="2974"/>
      <c r="J19" s="236">
        <v>0</v>
      </c>
      <c r="K19" s="392"/>
      <c r="L19" s="392"/>
      <c r="M19" s="233">
        <f>HLOOKUP($D$5,PriorYr906!$J$9:$K$87,11,FALSE)</f>
        <v>0</v>
      </c>
      <c r="N19" s="2367"/>
      <c r="P19" s="1512">
        <v>11210500</v>
      </c>
    </row>
    <row r="20" spans="2:18" x14ac:dyDescent="0.2">
      <c r="B20" s="2974" t="s">
        <v>4655</v>
      </c>
      <c r="C20" s="2974"/>
      <c r="D20" s="2974"/>
      <c r="E20" s="2974"/>
      <c r="F20" s="2974"/>
      <c r="G20" s="2974"/>
      <c r="H20" s="2974"/>
      <c r="I20" s="2974"/>
      <c r="J20" s="236">
        <v>0</v>
      </c>
      <c r="K20" s="392"/>
      <c r="L20" s="392"/>
      <c r="M20" s="233">
        <f>HLOOKUP($D$5,PriorYr906!$J$9:$K$87,12,FALSE)</f>
        <v>0</v>
      </c>
      <c r="N20" s="2367"/>
      <c r="P20" s="1512">
        <v>11210600</v>
      </c>
    </row>
    <row r="21" spans="2:18" x14ac:dyDescent="0.2">
      <c r="B21" s="2974" t="s">
        <v>4656</v>
      </c>
      <c r="C21" s="2974"/>
      <c r="D21" s="2974"/>
      <c r="E21" s="2974"/>
      <c r="F21" s="2974"/>
      <c r="G21" s="2974"/>
      <c r="H21" s="2974"/>
      <c r="I21" s="2974"/>
      <c r="J21" s="236">
        <v>0</v>
      </c>
      <c r="K21" s="392"/>
      <c r="L21" s="392"/>
      <c r="M21" s="233">
        <f>HLOOKUP($D$5,PriorYr906!$J$9:$K$87,13,FALSE)</f>
        <v>0</v>
      </c>
      <c r="N21" s="2367"/>
      <c r="P21" s="1508">
        <v>11210800</v>
      </c>
    </row>
    <row r="22" spans="2:18" x14ac:dyDescent="0.2">
      <c r="B22" s="2974" t="s">
        <v>4657</v>
      </c>
      <c r="C22" s="2974"/>
      <c r="D22" s="2974"/>
      <c r="E22" s="2974"/>
      <c r="F22" s="2974"/>
      <c r="G22" s="2974"/>
      <c r="H22" s="2974"/>
      <c r="I22" s="2974"/>
      <c r="J22" s="236">
        <v>0</v>
      </c>
      <c r="K22" s="392"/>
      <c r="L22" s="392"/>
      <c r="M22" s="233">
        <f>HLOOKUP($D$5,PriorYr906!$J$9:$K$87,14,FALSE)</f>
        <v>0</v>
      </c>
      <c r="N22" s="2367"/>
      <c r="P22" s="1508">
        <v>11211000</v>
      </c>
    </row>
    <row r="23" spans="2:18" x14ac:dyDescent="0.2">
      <c r="B23" s="2974" t="s">
        <v>4658</v>
      </c>
      <c r="C23" s="2974"/>
      <c r="D23" s="2974"/>
      <c r="E23" s="2974"/>
      <c r="F23" s="2974"/>
      <c r="G23" s="2974"/>
      <c r="H23" s="2974"/>
      <c r="I23" s="2974"/>
      <c r="J23" s="236">
        <v>0</v>
      </c>
      <c r="K23" s="392"/>
      <c r="L23" s="392"/>
      <c r="M23" s="233">
        <f>HLOOKUP($D$5,PriorYr906!$J$9:$K$87,15,FALSE)</f>
        <v>0</v>
      </c>
      <c r="N23" s="2367"/>
      <c r="P23" s="1508">
        <v>11211300</v>
      </c>
    </row>
    <row r="24" spans="2:18" x14ac:dyDescent="0.2">
      <c r="B24" s="2974" t="s">
        <v>4659</v>
      </c>
      <c r="C24" s="2974"/>
      <c r="D24" s="2974"/>
      <c r="E24" s="2974"/>
      <c r="F24" s="2974"/>
      <c r="G24" s="2974"/>
      <c r="H24" s="2974"/>
      <c r="I24" s="2974"/>
      <c r="J24" s="236">
        <v>0</v>
      </c>
      <c r="K24" s="392"/>
      <c r="L24" s="392"/>
      <c r="M24" s="233">
        <f>HLOOKUP($D$5,PriorYr906!$J$9:$K$87,16,FALSE)</f>
        <v>35799159.719999999</v>
      </c>
      <c r="N24" s="2367"/>
      <c r="P24" s="1508" t="s">
        <v>4660</v>
      </c>
    </row>
    <row r="25" spans="2:18" x14ac:dyDescent="0.2">
      <c r="B25" s="2974" t="s">
        <v>4661</v>
      </c>
      <c r="C25" s="2974"/>
      <c r="D25" s="2974"/>
      <c r="E25" s="2974"/>
      <c r="F25" s="2974"/>
      <c r="G25" s="2974"/>
      <c r="H25" s="2974"/>
      <c r="I25" s="2974"/>
      <c r="J25" s="236">
        <v>0</v>
      </c>
      <c r="K25" s="392"/>
      <c r="L25" s="392"/>
      <c r="M25" s="233">
        <f>HLOOKUP($D$5,PriorYr906!$J$9:$K$87,17,FALSE)</f>
        <v>0</v>
      </c>
      <c r="N25" s="2367"/>
      <c r="R25" s="159" t="s">
        <v>4649</v>
      </c>
    </row>
    <row r="26" spans="2:18" x14ac:dyDescent="0.2">
      <c r="B26" s="2974" t="s">
        <v>4662</v>
      </c>
      <c r="C26" s="2974"/>
      <c r="D26" s="2974"/>
      <c r="E26" s="2974"/>
      <c r="F26" s="2974"/>
      <c r="G26" s="2974"/>
      <c r="H26" s="2974"/>
      <c r="I26" s="2974"/>
      <c r="J26" s="236">
        <v>0</v>
      </c>
      <c r="K26" s="392"/>
      <c r="L26" s="392"/>
      <c r="M26" s="233">
        <f>HLOOKUP($D$5,PriorYr906!$J$9:$K$87,18,FALSE)</f>
        <v>207894863.94</v>
      </c>
      <c r="N26" s="2367"/>
      <c r="P26" s="1508" t="s">
        <v>4663</v>
      </c>
    </row>
    <row r="27" spans="2:18" x14ac:dyDescent="0.2">
      <c r="B27" s="2974" t="s">
        <v>4664</v>
      </c>
      <c r="C27" s="2974"/>
      <c r="D27" s="2974"/>
      <c r="E27" s="2974"/>
      <c r="F27" s="2974"/>
      <c r="G27" s="2974"/>
      <c r="H27" s="2974"/>
      <c r="I27" s="2974"/>
      <c r="J27" s="236">
        <v>0</v>
      </c>
      <c r="K27" s="392"/>
      <c r="L27" s="392"/>
      <c r="M27" s="233">
        <f>HLOOKUP($D$5,PriorYr906!$J$9:$K$87,19,FALSE)</f>
        <v>1755275330.28</v>
      </c>
      <c r="N27" s="2367"/>
      <c r="P27" s="1508" t="s">
        <v>4665</v>
      </c>
    </row>
    <row r="28" spans="2:18" x14ac:dyDescent="0.2">
      <c r="B28" s="2974" t="s">
        <v>4666</v>
      </c>
      <c r="C28" s="2974"/>
      <c r="D28" s="2974"/>
      <c r="E28" s="2974"/>
      <c r="F28" s="2974"/>
      <c r="G28" s="2974"/>
      <c r="H28" s="2974"/>
      <c r="I28" s="2974"/>
      <c r="J28" s="236">
        <v>0</v>
      </c>
      <c r="K28" s="392"/>
      <c r="L28" s="392"/>
      <c r="M28" s="233">
        <f>HLOOKUP($D$5,PriorYr906!$J$9:$K$87,20,FALSE)</f>
        <v>12401909088.870001</v>
      </c>
      <c r="N28" s="2367"/>
      <c r="P28" s="1508">
        <v>11212300</v>
      </c>
    </row>
    <row r="29" spans="2:18" x14ac:dyDescent="0.2">
      <c r="B29" s="2974" t="s">
        <v>2930</v>
      </c>
      <c r="C29" s="2974"/>
      <c r="D29" s="2974"/>
      <c r="E29" s="2974"/>
      <c r="F29" s="2974"/>
      <c r="G29" s="2974"/>
      <c r="H29" s="2974"/>
      <c r="I29" s="2974"/>
      <c r="J29" s="236">
        <v>0</v>
      </c>
      <c r="K29" s="392"/>
      <c r="L29" s="392"/>
      <c r="M29" s="233">
        <f>HLOOKUP($D$5,PriorYr906!$J$9:$K$87,21,FALSE)</f>
        <v>0</v>
      </c>
      <c r="N29" s="2367"/>
      <c r="P29" s="1508">
        <v>11230000</v>
      </c>
    </row>
    <row r="30" spans="2:18" x14ac:dyDescent="0.2">
      <c r="B30" s="802" t="s">
        <v>2629</v>
      </c>
      <c r="C30" s="802"/>
      <c r="D30"/>
      <c r="E30"/>
      <c r="F30"/>
      <c r="G30"/>
      <c r="H30"/>
      <c r="I30"/>
      <c r="K30" s="392"/>
      <c r="L30" s="392"/>
      <c r="M30" s="233">
        <f>HLOOKUP($D$5,PriorYr906!$J$9:$K$87,22,FALSE)</f>
        <v>0</v>
      </c>
      <c r="N30" s="2367"/>
    </row>
    <row r="31" spans="2:18" x14ac:dyDescent="0.2">
      <c r="B31" s="2974" t="s">
        <v>4667</v>
      </c>
      <c r="C31" s="2974"/>
      <c r="D31" s="2974"/>
      <c r="E31" s="2974"/>
      <c r="F31" s="2974"/>
      <c r="G31" s="2974"/>
      <c r="H31" s="2974"/>
      <c r="I31" s="2974"/>
      <c r="J31" s="236">
        <v>0</v>
      </c>
      <c r="K31" s="392"/>
      <c r="L31" s="392"/>
      <c r="M31" s="233">
        <f>HLOOKUP($D$5,PriorYr906!$J$9:$K$87,23,FALSE)</f>
        <v>23725.53</v>
      </c>
      <c r="N31" s="2367"/>
      <c r="P31" s="1508">
        <v>11320000</v>
      </c>
    </row>
    <row r="32" spans="2:18" x14ac:dyDescent="0.2">
      <c r="B32" s="2974" t="s">
        <v>4668</v>
      </c>
      <c r="C32" s="2974"/>
      <c r="D32" s="2974"/>
      <c r="E32" s="2974"/>
      <c r="F32" s="2974"/>
      <c r="G32" s="2974"/>
      <c r="H32" s="2974"/>
      <c r="I32" s="2974"/>
      <c r="J32" s="236">
        <v>0</v>
      </c>
      <c r="K32" s="392"/>
      <c r="L32" s="392"/>
      <c r="M32" s="233">
        <f>HLOOKUP($D$5,PriorYr906!$J$9:$K$87,24,FALSE)</f>
        <v>0</v>
      </c>
      <c r="N32" s="2367"/>
      <c r="P32" s="1508">
        <v>11352000</v>
      </c>
    </row>
    <row r="33" spans="2:16" x14ac:dyDescent="0.2">
      <c r="B33" s="2974" t="s">
        <v>4669</v>
      </c>
      <c r="C33" s="2974"/>
      <c r="D33" s="2974"/>
      <c r="E33" s="2974"/>
      <c r="F33" s="2974"/>
      <c r="G33" s="2974"/>
      <c r="H33" s="2974"/>
      <c r="I33" s="2974"/>
      <c r="J33" s="236">
        <v>0</v>
      </c>
      <c r="K33" s="392"/>
      <c r="L33" s="392"/>
      <c r="M33" s="233">
        <f>HLOOKUP($D$5,PriorYr906!$J$9:$K$87,25,FALSE)</f>
        <v>6623495.5499999998</v>
      </c>
      <c r="N33" s="2367"/>
      <c r="P33" s="1508">
        <v>11370000</v>
      </c>
    </row>
    <row r="34" spans="2:16" x14ac:dyDescent="0.2">
      <c r="B34" s="2974" t="s">
        <v>2640</v>
      </c>
      <c r="C34" s="2974"/>
      <c r="D34" s="2974"/>
      <c r="E34" s="2974"/>
      <c r="F34" s="2974"/>
      <c r="G34" s="2974"/>
      <c r="H34" s="2974"/>
      <c r="I34" s="2974"/>
      <c r="J34" s="236">
        <v>0</v>
      </c>
      <c r="K34" s="392"/>
      <c r="L34" s="392"/>
      <c r="M34" s="233">
        <f>HLOOKUP($D$5,PriorYr906!$J$9:$K$87,26,FALSE)</f>
        <v>258241301.66999999</v>
      </c>
      <c r="N34" s="2367"/>
      <c r="P34" s="1508">
        <v>11510000</v>
      </c>
    </row>
    <row r="35" spans="2:16" x14ac:dyDescent="0.2">
      <c r="B35" s="2974" t="s">
        <v>2638</v>
      </c>
      <c r="C35" s="2974"/>
      <c r="D35" s="2974"/>
      <c r="E35" s="2974"/>
      <c r="F35" s="2974"/>
      <c r="G35" s="2974"/>
      <c r="H35" s="2974"/>
      <c r="I35" s="2974"/>
      <c r="J35" s="236">
        <v>0</v>
      </c>
      <c r="K35" s="392"/>
      <c r="L35" s="392"/>
      <c r="M35" s="233">
        <f>HLOOKUP($D$5,PriorYr906!$J$9:$K$87,27,FALSE)</f>
        <v>0</v>
      </c>
      <c r="N35" s="2367"/>
      <c r="P35" s="1508">
        <v>11699000</v>
      </c>
    </row>
    <row r="36" spans="2:16" x14ac:dyDescent="0.2">
      <c r="B36" s="2974" t="s">
        <v>4670</v>
      </c>
      <c r="C36" s="2974"/>
      <c r="D36" s="2974"/>
      <c r="E36" s="2974"/>
      <c r="F36" s="2974"/>
      <c r="G36" s="2974"/>
      <c r="H36" s="2974"/>
      <c r="I36" s="2974"/>
      <c r="J36" s="236">
        <v>0</v>
      </c>
      <c r="K36" s="392"/>
      <c r="L36" s="392"/>
      <c r="M36" s="233">
        <f>HLOOKUP($D$5,PriorYr906!$J$9:$K$87,28,FALSE)</f>
        <v>0</v>
      </c>
      <c r="N36" s="2367"/>
      <c r="P36" s="1508">
        <v>11930000</v>
      </c>
    </row>
    <row r="37" spans="2:16" x14ac:dyDescent="0.2">
      <c r="B37" s="2974" t="s">
        <v>4671</v>
      </c>
      <c r="C37" s="2974"/>
      <c r="D37" s="2974"/>
      <c r="E37" s="2974"/>
      <c r="F37" s="2974"/>
      <c r="G37" s="2974"/>
      <c r="H37" s="2974"/>
      <c r="I37" s="2974"/>
      <c r="J37" s="236">
        <v>0</v>
      </c>
      <c r="K37" s="392"/>
      <c r="L37" s="392"/>
      <c r="M37" s="233">
        <f>HLOOKUP($D$5,PriorYr906!$J$9:$K$87,29,FALSE)</f>
        <v>0</v>
      </c>
      <c r="N37" s="2367"/>
      <c r="P37" s="1508">
        <v>12700000</v>
      </c>
    </row>
    <row r="38" spans="2:16" x14ac:dyDescent="0.2">
      <c r="B38" s="2974" t="s">
        <v>4672</v>
      </c>
      <c r="C38" s="2974"/>
      <c r="D38" s="2974"/>
      <c r="E38" s="2974"/>
      <c r="F38" s="2974"/>
      <c r="G38" s="2974"/>
      <c r="H38" s="2974"/>
      <c r="I38" s="2974"/>
      <c r="J38" s="362">
        <v>0</v>
      </c>
      <c r="K38" s="392"/>
      <c r="L38" s="392"/>
      <c r="M38" s="233">
        <f>HLOOKUP($D$5,PriorYr906!$J$9:$K$87,30,FALSE)</f>
        <v>0</v>
      </c>
      <c r="N38" s="2367"/>
      <c r="P38" s="1508">
        <v>12710000</v>
      </c>
    </row>
    <row r="39" spans="2:16" x14ac:dyDescent="0.2">
      <c r="B39" s="2974" t="s">
        <v>1742</v>
      </c>
      <c r="C39" s="2974"/>
      <c r="D39" s="2974"/>
      <c r="E39" s="2974"/>
      <c r="F39" s="2974"/>
      <c r="G39" s="2974"/>
      <c r="H39" s="2974"/>
      <c r="I39" s="2974"/>
      <c r="J39" s="403">
        <f>SUM(J10:J38)</f>
        <v>0</v>
      </c>
      <c r="K39" s="392"/>
      <c r="L39" s="392"/>
      <c r="M39" s="403">
        <f>SUM(M10:M38)</f>
        <v>14665766965.559999</v>
      </c>
      <c r="N39" s="2367"/>
    </row>
    <row r="40" spans="2:16" x14ac:dyDescent="0.2">
      <c r="B40" s="801"/>
      <c r="C40" s="802"/>
      <c r="D40"/>
      <c r="E40"/>
      <c r="F40"/>
      <c r="G40"/>
      <c r="H40"/>
      <c r="I40"/>
      <c r="J40" s="397"/>
      <c r="K40" s="392"/>
      <c r="L40" s="392"/>
      <c r="M40" s="2347"/>
      <c r="N40" s="2367"/>
    </row>
    <row r="41" spans="2:16" x14ac:dyDescent="0.2">
      <c r="B41" s="800" t="s">
        <v>4673</v>
      </c>
      <c r="C41" s="802"/>
      <c r="D41"/>
      <c r="E41"/>
      <c r="F41"/>
      <c r="G41"/>
      <c r="H41"/>
      <c r="I41"/>
      <c r="J41" s="397"/>
      <c r="K41" s="392"/>
      <c r="L41" s="392"/>
      <c r="M41" s="2347"/>
      <c r="N41" s="2367"/>
    </row>
    <row r="42" spans="2:16" x14ac:dyDescent="0.2">
      <c r="B42" s="1980" t="s">
        <v>2691</v>
      </c>
      <c r="C42" s="802"/>
      <c r="D42"/>
      <c r="E42"/>
      <c r="F42"/>
      <c r="G42"/>
      <c r="H42"/>
      <c r="I42"/>
      <c r="J42" s="397"/>
      <c r="K42" s="392"/>
      <c r="L42" s="392"/>
      <c r="M42" s="2347"/>
      <c r="N42" s="2367"/>
    </row>
    <row r="43" spans="2:16" x14ac:dyDescent="0.2">
      <c r="B43" s="2976" t="s">
        <v>2729</v>
      </c>
      <c r="C43" s="2976"/>
      <c r="D43" s="2976"/>
      <c r="E43" s="2976"/>
      <c r="F43" s="2976"/>
      <c r="G43" s="2976"/>
      <c r="H43" s="2976"/>
      <c r="I43" s="2976"/>
      <c r="J43" s="236">
        <v>0</v>
      </c>
      <c r="K43" s="392"/>
      <c r="L43" s="392"/>
      <c r="M43" s="233">
        <f>HLOOKUP($D$5,PriorYr906!$J$9:$K$87,35,FALSE)</f>
        <v>1753695.75</v>
      </c>
      <c r="N43" s="2367"/>
      <c r="P43" s="1508">
        <v>21110000</v>
      </c>
    </row>
    <row r="44" spans="2:16" x14ac:dyDescent="0.2">
      <c r="B44" s="2976" t="s">
        <v>2694</v>
      </c>
      <c r="C44" s="2976"/>
      <c r="D44" s="2976"/>
      <c r="E44" s="2976"/>
      <c r="F44" s="2976"/>
      <c r="G44" s="2976"/>
      <c r="H44" s="2976"/>
      <c r="I44" s="2976"/>
      <c r="J44" s="236">
        <v>0</v>
      </c>
      <c r="K44" s="392"/>
      <c r="L44" s="392"/>
      <c r="M44" s="233">
        <f>HLOOKUP($D$5,PriorYr906!$J$9:$K$87,36,FALSE)</f>
        <v>0</v>
      </c>
      <c r="N44" s="2367"/>
      <c r="P44" s="1508">
        <v>21131000</v>
      </c>
    </row>
    <row r="45" spans="2:16" x14ac:dyDescent="0.2">
      <c r="B45" s="2976" t="s">
        <v>4674</v>
      </c>
      <c r="C45" s="2976"/>
      <c r="D45" s="2976"/>
      <c r="E45" s="2976"/>
      <c r="F45" s="2976"/>
      <c r="G45" s="2976"/>
      <c r="H45" s="2976"/>
      <c r="I45" s="2976"/>
      <c r="J45" s="236">
        <v>0</v>
      </c>
      <c r="K45" s="392"/>
      <c r="L45" s="392"/>
      <c r="M45" s="233">
        <f>HLOOKUP($D$5,PriorYr906!$J$9:$K$87,37,FALSE)</f>
        <v>0</v>
      </c>
      <c r="N45" s="2367"/>
      <c r="P45" s="1508">
        <v>21511000</v>
      </c>
    </row>
    <row r="46" spans="2:16" x14ac:dyDescent="0.2">
      <c r="B46" s="2971" t="s">
        <v>2708</v>
      </c>
      <c r="C46" s="2971"/>
      <c r="D46" s="2971"/>
      <c r="E46" s="2971"/>
      <c r="F46" s="2971"/>
      <c r="G46" s="2971"/>
      <c r="H46" s="2971"/>
      <c r="I46" s="2971"/>
      <c r="J46" s="236">
        <v>0</v>
      </c>
      <c r="K46" s="392"/>
      <c r="L46" s="392"/>
      <c r="M46" s="233">
        <f>HLOOKUP($D$5,PriorYr906!$J$9:$K$87,38,FALSE)</f>
        <v>0</v>
      </c>
      <c r="N46" s="2367"/>
      <c r="P46" s="1508">
        <v>21315000</v>
      </c>
    </row>
    <row r="47" spans="2:16" x14ac:dyDescent="0.2">
      <c r="B47" s="2971" t="s">
        <v>2706</v>
      </c>
      <c r="C47" s="2971"/>
      <c r="D47" s="2971"/>
      <c r="E47" s="2971"/>
      <c r="F47" s="2971"/>
      <c r="G47" s="2971"/>
      <c r="H47" s="2971"/>
      <c r="I47" s="2971"/>
      <c r="J47" s="236">
        <v>0</v>
      </c>
      <c r="K47" s="392"/>
      <c r="L47" s="392"/>
      <c r="M47" s="233">
        <f>HLOOKUP($D$5,PriorYr906!$J$9:$K$87,39,FALSE)</f>
        <v>0</v>
      </c>
      <c r="N47" s="2367"/>
      <c r="P47" s="1508">
        <v>21811000</v>
      </c>
    </row>
    <row r="48" spans="2:16" x14ac:dyDescent="0.2">
      <c r="B48" s="2971" t="s">
        <v>2709</v>
      </c>
      <c r="C48" s="2971"/>
      <c r="D48" s="2971"/>
      <c r="E48" s="2971"/>
      <c r="F48" s="2971"/>
      <c r="G48" s="2971"/>
      <c r="H48" s="2971"/>
      <c r="I48" s="2971"/>
      <c r="J48" s="236">
        <v>0</v>
      </c>
      <c r="K48" s="392"/>
      <c r="L48" s="392"/>
      <c r="M48" s="233">
        <f>HLOOKUP($D$5,PriorYr906!$J$9:$K$87,40,FALSE)</f>
        <v>0</v>
      </c>
      <c r="N48" s="2367"/>
      <c r="P48" s="1508">
        <v>21712000</v>
      </c>
    </row>
    <row r="49" spans="2:17" x14ac:dyDescent="0.2">
      <c r="B49" s="2974" t="s">
        <v>2710</v>
      </c>
      <c r="C49" s="2974"/>
      <c r="D49" s="2974"/>
      <c r="E49" s="2974"/>
      <c r="F49" s="2974"/>
      <c r="G49" s="2974"/>
      <c r="H49" s="2974"/>
      <c r="I49" s="2974"/>
      <c r="J49" s="236">
        <v>0</v>
      </c>
      <c r="K49" s="392"/>
      <c r="L49" s="392"/>
      <c r="M49" s="233">
        <f>HLOOKUP($D$5,PriorYr906!$J$9:$K$87,41,FALSE)</f>
        <v>0</v>
      </c>
      <c r="N49" s="2367"/>
      <c r="P49" s="1508">
        <v>21719000</v>
      </c>
    </row>
    <row r="50" spans="2:17" x14ac:dyDescent="0.2">
      <c r="B50" s="2971" t="s">
        <v>1049</v>
      </c>
      <c r="C50" s="2971"/>
      <c r="D50" s="2971"/>
      <c r="E50" s="2971"/>
      <c r="F50" s="2971"/>
      <c r="G50" s="2971"/>
      <c r="H50" s="2971"/>
      <c r="I50" s="2971"/>
      <c r="J50" s="362">
        <v>0</v>
      </c>
      <c r="K50" s="392"/>
      <c r="L50" s="392"/>
      <c r="M50" s="233">
        <f>HLOOKUP($D$5,PriorYr906!$J$9:$K$87,42,FALSE)</f>
        <v>0</v>
      </c>
      <c r="N50" s="2367"/>
      <c r="P50" s="1508">
        <v>21192000</v>
      </c>
    </row>
    <row r="51" spans="2:17" x14ac:dyDescent="0.2">
      <c r="B51" s="2974" t="s">
        <v>1746</v>
      </c>
      <c r="C51" s="2974"/>
      <c r="D51" s="2974"/>
      <c r="E51" s="2974"/>
      <c r="F51" s="2974"/>
      <c r="G51" s="2974"/>
      <c r="H51" s="2974"/>
      <c r="I51" s="2974"/>
      <c r="J51" s="403">
        <f>SUM(J42:J50)</f>
        <v>0</v>
      </c>
      <c r="K51" s="392"/>
      <c r="L51" s="392"/>
      <c r="M51" s="403">
        <f>SUM(M42:M50)</f>
        <v>1753695.75</v>
      </c>
      <c r="N51" s="2367"/>
    </row>
    <row r="52" spans="2:17" x14ac:dyDescent="0.2">
      <c r="B52" s="802"/>
      <c r="C52" s="802"/>
      <c r="D52"/>
      <c r="E52"/>
      <c r="F52"/>
      <c r="G52"/>
      <c r="H52"/>
      <c r="I52"/>
      <c r="J52" s="397"/>
      <c r="K52" s="392"/>
      <c r="L52" s="392"/>
      <c r="M52" s="2375"/>
      <c r="N52" s="2367"/>
    </row>
    <row r="53" spans="2:17" x14ac:dyDescent="0.2">
      <c r="B53" s="2371" t="s">
        <v>1748</v>
      </c>
      <c r="C53"/>
      <c r="D53"/>
      <c r="E53"/>
      <c r="F53"/>
      <c r="G53"/>
      <c r="H53"/>
      <c r="I53"/>
      <c r="K53" s="392"/>
      <c r="L53" s="392"/>
      <c r="M53" s="2375"/>
      <c r="N53" s="2367"/>
    </row>
    <row r="54" spans="2:17" x14ac:dyDescent="0.2">
      <c r="B54" s="2970" t="s">
        <v>1613</v>
      </c>
      <c r="C54" s="2970"/>
      <c r="D54" s="2970"/>
      <c r="E54" s="2970"/>
      <c r="F54" s="2970"/>
      <c r="G54" s="2970"/>
      <c r="H54" s="2970"/>
      <c r="I54" s="2970"/>
      <c r="K54" s="392"/>
      <c r="L54" s="392"/>
      <c r="M54" s="2375"/>
      <c r="N54" s="2367"/>
    </row>
    <row r="55" spans="2:17" x14ac:dyDescent="0.2">
      <c r="B55" s="2971" t="s">
        <v>4710</v>
      </c>
      <c r="C55" s="2971"/>
      <c r="D55" s="2971"/>
      <c r="E55" s="2971"/>
      <c r="F55" s="2971"/>
      <c r="G55" s="2971"/>
      <c r="H55" s="2971"/>
      <c r="I55" s="2971"/>
      <c r="J55" s="236">
        <v>0</v>
      </c>
      <c r="K55" s="392"/>
      <c r="L55" s="392"/>
      <c r="M55" s="233">
        <f>HLOOKUP($D$5,PriorYr906!$J$9:$K$87,47,FALSE)</f>
        <v>14664013269.809999</v>
      </c>
      <c r="N55" s="2367"/>
      <c r="P55" s="1508" t="s">
        <v>4711</v>
      </c>
      <c r="Q55" s="1463"/>
    </row>
    <row r="56" spans="2:17" ht="13.5" thickBot="1" x14ac:dyDescent="0.25">
      <c r="B56" s="2972" t="s">
        <v>1630</v>
      </c>
      <c r="C56" s="2972"/>
      <c r="D56" s="2972"/>
      <c r="E56" s="2972"/>
      <c r="F56" s="2972"/>
      <c r="G56" s="2972"/>
      <c r="H56" s="2972"/>
      <c r="I56" s="2972"/>
      <c r="J56" s="404">
        <f>SUM(J54:J55)</f>
        <v>0</v>
      </c>
      <c r="K56" s="392"/>
      <c r="L56" s="392"/>
      <c r="M56" s="404">
        <f>SUM(M54:M55)</f>
        <v>14664013269.809999</v>
      </c>
      <c r="N56" s="2367"/>
    </row>
    <row r="57" spans="2:17" ht="13.5" thickTop="1" x14ac:dyDescent="0.2">
      <c r="B57" s="2369"/>
      <c r="C57" s="2369"/>
      <c r="D57" s="2369"/>
      <c r="E57" s="2369"/>
      <c r="F57" s="2369"/>
      <c r="G57" s="2369"/>
      <c r="H57" s="2369"/>
      <c r="I57" s="2369"/>
      <c r="K57" s="392"/>
      <c r="L57" s="392"/>
      <c r="M57" s="2347"/>
      <c r="N57" s="2367"/>
    </row>
    <row r="58" spans="2:17" x14ac:dyDescent="0.2">
      <c r="B58" s="2972" t="s">
        <v>4677</v>
      </c>
      <c r="C58" s="2972"/>
      <c r="D58" s="2972"/>
      <c r="E58" s="2972"/>
      <c r="F58" s="2972"/>
      <c r="G58" s="2972"/>
      <c r="H58" s="2972"/>
      <c r="I58" s="2972"/>
      <c r="J58" s="766" t="str">
        <f>IF(J39-J51=J56,"In Balance","NOT BALANCED")</f>
        <v>In Balance</v>
      </c>
      <c r="K58" s="392"/>
      <c r="L58" s="392"/>
      <c r="M58" s="766" t="str">
        <f>IF(M39-M51=M56,"In Balance","NOT BALANCED")</f>
        <v>In Balance</v>
      </c>
      <c r="N58" s="2367"/>
    </row>
    <row r="59" spans="2:17" x14ac:dyDescent="0.2">
      <c r="B59"/>
      <c r="C59"/>
      <c r="D59"/>
      <c r="E59"/>
      <c r="F59"/>
      <c r="G59"/>
      <c r="H59"/>
      <c r="I59"/>
      <c r="K59" s="392"/>
      <c r="L59" s="392"/>
      <c r="M59" s="2347"/>
      <c r="N59" s="2367"/>
    </row>
    <row r="60" spans="2:17" x14ac:dyDescent="0.2">
      <c r="B60" s="803" t="s">
        <v>4678</v>
      </c>
      <c r="C60"/>
      <c r="D60"/>
      <c r="E60"/>
      <c r="F60"/>
      <c r="G60"/>
      <c r="H60"/>
      <c r="I60"/>
      <c r="J60" s="761" t="str">
        <f>CONCATENATE("FYE ",+TEXT(Data!$A$2,"mmmm d,yyyy"))</f>
        <v>FYE June 30,2023</v>
      </c>
      <c r="K60" s="392"/>
      <c r="L60" s="392"/>
      <c r="M60" s="763" t="str">
        <f>CONCATENATE("FYE ",+TEXT(Data!$A$4,"mmmm d,yyyy"))</f>
        <v>FYE June 30,2022</v>
      </c>
      <c r="N60" s="2367"/>
    </row>
    <row r="61" spans="2:17" x14ac:dyDescent="0.2">
      <c r="B61" s="2973" t="s">
        <v>4679</v>
      </c>
      <c r="C61" s="2973"/>
      <c r="D61" s="2973"/>
      <c r="E61" s="2973"/>
      <c r="F61" s="2973"/>
      <c r="G61" s="2973"/>
      <c r="H61" s="2973"/>
      <c r="I61" s="2973"/>
      <c r="K61" s="392"/>
      <c r="L61" s="392"/>
      <c r="M61" s="2347"/>
      <c r="N61" s="2367"/>
    </row>
    <row r="62" spans="2:17" x14ac:dyDescent="0.2">
      <c r="B62" s="2947" t="s">
        <v>4680</v>
      </c>
      <c r="C62" s="2947"/>
      <c r="D62" s="2947"/>
      <c r="E62" s="2947"/>
      <c r="F62" s="2947"/>
      <c r="G62" s="2947"/>
      <c r="H62" s="2947"/>
      <c r="I62" s="2947"/>
      <c r="J62" s="235">
        <v>0</v>
      </c>
      <c r="K62" s="392"/>
      <c r="L62" s="392"/>
      <c r="M62" s="475">
        <f>HLOOKUP($D$5,PriorYr906!$J$9:$K$87,54,FALSE)</f>
        <v>245978380.83000001</v>
      </c>
      <c r="N62" s="2367"/>
      <c r="P62" s="1508">
        <v>46110000</v>
      </c>
    </row>
    <row r="63" spans="2:17" x14ac:dyDescent="0.2">
      <c r="B63" s="2947" t="s">
        <v>4681</v>
      </c>
      <c r="C63" s="2947"/>
      <c r="D63" s="2947"/>
      <c r="E63" s="2947"/>
      <c r="F63" s="2947"/>
      <c r="G63" s="2947"/>
      <c r="H63" s="2947"/>
      <c r="I63" s="2947"/>
      <c r="J63" s="236">
        <v>0</v>
      </c>
      <c r="K63" s="392"/>
      <c r="L63" s="392"/>
      <c r="M63" s="233">
        <f>HLOOKUP($D$5,PriorYr906!$J$9:$K$87,55,FALSE)</f>
        <v>443477282.44</v>
      </c>
      <c r="N63" s="2367"/>
      <c r="P63" s="1508">
        <v>46120000</v>
      </c>
    </row>
    <row r="64" spans="2:17" x14ac:dyDescent="0.2">
      <c r="B64" s="2955" t="s">
        <v>4682</v>
      </c>
      <c r="C64" s="2955"/>
      <c r="D64" s="2955"/>
      <c r="E64" s="2955"/>
      <c r="F64" s="2955"/>
      <c r="G64" s="2955"/>
      <c r="H64" s="2955"/>
      <c r="I64" s="2955"/>
      <c r="J64" s="236">
        <v>0</v>
      </c>
      <c r="K64" s="392"/>
      <c r="L64" s="392"/>
      <c r="M64" s="233">
        <f>HLOOKUP($D$5,PriorYr906!$J$9:$K$87,56,FALSE)</f>
        <v>0</v>
      </c>
      <c r="N64" s="2367"/>
      <c r="P64" s="1508">
        <v>46160000</v>
      </c>
    </row>
    <row r="65" spans="2:16" x14ac:dyDescent="0.2">
      <c r="B65" s="2947" t="s">
        <v>4683</v>
      </c>
      <c r="C65" s="2947"/>
      <c r="D65" s="2947"/>
      <c r="E65" s="2947"/>
      <c r="F65" s="2947"/>
      <c r="G65" s="2947"/>
      <c r="H65" s="2947"/>
      <c r="I65" s="2947"/>
      <c r="J65" s="362">
        <v>0</v>
      </c>
      <c r="K65" s="392"/>
      <c r="L65" s="392"/>
      <c r="M65" s="233">
        <f>HLOOKUP($D$5,PriorYr906!$J$9:$K$87,57,FALSE)</f>
        <v>0</v>
      </c>
      <c r="N65" s="2367"/>
      <c r="P65" s="1508">
        <v>42990000</v>
      </c>
    </row>
    <row r="66" spans="2:16" x14ac:dyDescent="0.2">
      <c r="B66" s="2947" t="s">
        <v>4684</v>
      </c>
      <c r="C66" s="2947"/>
      <c r="D66" s="2947"/>
      <c r="E66" s="2947"/>
      <c r="F66" s="2947"/>
      <c r="G66" s="2947"/>
      <c r="H66" s="2947"/>
      <c r="I66" s="2947"/>
      <c r="J66" s="403">
        <f>SUM(J62:J65)</f>
        <v>0</v>
      </c>
      <c r="K66" s="392"/>
      <c r="L66" s="392"/>
      <c r="M66" s="403">
        <f>SUM(M62:M65)</f>
        <v>689455663.26999998</v>
      </c>
      <c r="N66" s="2367"/>
    </row>
    <row r="67" spans="2:16" x14ac:dyDescent="0.2">
      <c r="B67" s="2973" t="s">
        <v>4685</v>
      </c>
      <c r="C67" s="2973"/>
      <c r="D67" s="2973"/>
      <c r="E67" s="2973"/>
      <c r="F67" s="2973"/>
      <c r="G67" s="2973"/>
      <c r="H67" s="2973"/>
      <c r="I67" s="2973"/>
      <c r="K67" s="392"/>
      <c r="L67" s="392"/>
      <c r="M67" s="2347"/>
      <c r="N67" s="2367"/>
    </row>
    <row r="68" spans="2:16" x14ac:dyDescent="0.2">
      <c r="B68" s="2947" t="s">
        <v>4686</v>
      </c>
      <c r="C68" s="2947"/>
      <c r="D68" s="2947"/>
      <c r="E68" s="2947"/>
      <c r="F68" s="2947"/>
      <c r="G68" s="2947"/>
      <c r="H68" s="2947"/>
      <c r="I68" s="2947"/>
      <c r="J68" s="236">
        <v>0</v>
      </c>
      <c r="K68" s="392"/>
      <c r="L68" s="392"/>
      <c r="M68" s="233">
        <f>HLOOKUP($D$5,PriorYr906!$J$9:$K$87,60,FALSE)</f>
        <v>1657864246.3399999</v>
      </c>
      <c r="N68" s="2367"/>
      <c r="P68" s="1508">
        <v>43110000</v>
      </c>
    </row>
    <row r="69" spans="2:16" x14ac:dyDescent="0.2">
      <c r="B69" s="2947" t="s">
        <v>4687</v>
      </c>
      <c r="C69" s="2947"/>
      <c r="D69" s="2947"/>
      <c r="E69" s="2947"/>
      <c r="F69" s="2947"/>
      <c r="G69" s="2947"/>
      <c r="H69" s="2947"/>
      <c r="I69" s="2947"/>
      <c r="J69" s="362">
        <v>0</v>
      </c>
      <c r="K69" s="392"/>
      <c r="L69" s="392"/>
      <c r="M69" s="233">
        <f>HLOOKUP($D$5,PriorYr906!$J$9:$K$87,61,FALSE)</f>
        <v>-19188275.52</v>
      </c>
      <c r="N69" s="2367"/>
      <c r="P69" s="1508">
        <v>52120110</v>
      </c>
    </row>
    <row r="70" spans="2:16" x14ac:dyDescent="0.2">
      <c r="B70" s="2947" t="s">
        <v>4688</v>
      </c>
      <c r="C70" s="2947"/>
      <c r="D70" s="2947"/>
      <c r="E70" s="2947"/>
      <c r="F70" s="2947"/>
      <c r="G70" s="2947"/>
      <c r="H70" s="2947"/>
      <c r="I70" s="2947"/>
      <c r="J70" s="403">
        <f>SUM(J68:J69)</f>
        <v>0</v>
      </c>
      <c r="K70" s="392"/>
      <c r="L70" s="392"/>
      <c r="M70" s="403">
        <f>SUM(M68:M69)</f>
        <v>1638675970.8199999</v>
      </c>
      <c r="N70" s="2367"/>
    </row>
    <row r="71" spans="2:16" x14ac:dyDescent="0.2">
      <c r="B71" s="2973" t="s">
        <v>4689</v>
      </c>
      <c r="C71" s="2973"/>
      <c r="D71" s="2973"/>
      <c r="E71" s="2973"/>
      <c r="F71" s="2973"/>
      <c r="G71" s="2973"/>
      <c r="H71" s="2973"/>
      <c r="I71" s="2973"/>
      <c r="K71" s="392"/>
      <c r="L71" s="392"/>
      <c r="M71" s="2375"/>
      <c r="N71" s="2367"/>
    </row>
    <row r="72" spans="2:16" x14ac:dyDescent="0.2">
      <c r="B72" s="2947" t="s">
        <v>4690</v>
      </c>
      <c r="C72" s="2947"/>
      <c r="D72" s="2947"/>
      <c r="E72" s="2947"/>
      <c r="F72" s="2947"/>
      <c r="G72" s="2947"/>
      <c r="H72" s="2947"/>
      <c r="I72" s="2947"/>
      <c r="J72" s="236">
        <v>0</v>
      </c>
      <c r="K72" s="392"/>
      <c r="L72" s="392"/>
      <c r="M72" s="233">
        <f>HLOOKUP($D$5,PriorYr906!$J$9:$K$87,64,FALSE)</f>
        <v>0</v>
      </c>
      <c r="N72" s="2367"/>
      <c r="P72" s="1508">
        <v>45100000</v>
      </c>
    </row>
    <row r="73" spans="2:16" x14ac:dyDescent="0.2">
      <c r="B73" s="2947" t="s">
        <v>4691</v>
      </c>
      <c r="C73" s="2947"/>
      <c r="D73" s="2947"/>
      <c r="E73" s="2947"/>
      <c r="F73" s="2947"/>
      <c r="G73" s="2947"/>
      <c r="H73" s="2947"/>
      <c r="I73" s="2947"/>
      <c r="J73" s="236">
        <v>0</v>
      </c>
      <c r="K73" s="392"/>
      <c r="L73" s="392"/>
      <c r="M73" s="233">
        <f>HLOOKUP($D$5,PriorYr906!$J$9:$K$87,65,FALSE)</f>
        <v>14010076.33</v>
      </c>
      <c r="N73" s="2367"/>
      <c r="P73" s="1508">
        <v>43200000</v>
      </c>
    </row>
    <row r="74" spans="2:16" x14ac:dyDescent="0.2">
      <c r="B74" s="2947" t="s">
        <v>4692</v>
      </c>
      <c r="C74" s="2947"/>
      <c r="D74" s="2947"/>
      <c r="E74" s="2947"/>
      <c r="F74" s="2947"/>
      <c r="G74" s="2947"/>
      <c r="H74" s="2947"/>
      <c r="I74" s="2947"/>
      <c r="J74" s="236">
        <v>0</v>
      </c>
      <c r="K74" s="392"/>
      <c r="L74" s="392"/>
      <c r="M74" s="233">
        <f>HLOOKUP($D$5,PriorYr906!$J$9:$K$87,66,FALSE)</f>
        <v>3413496.62</v>
      </c>
      <c r="N74" s="2367"/>
      <c r="P74" s="1508">
        <v>47111000</v>
      </c>
    </row>
    <row r="75" spans="2:16" x14ac:dyDescent="0.2">
      <c r="B75" s="2947" t="s">
        <v>4693</v>
      </c>
      <c r="C75" s="2947"/>
      <c r="D75" s="2947"/>
      <c r="E75" s="2947"/>
      <c r="F75" s="2947"/>
      <c r="G75" s="2947"/>
      <c r="H75" s="2947"/>
      <c r="I75" s="2947"/>
      <c r="J75" s="403">
        <f>SUM(J72:J74)</f>
        <v>0</v>
      </c>
      <c r="K75" s="392"/>
      <c r="L75" s="392"/>
      <c r="M75" s="403">
        <f>SUM(M72:M74)</f>
        <v>17423572.949999999</v>
      </c>
      <c r="N75" s="2367"/>
    </row>
    <row r="76" spans="2:16" x14ac:dyDescent="0.2">
      <c r="B76" s="2947" t="s">
        <v>4694</v>
      </c>
      <c r="C76" s="2947"/>
      <c r="D76" s="2947"/>
      <c r="E76" s="2947"/>
      <c r="F76" s="2947"/>
      <c r="G76" s="2947"/>
      <c r="H76" s="2947"/>
      <c r="I76" s="2947"/>
      <c r="J76" s="403">
        <f>J66+J70+J75</f>
        <v>0</v>
      </c>
      <c r="K76" s="392"/>
      <c r="L76" s="392"/>
      <c r="M76" s="403">
        <f>M66+M70+M75</f>
        <v>2345555207.04</v>
      </c>
      <c r="N76" s="2367"/>
    </row>
    <row r="77" spans="2:16" x14ac:dyDescent="0.2">
      <c r="B77" s="2347"/>
      <c r="C77"/>
      <c r="D77"/>
      <c r="E77"/>
      <c r="F77"/>
      <c r="G77"/>
      <c r="H77"/>
      <c r="I77"/>
      <c r="K77" s="392"/>
      <c r="L77" s="392"/>
      <c r="M77" s="2347"/>
      <c r="N77" s="2367"/>
    </row>
    <row r="78" spans="2:16" x14ac:dyDescent="0.2">
      <c r="B78" s="2975" t="s">
        <v>4695</v>
      </c>
      <c r="C78" s="2975"/>
      <c r="D78" s="2975"/>
      <c r="E78" s="2975"/>
      <c r="F78" s="2975"/>
      <c r="G78" s="2975"/>
      <c r="H78" s="2975"/>
      <c r="I78" s="2975"/>
      <c r="K78" s="392"/>
      <c r="L78" s="392"/>
      <c r="M78" s="2347"/>
      <c r="N78" s="2367"/>
    </row>
    <row r="79" spans="2:16" x14ac:dyDescent="0.2">
      <c r="B79" s="2947" t="s">
        <v>2784</v>
      </c>
      <c r="C79" s="2947"/>
      <c r="D79" s="2947"/>
      <c r="E79" s="2947"/>
      <c r="F79" s="2947"/>
      <c r="G79" s="2947"/>
      <c r="H79" s="2947"/>
      <c r="I79" s="2947"/>
      <c r="J79" s="236">
        <v>0</v>
      </c>
      <c r="K79" s="392"/>
      <c r="L79" s="392"/>
      <c r="M79" s="233">
        <f>HLOOKUP($D$5,PriorYr906!$J$9:$K$87,71,FALSE)</f>
        <v>766986896.95000005</v>
      </c>
      <c r="N79" s="2367"/>
      <c r="P79" s="1508">
        <v>55210000</v>
      </c>
    </row>
    <row r="80" spans="2:16" x14ac:dyDescent="0.2">
      <c r="B80" s="2947" t="s">
        <v>4316</v>
      </c>
      <c r="C80" s="2947"/>
      <c r="D80" s="2947"/>
      <c r="E80" s="2947"/>
      <c r="F80" s="2947"/>
      <c r="G80" s="2947"/>
      <c r="H80" s="2947"/>
      <c r="I80" s="2947"/>
      <c r="J80" s="236">
        <v>0</v>
      </c>
      <c r="K80" s="392"/>
      <c r="L80" s="392"/>
      <c r="M80" s="233">
        <f>HLOOKUP($D$5,PriorYr906!$J$9:$K$87,72,FALSE)</f>
        <v>0</v>
      </c>
      <c r="N80" s="2367"/>
      <c r="P80" s="1508">
        <v>55218000</v>
      </c>
    </row>
    <row r="81" spans="2:16" x14ac:dyDescent="0.2">
      <c r="B81" s="2947" t="s">
        <v>4696</v>
      </c>
      <c r="C81" s="2947"/>
      <c r="D81" s="2947"/>
      <c r="E81" s="2947"/>
      <c r="F81" s="2947"/>
      <c r="G81" s="2947"/>
      <c r="H81" s="2947"/>
      <c r="I81" s="2947"/>
      <c r="J81" s="236">
        <v>0</v>
      </c>
      <c r="K81" s="392"/>
      <c r="L81" s="392"/>
      <c r="M81" s="233">
        <f>HLOOKUP($D$5,PriorYr906!$J$9:$K$87,73,FALSE)</f>
        <v>10132639.289999999</v>
      </c>
      <c r="N81" s="2367"/>
      <c r="P81" s="1508" t="s">
        <v>4697</v>
      </c>
    </row>
    <row r="82" spans="2:16" x14ac:dyDescent="0.2">
      <c r="B82" s="2947" t="s">
        <v>4698</v>
      </c>
      <c r="C82" s="2947"/>
      <c r="D82" s="2947"/>
      <c r="E82" s="2947"/>
      <c r="F82" s="2947"/>
      <c r="G82" s="2947"/>
      <c r="H82" s="2947"/>
      <c r="I82" s="2947"/>
      <c r="J82" s="362">
        <v>0</v>
      </c>
      <c r="K82" s="392"/>
      <c r="L82" s="392"/>
      <c r="M82" s="233">
        <f>HLOOKUP($D$5,PriorYr906!$J$9:$K$87,74,FALSE)</f>
        <v>0</v>
      </c>
      <c r="N82" s="2367"/>
      <c r="P82" s="1508">
        <v>55610000</v>
      </c>
    </row>
    <row r="83" spans="2:16" x14ac:dyDescent="0.2">
      <c r="B83" s="2947" t="s">
        <v>4699</v>
      </c>
      <c r="C83" s="2947"/>
      <c r="D83" s="2947"/>
      <c r="E83" s="2947"/>
      <c r="F83" s="2947"/>
      <c r="G83" s="2947"/>
      <c r="H83" s="2947"/>
      <c r="I83" s="2947"/>
      <c r="J83" s="403">
        <f>SUM(J79:J82)</f>
        <v>0</v>
      </c>
      <c r="K83" s="392"/>
      <c r="L83" s="392"/>
      <c r="M83" s="403">
        <f>SUM(M79:M82)</f>
        <v>777119536.24000001</v>
      </c>
      <c r="N83" s="2367"/>
    </row>
    <row r="84" spans="2:16" x14ac:dyDescent="0.2">
      <c r="B84" s="2947" t="s">
        <v>4700</v>
      </c>
      <c r="C84" s="2947"/>
      <c r="D84" s="2947"/>
      <c r="E84" s="2947"/>
      <c r="F84" s="2947"/>
      <c r="G84" s="2947"/>
      <c r="H84" s="2947"/>
      <c r="I84" s="2947"/>
      <c r="J84" s="760">
        <f>J76-J83</f>
        <v>0</v>
      </c>
      <c r="K84" s="392"/>
      <c r="L84" s="392"/>
      <c r="M84" s="760">
        <f>M76-M83</f>
        <v>1568435670.8</v>
      </c>
      <c r="N84" s="2367"/>
    </row>
    <row r="85" spans="2:16" x14ac:dyDescent="0.2">
      <c r="B85" s="2971" t="s">
        <v>4701</v>
      </c>
      <c r="C85" s="2971"/>
      <c r="D85" s="2971"/>
      <c r="E85" s="2971"/>
      <c r="F85" s="2971"/>
      <c r="G85" s="2971"/>
      <c r="H85" s="2971"/>
      <c r="I85" s="2971"/>
      <c r="J85" s="616">
        <f>INDEX(NetAssetsData,MATCH('906-6C'!$D$5,NetAssetsDataRow,0),3)</f>
        <v>14664013269.809999</v>
      </c>
      <c r="K85" s="392"/>
      <c r="L85" s="392"/>
      <c r="M85" s="616">
        <f>HLOOKUP($D$5,PriorYr906!$J$9:$K$87,77,FALSE)</f>
        <v>13095577599.01</v>
      </c>
      <c r="N85" s="2367"/>
    </row>
    <row r="86" spans="2:16" x14ac:dyDescent="0.2">
      <c r="B86" s="2971" t="s">
        <v>4702</v>
      </c>
      <c r="C86" s="2971"/>
      <c r="D86" s="2971"/>
      <c r="E86" s="2971"/>
      <c r="F86" s="2971"/>
      <c r="G86" s="2971"/>
      <c r="H86" s="2971"/>
      <c r="I86" s="2971"/>
      <c r="J86" s="362">
        <v>0</v>
      </c>
      <c r="K86" s="392"/>
      <c r="L86" s="392"/>
      <c r="M86" s="233">
        <f>HLOOKUP($D$5,PriorYr906!$J$9:$K$87,78,FALSE)</f>
        <v>0</v>
      </c>
      <c r="N86" s="2367"/>
      <c r="P86" s="1508">
        <v>33000100</v>
      </c>
    </row>
    <row r="87" spans="2:16" ht="13.5" thickBot="1" x14ac:dyDescent="0.25">
      <c r="B87" s="2971" t="s">
        <v>4703</v>
      </c>
      <c r="C87" s="2971"/>
      <c r="D87" s="2971"/>
      <c r="E87" s="2971"/>
      <c r="F87" s="2971"/>
      <c r="G87" s="2971"/>
      <c r="H87" s="2971"/>
      <c r="I87" s="2971"/>
      <c r="J87" s="405">
        <f>SUM(J84:J86)</f>
        <v>14664013269.809999</v>
      </c>
      <c r="K87" s="392"/>
      <c r="L87" s="392"/>
      <c r="M87" s="405">
        <f>SUM(M84:M86)</f>
        <v>14664013269.809999</v>
      </c>
      <c r="N87" s="393"/>
    </row>
    <row r="88" spans="2:16" ht="13.5" thickTop="1" x14ac:dyDescent="0.2">
      <c r="B88"/>
      <c r="C88"/>
      <c r="D88"/>
      <c r="E88"/>
      <c r="F88"/>
      <c r="G88"/>
      <c r="H88"/>
      <c r="I88"/>
      <c r="K88" s="401"/>
      <c r="L88" s="401"/>
      <c r="M88" s="239"/>
      <c r="N88" s="401"/>
    </row>
    <row r="89" spans="2:16" x14ac:dyDescent="0.2">
      <c r="B89"/>
      <c r="C89"/>
      <c r="D89"/>
      <c r="E89"/>
      <c r="F89"/>
      <c r="G89"/>
      <c r="H89"/>
      <c r="I89"/>
      <c r="K89" s="393"/>
      <c r="L89" s="393"/>
      <c r="M89" s="191"/>
      <c r="N89" s="393"/>
    </row>
    <row r="90" spans="2:16" x14ac:dyDescent="0.2">
      <c r="B90" s="2972" t="s">
        <v>4704</v>
      </c>
      <c r="C90" s="2972"/>
      <c r="D90" s="2972"/>
      <c r="E90" s="2972"/>
      <c r="F90" s="2972"/>
      <c r="G90" s="2972"/>
      <c r="H90" s="2972"/>
      <c r="I90" s="2972"/>
      <c r="J90" s="766" t="str">
        <f>IF(J56=J87,"In Balance","NOT BALANCED")</f>
        <v>NOT BALANCED</v>
      </c>
      <c r="K90" s="394"/>
      <c r="L90" s="394"/>
      <c r="M90" s="766" t="str">
        <f>IF(M56=M87,"In Balance","NOT BALANCED")</f>
        <v>In Balance</v>
      </c>
      <c r="N90" s="394"/>
    </row>
    <row r="91" spans="2:16" x14ac:dyDescent="0.2">
      <c r="K91" s="394"/>
      <c r="L91" s="394"/>
      <c r="M91" s="394"/>
      <c r="N91" s="394"/>
    </row>
    <row r="92" spans="2:16" x14ac:dyDescent="0.2">
      <c r="K92" s="2367"/>
      <c r="L92" s="2367"/>
      <c r="M92" s="2367"/>
      <c r="N92" s="2367"/>
    </row>
    <row r="93" spans="2:16" x14ac:dyDescent="0.2">
      <c r="K93" s="2367"/>
      <c r="L93" s="2367"/>
      <c r="M93" s="2367"/>
      <c r="N93" s="2367"/>
    </row>
    <row r="94" spans="2:16" x14ac:dyDescent="0.2">
      <c r="K94" s="2367"/>
      <c r="L94" s="2367"/>
      <c r="M94" s="2367"/>
      <c r="N94" s="2367"/>
    </row>
    <row r="95" spans="2:16" x14ac:dyDescent="0.2">
      <c r="K95" s="2367"/>
      <c r="L95" s="2367"/>
      <c r="M95" s="2367"/>
      <c r="N95" s="2367"/>
    </row>
    <row r="96" spans="2:16" x14ac:dyDescent="0.2">
      <c r="K96" s="2367"/>
      <c r="L96" s="2367"/>
      <c r="M96" s="2367"/>
      <c r="N96" s="2367"/>
    </row>
    <row r="97" spans="11:14" x14ac:dyDescent="0.2">
      <c r="K97" s="2367"/>
      <c r="L97" s="2367"/>
      <c r="M97" s="2367"/>
      <c r="N97" s="2367"/>
    </row>
    <row r="98" spans="11:14" x14ac:dyDescent="0.2">
      <c r="K98" s="2367"/>
      <c r="L98" s="2367"/>
      <c r="M98" s="2367"/>
      <c r="N98" s="2367"/>
    </row>
    <row r="99" spans="11:14" x14ac:dyDescent="0.2">
      <c r="K99" s="2367"/>
      <c r="L99" s="2367"/>
      <c r="M99" s="2367"/>
      <c r="N99" s="2367"/>
    </row>
    <row r="100" spans="11:14" x14ac:dyDescent="0.2">
      <c r="K100" s="2367"/>
      <c r="L100" s="2367"/>
      <c r="M100" s="2367"/>
      <c r="N100" s="2367"/>
    </row>
    <row r="101" spans="11:14" x14ac:dyDescent="0.2">
      <c r="K101" s="2367"/>
      <c r="L101" s="2367"/>
      <c r="M101" s="2367"/>
      <c r="N101" s="2367"/>
    </row>
    <row r="102" spans="11:14" x14ac:dyDescent="0.2">
      <c r="K102" s="393"/>
      <c r="L102" s="393"/>
      <c r="M102" s="393"/>
      <c r="N102" s="393"/>
    </row>
    <row r="103" spans="11:14" x14ac:dyDescent="0.2">
      <c r="K103" s="392"/>
      <c r="L103" s="392"/>
      <c r="M103" s="392"/>
      <c r="N103" s="392"/>
    </row>
    <row r="104" spans="11:14" x14ac:dyDescent="0.2">
      <c r="K104" s="2367"/>
      <c r="L104" s="2367"/>
      <c r="M104" s="2367"/>
      <c r="N104" s="2367"/>
    </row>
    <row r="105" spans="11:14" x14ac:dyDescent="0.2">
      <c r="K105" s="393"/>
      <c r="L105" s="393"/>
      <c r="M105" s="393"/>
      <c r="N105" s="393"/>
    </row>
    <row r="106" spans="11:14" x14ac:dyDescent="0.2">
      <c r="K106" s="393"/>
      <c r="L106" s="393"/>
      <c r="M106" s="393"/>
      <c r="N106" s="393"/>
    </row>
    <row r="107" spans="11:14" x14ac:dyDescent="0.2">
      <c r="K107" s="2367"/>
      <c r="L107" s="2367"/>
      <c r="M107" s="2367"/>
      <c r="N107" s="2367"/>
    </row>
    <row r="108" spans="11:14" x14ac:dyDescent="0.2">
      <c r="K108" s="393"/>
      <c r="L108" s="393"/>
      <c r="M108" s="393"/>
      <c r="N108" s="393"/>
    </row>
    <row r="109" spans="11:14" x14ac:dyDescent="0.2">
      <c r="K109" s="2367"/>
      <c r="L109" s="2367"/>
      <c r="M109" s="2367"/>
      <c r="N109" s="2367"/>
    </row>
    <row r="110" spans="11:14" x14ac:dyDescent="0.2">
      <c r="K110" s="2367"/>
      <c r="L110" s="2367"/>
      <c r="M110" s="2367"/>
      <c r="N110" s="2367"/>
    </row>
    <row r="111" spans="11:14" x14ac:dyDescent="0.2">
      <c r="K111" s="2367"/>
      <c r="L111" s="2367"/>
      <c r="M111" s="2367"/>
      <c r="N111" s="2367"/>
    </row>
    <row r="112" spans="11:14" x14ac:dyDescent="0.2">
      <c r="K112" s="2367"/>
      <c r="L112" s="2367"/>
      <c r="M112" s="2367"/>
      <c r="N112" s="2367"/>
    </row>
    <row r="113" spans="11:14" x14ac:dyDescent="0.2">
      <c r="K113" s="2367"/>
      <c r="L113" s="2367"/>
      <c r="M113" s="2367"/>
      <c r="N113" s="2367"/>
    </row>
    <row r="114" spans="11:14" x14ac:dyDescent="0.2">
      <c r="K114" s="2367"/>
      <c r="L114" s="2367"/>
      <c r="M114" s="2367"/>
      <c r="N114" s="2367"/>
    </row>
    <row r="115" spans="11:14" x14ac:dyDescent="0.2">
      <c r="K115" s="2367"/>
      <c r="L115" s="2367"/>
      <c r="M115" s="2367"/>
      <c r="N115" s="2367"/>
    </row>
    <row r="116" spans="11:14" x14ac:dyDescent="0.2">
      <c r="K116" s="2367"/>
      <c r="L116" s="2367"/>
      <c r="M116" s="2367"/>
      <c r="N116" s="2367"/>
    </row>
    <row r="117" spans="11:14" x14ac:dyDescent="0.2">
      <c r="K117" s="393"/>
      <c r="L117" s="393"/>
      <c r="M117" s="393"/>
      <c r="N117" s="393"/>
    </row>
    <row r="118" spans="11:14" x14ac:dyDescent="0.2">
      <c r="K118" s="393"/>
      <c r="L118" s="393"/>
      <c r="M118" s="393"/>
      <c r="N118" s="393"/>
    </row>
    <row r="120" spans="11:14" x14ac:dyDescent="0.2">
      <c r="K120" s="400"/>
      <c r="L120" s="400"/>
      <c r="M120" s="400"/>
      <c r="N120" s="400"/>
    </row>
    <row r="121" spans="11:14" x14ac:dyDescent="0.2">
      <c r="K121" s="400"/>
      <c r="L121" s="400"/>
      <c r="M121" s="400"/>
      <c r="N121" s="400"/>
    </row>
    <row r="122" spans="11:14" x14ac:dyDescent="0.2">
      <c r="K122" s="400"/>
      <c r="L122" s="400"/>
      <c r="M122" s="400"/>
      <c r="N122" s="400"/>
    </row>
    <row r="123" spans="11:14" x14ac:dyDescent="0.2">
      <c r="K123" s="400"/>
      <c r="L123" s="400"/>
      <c r="M123" s="400"/>
      <c r="N123" s="400"/>
    </row>
    <row r="124" spans="11:14" x14ac:dyDescent="0.2">
      <c r="K124" s="2367"/>
      <c r="L124" s="2367"/>
      <c r="M124" s="2367"/>
      <c r="N124" s="2367"/>
    </row>
    <row r="125" spans="11:14" x14ac:dyDescent="0.2">
      <c r="K125" s="402"/>
      <c r="L125" s="402"/>
      <c r="M125" s="402"/>
      <c r="N125" s="402"/>
    </row>
    <row r="126" spans="11:14" x14ac:dyDescent="0.2">
      <c r="K126" s="2367"/>
      <c r="L126" s="2367"/>
      <c r="M126" s="2367"/>
      <c r="N126" s="2367"/>
    </row>
    <row r="127" spans="11:14" x14ac:dyDescent="0.2">
      <c r="K127" s="2367"/>
      <c r="L127" s="2367"/>
      <c r="M127" s="2367"/>
      <c r="N127" s="2367"/>
    </row>
    <row r="128" spans="11:14" x14ac:dyDescent="0.2">
      <c r="K128" s="2367"/>
      <c r="L128" s="2367"/>
      <c r="M128" s="2367"/>
      <c r="N128" s="2367"/>
    </row>
    <row r="129" spans="11:14" x14ac:dyDescent="0.2">
      <c r="K129" s="2367"/>
      <c r="L129" s="2367"/>
      <c r="M129" s="2367"/>
      <c r="N129" s="2367"/>
    </row>
    <row r="130" spans="11:14" x14ac:dyDescent="0.2">
      <c r="K130" s="2367"/>
      <c r="L130" s="2367"/>
      <c r="M130" s="2367"/>
      <c r="N130" s="2367"/>
    </row>
    <row r="131" spans="11:14" x14ac:dyDescent="0.2">
      <c r="K131" s="2367"/>
      <c r="L131" s="2367"/>
      <c r="M131" s="2367"/>
      <c r="N131" s="2367"/>
    </row>
    <row r="132" spans="11:14" x14ac:dyDescent="0.2">
      <c r="K132" s="2367"/>
      <c r="L132" s="2367"/>
      <c r="M132" s="2367"/>
      <c r="N132" s="2367"/>
    </row>
    <row r="133" spans="11:14" x14ac:dyDescent="0.2">
      <c r="K133" s="2367"/>
      <c r="L133" s="2367"/>
      <c r="M133" s="2367"/>
      <c r="N133" s="2367"/>
    </row>
    <row r="134" spans="11:14" x14ac:dyDescent="0.2">
      <c r="K134" s="2367"/>
      <c r="L134" s="2367"/>
      <c r="M134" s="2367"/>
      <c r="N134" s="2367"/>
    </row>
    <row r="135" spans="11:14" x14ac:dyDescent="0.2">
      <c r="K135" s="402"/>
      <c r="L135" s="402"/>
      <c r="M135" s="402"/>
      <c r="N135" s="402"/>
    </row>
    <row r="136" spans="11:14" x14ac:dyDescent="0.2">
      <c r="K136" s="2367"/>
      <c r="L136" s="2367"/>
      <c r="M136" s="2367"/>
      <c r="N136" s="2367"/>
    </row>
    <row r="137" spans="11:14" x14ac:dyDescent="0.2">
      <c r="K137" s="2367"/>
      <c r="L137" s="2367"/>
      <c r="M137" s="2367"/>
      <c r="N137" s="2367"/>
    </row>
    <row r="138" spans="11:14" x14ac:dyDescent="0.2">
      <c r="K138" s="2367"/>
      <c r="L138" s="2367"/>
      <c r="M138" s="2367"/>
      <c r="N138" s="2367"/>
    </row>
    <row r="139" spans="11:14" x14ac:dyDescent="0.2">
      <c r="K139" s="2367"/>
      <c r="L139" s="2367"/>
      <c r="M139" s="2367"/>
      <c r="N139" s="2367"/>
    </row>
    <row r="140" spans="11:14" x14ac:dyDescent="0.2">
      <c r="K140" s="2367"/>
      <c r="L140" s="2367"/>
      <c r="M140" s="2367"/>
      <c r="N140" s="2367"/>
    </row>
    <row r="141" spans="11:14" x14ac:dyDescent="0.2">
      <c r="K141" s="2367"/>
      <c r="L141" s="2367"/>
      <c r="M141" s="2367"/>
      <c r="N141" s="2367"/>
    </row>
    <row r="142" spans="11:14" x14ac:dyDescent="0.2">
      <c r="K142" s="2367"/>
      <c r="L142" s="2367"/>
      <c r="M142" s="2367"/>
      <c r="N142" s="2367"/>
    </row>
    <row r="143" spans="11:14" x14ac:dyDescent="0.2">
      <c r="K143" s="2367"/>
      <c r="L143" s="2367"/>
      <c r="M143" s="2367"/>
      <c r="N143" s="2367"/>
    </row>
    <row r="144" spans="11:14" x14ac:dyDescent="0.2">
      <c r="K144" s="2367"/>
      <c r="L144" s="2367"/>
      <c r="M144" s="2367"/>
      <c r="N144" s="2367"/>
    </row>
    <row r="145" spans="11:14" x14ac:dyDescent="0.2">
      <c r="K145" s="2367"/>
      <c r="L145" s="2367"/>
      <c r="M145" s="2367"/>
      <c r="N145" s="2367"/>
    </row>
    <row r="146" spans="11:14" x14ac:dyDescent="0.2">
      <c r="K146" s="2367"/>
      <c r="L146" s="2367"/>
      <c r="M146" s="2367"/>
      <c r="N146" s="2367"/>
    </row>
    <row r="147" spans="11:14" x14ac:dyDescent="0.2">
      <c r="K147" s="392"/>
      <c r="L147" s="392"/>
      <c r="M147" s="392"/>
      <c r="N147" s="392"/>
    </row>
    <row r="148" spans="11:14" x14ac:dyDescent="0.2">
      <c r="K148" s="2367"/>
      <c r="L148" s="2367"/>
      <c r="M148" s="2367"/>
      <c r="N148" s="2367"/>
    </row>
    <row r="149" spans="11:14" x14ac:dyDescent="0.2">
      <c r="K149" s="2367"/>
      <c r="L149" s="2367"/>
      <c r="M149" s="2367"/>
      <c r="N149" s="2367"/>
    </row>
    <row r="150" spans="11:14" x14ac:dyDescent="0.2">
      <c r="K150" s="2367"/>
      <c r="L150" s="2367"/>
      <c r="M150" s="2367"/>
      <c r="N150" s="2367"/>
    </row>
    <row r="151" spans="11:14" x14ac:dyDescent="0.2">
      <c r="K151" s="2367"/>
      <c r="L151" s="2367"/>
      <c r="M151" s="2367"/>
      <c r="N151" s="2367"/>
    </row>
    <row r="152" spans="11:14" x14ac:dyDescent="0.2">
      <c r="K152" s="2367"/>
      <c r="L152" s="2367"/>
      <c r="M152" s="2367"/>
      <c r="N152" s="2367"/>
    </row>
    <row r="153" spans="11:14" x14ac:dyDescent="0.2">
      <c r="K153" s="2367"/>
      <c r="L153" s="2367"/>
      <c r="M153" s="2367"/>
      <c r="N153" s="2367"/>
    </row>
    <row r="154" spans="11:14" x14ac:dyDescent="0.2">
      <c r="K154" s="2367"/>
      <c r="L154" s="2367"/>
      <c r="M154" s="2367"/>
      <c r="N154" s="2367"/>
    </row>
    <row r="155" spans="11:14" x14ac:dyDescent="0.2">
      <c r="K155" s="2367"/>
      <c r="L155" s="2367"/>
      <c r="M155" s="2367"/>
      <c r="N155" s="2367"/>
    </row>
    <row r="156" spans="11:14" x14ac:dyDescent="0.2">
      <c r="K156" s="2367"/>
      <c r="L156" s="2367"/>
      <c r="M156" s="2367"/>
      <c r="N156" s="2367"/>
    </row>
    <row r="157" spans="11:14" x14ac:dyDescent="0.2">
      <c r="K157" s="2367"/>
      <c r="L157" s="2367"/>
      <c r="M157" s="2367"/>
      <c r="N157" s="2367"/>
    </row>
    <row r="158" spans="11:14" x14ac:dyDescent="0.2">
      <c r="K158" s="2367"/>
      <c r="L158" s="2367"/>
      <c r="M158" s="2367"/>
      <c r="N158" s="2367"/>
    </row>
    <row r="159" spans="11:14" x14ac:dyDescent="0.2">
      <c r="K159" s="2367"/>
      <c r="L159" s="2367"/>
      <c r="M159" s="2367"/>
      <c r="N159" s="2367"/>
    </row>
    <row r="160" spans="11:14" x14ac:dyDescent="0.2">
      <c r="K160" s="2367"/>
      <c r="L160" s="2367"/>
      <c r="M160" s="2367"/>
      <c r="N160" s="2367"/>
    </row>
    <row r="161" spans="11:14" x14ac:dyDescent="0.2">
      <c r="K161" s="2367"/>
      <c r="L161" s="2367"/>
      <c r="M161" s="2367"/>
      <c r="N161" s="2367"/>
    </row>
    <row r="162" spans="11:14" x14ac:dyDescent="0.2">
      <c r="K162" s="2367"/>
      <c r="L162" s="2367"/>
      <c r="M162" s="2367"/>
      <c r="N162" s="2367"/>
    </row>
    <row r="163" spans="11:14" x14ac:dyDescent="0.2">
      <c r="K163" s="2367"/>
      <c r="L163" s="2367"/>
      <c r="M163" s="2367"/>
      <c r="N163" s="2367"/>
    </row>
    <row r="164" spans="11:14" x14ac:dyDescent="0.2">
      <c r="K164" s="2367"/>
      <c r="L164" s="2367"/>
      <c r="M164" s="2367"/>
      <c r="N164" s="2367"/>
    </row>
    <row r="165" spans="11:14" x14ac:dyDescent="0.2">
      <c r="K165" s="2367"/>
      <c r="L165" s="2367"/>
      <c r="M165" s="2367"/>
      <c r="N165" s="2367"/>
    </row>
    <row r="166" spans="11:14" x14ac:dyDescent="0.2">
      <c r="K166" s="2367"/>
      <c r="L166" s="2367"/>
      <c r="M166" s="2367"/>
      <c r="N166" s="2367"/>
    </row>
    <row r="167" spans="11:14" x14ac:dyDescent="0.2">
      <c r="K167" s="2367"/>
      <c r="L167" s="2367"/>
      <c r="M167" s="2367"/>
      <c r="N167" s="2367"/>
    </row>
    <row r="168" spans="11:14" x14ac:dyDescent="0.2">
      <c r="K168" s="2367"/>
      <c r="L168" s="2367"/>
      <c r="M168" s="2367"/>
      <c r="N168" s="2367"/>
    </row>
    <row r="169" spans="11:14" x14ac:dyDescent="0.2">
      <c r="K169" s="2367"/>
      <c r="L169" s="2367"/>
      <c r="M169" s="2367"/>
      <c r="N169" s="2367"/>
    </row>
  </sheetData>
  <sheetProtection algorithmName="SHA-512" hashValue="hOmO/5O8uPIfsnvsZ4A4xaEDtQRj1NYnVDMQjEDpCSsAEYibchPoVZLvrvasvUZVWMWYKsqaKLO7GkCQykC4jA==" saltValue="hCBkYMBu9iojKRiJjB6GDg==" spinCount="100000" sheet="1" objects="1" scenarios="1" autoFilter="0"/>
  <mergeCells count="74">
    <mergeCell ref="B80:I80"/>
    <mergeCell ref="B87:I87"/>
    <mergeCell ref="B90:I90"/>
    <mergeCell ref="B81:I81"/>
    <mergeCell ref="B82:I82"/>
    <mergeCell ref="B83:I83"/>
    <mergeCell ref="B84:I84"/>
    <mergeCell ref="B85:I85"/>
    <mergeCell ref="B86:I86"/>
    <mergeCell ref="B74:I74"/>
    <mergeCell ref="B75:I75"/>
    <mergeCell ref="B76:I76"/>
    <mergeCell ref="B78:I78"/>
    <mergeCell ref="B79:I79"/>
    <mergeCell ref="B69:I69"/>
    <mergeCell ref="B70:I70"/>
    <mergeCell ref="B71:I71"/>
    <mergeCell ref="B72:I72"/>
    <mergeCell ref="B73:I73"/>
    <mergeCell ref="B64:I64"/>
    <mergeCell ref="B65:I65"/>
    <mergeCell ref="B66:I66"/>
    <mergeCell ref="B67:I67"/>
    <mergeCell ref="B68:I68"/>
    <mergeCell ref="B56:I56"/>
    <mergeCell ref="B58:I58"/>
    <mergeCell ref="B61:I61"/>
    <mergeCell ref="B62:I62"/>
    <mergeCell ref="B63:I63"/>
    <mergeCell ref="B49:I49"/>
    <mergeCell ref="B50:I50"/>
    <mergeCell ref="B51:I51"/>
    <mergeCell ref="B54:I54"/>
    <mergeCell ref="B55:I55"/>
    <mergeCell ref="B44:I44"/>
    <mergeCell ref="B45:I45"/>
    <mergeCell ref="B46:I46"/>
    <mergeCell ref="B47:I47"/>
    <mergeCell ref="B48:I48"/>
    <mergeCell ref="B36:I36"/>
    <mergeCell ref="B37:I37"/>
    <mergeCell ref="B38:I38"/>
    <mergeCell ref="B39:I39"/>
    <mergeCell ref="B43:I43"/>
    <mergeCell ref="B31:I31"/>
    <mergeCell ref="B32:I32"/>
    <mergeCell ref="B33:I33"/>
    <mergeCell ref="B34:I34"/>
    <mergeCell ref="B35:I35"/>
    <mergeCell ref="B25:I25"/>
    <mergeCell ref="B26:I26"/>
    <mergeCell ref="B27:I27"/>
    <mergeCell ref="B28:I28"/>
    <mergeCell ref="B29:I29"/>
    <mergeCell ref="B20:I20"/>
    <mergeCell ref="B21:I21"/>
    <mergeCell ref="B22:I22"/>
    <mergeCell ref="B23:I23"/>
    <mergeCell ref="B24:I24"/>
    <mergeCell ref="B15:I15"/>
    <mergeCell ref="B16:I16"/>
    <mergeCell ref="B17:I17"/>
    <mergeCell ref="B18:I18"/>
    <mergeCell ref="B19:I19"/>
    <mergeCell ref="G7:J7"/>
    <mergeCell ref="B11:I11"/>
    <mergeCell ref="B13:I13"/>
    <mergeCell ref="B14:I14"/>
    <mergeCell ref="B8:J8"/>
    <mergeCell ref="B1:J1"/>
    <mergeCell ref="B2:J2"/>
    <mergeCell ref="B3:J3"/>
    <mergeCell ref="H5:J5"/>
    <mergeCell ref="D6:G6"/>
  </mergeCells>
  <conditionalFormatting sqref="K1:K3">
    <cfRule type="cellIs" dxfId="12" priority="1" stopIfTrue="1" operator="equal">
      <formula>"na"</formula>
    </cfRule>
  </conditionalFormatting>
  <hyperlinks>
    <hyperlink ref="B1:J1" location="Index!A1" display="Index!A1" xr:uid="{00000000-0004-0000-4E00-000000000000}"/>
  </hyperlinks>
  <pageMargins left="0.5" right="0.5" top="0.5" bottom="0.5" header="0.5" footer="0.25"/>
  <pageSetup scale="90" fitToHeight="2" orientation="portrait" r:id="rId1"/>
  <headerFooter alignWithMargins="0">
    <oddFooter xml:space="preserve">&amp;L&amp;D &amp;T&amp;R&amp;A </oddFooter>
  </headerFooter>
  <rowBreaks count="1" manualBreakCount="1">
    <brk id="59" max="16383" man="1"/>
  </rowBreaks>
  <legacy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5"/>
  <dimension ref="A1:V170"/>
  <sheetViews>
    <sheetView zoomScaleNormal="100" workbookViewId="0">
      <selection sqref="A1:M1"/>
    </sheetView>
  </sheetViews>
  <sheetFormatPr defaultColWidth="9.42578125" defaultRowHeight="12.75" x14ac:dyDescent="0.2"/>
  <cols>
    <col min="1" max="1" width="3.5703125" style="381" customWidth="1"/>
    <col min="2" max="2" width="9.42578125" style="381"/>
    <col min="3" max="3" width="5.5703125" style="381" customWidth="1"/>
    <col min="4" max="6" width="9.42578125" style="381"/>
    <col min="7" max="7" width="5.5703125" style="381" customWidth="1"/>
    <col min="8" max="8" width="1.5703125" style="381" customWidth="1"/>
    <col min="9" max="9" width="9.42578125" style="381"/>
    <col min="10" max="10" width="19.42578125" style="236" customWidth="1"/>
    <col min="11" max="11" width="4.5703125" style="381" customWidth="1"/>
    <col min="12" max="13" width="18.5703125" style="381" customWidth="1"/>
    <col min="14" max="16384" width="9.42578125" style="381"/>
  </cols>
  <sheetData>
    <row r="1" spans="1:22" ht="25.15" customHeight="1" x14ac:dyDescent="0.25">
      <c r="A1"/>
      <c r="B1" s="2455" t="str">
        <f>+Index!$A$1</f>
        <v xml:space="preserve">                                                               Office of the State Controller                                                                </v>
      </c>
      <c r="C1" s="2455"/>
      <c r="D1" s="2455"/>
      <c r="E1" s="2455"/>
      <c r="F1" s="2455"/>
      <c r="G1" s="2455"/>
      <c r="H1" s="2455"/>
      <c r="I1" s="2455"/>
      <c r="J1" s="2455"/>
      <c r="K1" s="881" t="str">
        <f>IF(Index!$B$109="na","NA","")</f>
        <v/>
      </c>
      <c r="L1" s="2214"/>
      <c r="M1" s="2214"/>
      <c r="N1" s="380"/>
      <c r="O1" s="380"/>
      <c r="P1" s="380"/>
      <c r="Q1" s="380"/>
      <c r="R1" s="380"/>
      <c r="S1" s="380"/>
      <c r="T1" s="380"/>
      <c r="U1" s="380"/>
    </row>
    <row r="2" spans="1:22" ht="16.5" x14ac:dyDescent="0.3">
      <c r="A2"/>
      <c r="B2" s="2439" t="str">
        <f>+Index!$A$2</f>
        <v>2023 ACFR Worksheets</v>
      </c>
      <c r="C2" s="2439"/>
      <c r="D2" s="2439"/>
      <c r="E2" s="2439"/>
      <c r="F2" s="2439"/>
      <c r="G2" s="2439"/>
      <c r="H2" s="2439"/>
      <c r="I2" s="2439"/>
      <c r="J2" s="2439"/>
      <c r="K2" s="881"/>
      <c r="L2" s="346"/>
      <c r="M2" s="346"/>
      <c r="N2" s="383"/>
      <c r="O2" s="383"/>
      <c r="P2" s="383"/>
      <c r="Q2" s="383"/>
      <c r="R2" s="383"/>
      <c r="S2" s="383"/>
      <c r="T2" s="383"/>
      <c r="U2" s="383"/>
    </row>
    <row r="3" spans="1:22" ht="42" customHeight="1" x14ac:dyDescent="0.3">
      <c r="A3"/>
      <c r="B3" s="2978" t="s">
        <v>4712</v>
      </c>
      <c r="C3" s="2978"/>
      <c r="D3" s="2978"/>
      <c r="E3" s="2978"/>
      <c r="F3" s="2978"/>
      <c r="G3" s="2978"/>
      <c r="H3" s="2978"/>
      <c r="I3" s="2978"/>
      <c r="J3" s="2978"/>
      <c r="K3" s="881"/>
      <c r="L3" s="346"/>
      <c r="M3" s="346"/>
      <c r="N3" s="383"/>
      <c r="O3" s="383"/>
      <c r="P3" s="383"/>
      <c r="Q3" s="383"/>
      <c r="R3" s="383"/>
      <c r="S3" s="383"/>
      <c r="T3" s="383"/>
      <c r="U3" s="383"/>
    </row>
    <row r="4" spans="1:22" x14ac:dyDescent="0.2">
      <c r="A4"/>
      <c r="B4" s="841" t="s">
        <v>4713</v>
      </c>
      <c r="C4" s="793"/>
      <c r="D4" s="793"/>
      <c r="E4" s="793"/>
      <c r="F4" s="793"/>
      <c r="G4" s="793"/>
      <c r="H4" s="793"/>
      <c r="I4" s="793"/>
      <c r="J4" s="794"/>
      <c r="K4"/>
      <c r="L4"/>
      <c r="M4"/>
    </row>
    <row r="5" spans="1:22" s="384" customFormat="1" ht="15" customHeight="1" x14ac:dyDescent="0.2">
      <c r="A5" s="124"/>
      <c r="B5" s="124" t="s">
        <v>317</v>
      </c>
      <c r="C5" s="124"/>
      <c r="D5" s="357" t="s">
        <v>4714</v>
      </c>
      <c r="E5" s="356"/>
      <c r="F5" s="124" t="s">
        <v>319</v>
      </c>
      <c r="G5" s="124"/>
      <c r="H5" s="2956" t="str">
        <f>+CONCATENATE(Index!$E$12," ",Index!$E$14)</f>
        <v xml:space="preserve"> </v>
      </c>
      <c r="I5" s="2956"/>
      <c r="J5" s="2956"/>
      <c r="K5" s="124"/>
      <c r="L5" s="124"/>
      <c r="M5" s="124"/>
      <c r="N5" s="385"/>
      <c r="V5" s="386"/>
    </row>
    <row r="6" spans="1:22" s="384" customFormat="1" ht="15" customHeight="1" x14ac:dyDescent="0.2">
      <c r="A6" s="124"/>
      <c r="B6" s="124" t="s">
        <v>318</v>
      </c>
      <c r="C6" s="124"/>
      <c r="D6" s="2977" t="s">
        <v>4715</v>
      </c>
      <c r="E6" s="2977"/>
      <c r="F6" s="2977"/>
      <c r="G6" s="2977"/>
      <c r="H6" s="124"/>
      <c r="I6" s="124"/>
      <c r="J6" s="124"/>
      <c r="K6" s="124"/>
      <c r="L6" s="124"/>
      <c r="M6" s="124"/>
      <c r="N6" s="387"/>
      <c r="O6" s="387"/>
      <c r="P6" s="387"/>
      <c r="Q6" s="387"/>
      <c r="R6" s="387"/>
      <c r="S6" s="387"/>
      <c r="T6" s="387"/>
      <c r="U6" s="388"/>
      <c r="V6" s="386"/>
    </row>
    <row r="7" spans="1:22" s="384" customFormat="1" ht="15" customHeight="1" x14ac:dyDescent="0.2">
      <c r="A7" s="124"/>
      <c r="B7" s="124" t="s">
        <v>568</v>
      </c>
      <c r="C7" s="124"/>
      <c r="D7" s="796" t="s">
        <v>4716</v>
      </c>
      <c r="E7" s="124"/>
      <c r="F7" s="455" t="s">
        <v>71</v>
      </c>
      <c r="G7" s="2979">
        <f>+Index!$E$13</f>
        <v>0</v>
      </c>
      <c r="H7" s="2979"/>
      <c r="I7" s="2979"/>
      <c r="J7" s="2979"/>
      <c r="K7" s="124"/>
      <c r="L7" s="124"/>
      <c r="M7" s="124"/>
      <c r="V7" s="386"/>
    </row>
    <row r="8" spans="1:22" s="389" customFormat="1" ht="12" customHeight="1" x14ac:dyDescent="0.2">
      <c r="A8" s="27"/>
      <c r="B8" s="835" t="s">
        <v>4717</v>
      </c>
      <c r="C8" s="836"/>
      <c r="D8" s="836"/>
      <c r="E8" s="836"/>
      <c r="F8" s="836"/>
      <c r="G8" s="837"/>
      <c r="H8" s="838"/>
      <c r="I8" s="839"/>
      <c r="J8" s="840"/>
      <c r="K8" s="27"/>
      <c r="L8" s="27"/>
      <c r="M8" s="27"/>
    </row>
    <row r="9" spans="1:22" x14ac:dyDescent="0.2">
      <c r="A9"/>
      <c r="B9" s="415"/>
      <c r="C9" s="27"/>
      <c r="D9" s="27"/>
      <c r="E9" s="27"/>
      <c r="F9" s="27"/>
      <c r="G9" s="762"/>
      <c r="H9" s="27"/>
      <c r="I9"/>
      <c r="J9" s="799" t="s">
        <v>4718</v>
      </c>
      <c r="K9"/>
      <c r="L9" s="740" t="s">
        <v>4719</v>
      </c>
      <c r="M9" s="740" t="s">
        <v>4720</v>
      </c>
    </row>
    <row r="10" spans="1:22" x14ac:dyDescent="0.2">
      <c r="A10"/>
      <c r="B10" s="800" t="s">
        <v>576</v>
      </c>
      <c r="C10" s="802"/>
      <c r="D10" s="802"/>
      <c r="E10"/>
      <c r="F10"/>
      <c r="G10"/>
      <c r="H10"/>
      <c r="I10"/>
      <c r="J10" s="636" t="str">
        <f>TEXT(Data!$A$2,"mmmm d,yyyy")</f>
        <v>June 30,2023</v>
      </c>
      <c r="K10" s="2377"/>
      <c r="L10" s="636" t="str">
        <f>TEXT(Data!$A$2,"mmmm d,yyyy")</f>
        <v>June 30,2023</v>
      </c>
      <c r="M10" s="636" t="str">
        <f>TEXT(Data!$A$2,"mmmm d,yyyy")</f>
        <v>June 30,2023</v>
      </c>
    </row>
    <row r="11" spans="1:22" x14ac:dyDescent="0.2">
      <c r="A11"/>
      <c r="B11" s="2974" t="s">
        <v>2624</v>
      </c>
      <c r="C11" s="2974"/>
      <c r="D11" s="2974"/>
      <c r="E11" s="2974"/>
      <c r="F11" s="2974"/>
      <c r="G11" s="2974"/>
      <c r="H11" s="2974"/>
      <c r="I11" s="2974"/>
      <c r="J11" s="475">
        <f>SUM(L11+M11)</f>
        <v>0</v>
      </c>
      <c r="K11" s="234"/>
      <c r="L11" s="475">
        <f>'906-6B'!J11</f>
        <v>0</v>
      </c>
      <c r="M11" s="475">
        <f>'906-6C'!J11</f>
        <v>0</v>
      </c>
    </row>
    <row r="12" spans="1:22" x14ac:dyDescent="0.2">
      <c r="A12"/>
      <c r="B12" s="1978" t="s">
        <v>4646</v>
      </c>
      <c r="C12" s="802"/>
      <c r="D12"/>
      <c r="E12"/>
      <c r="F12"/>
      <c r="G12"/>
      <c r="H12"/>
      <c r="I12"/>
      <c r="J12" s="767"/>
      <c r="K12" s="234"/>
      <c r="L12" s="2347"/>
      <c r="M12" s="2347"/>
    </row>
    <row r="13" spans="1:22" x14ac:dyDescent="0.2">
      <c r="A13"/>
      <c r="B13" s="2974" t="s">
        <v>4647</v>
      </c>
      <c r="C13" s="2974"/>
      <c r="D13" s="2974"/>
      <c r="E13" s="2974"/>
      <c r="F13" s="2974"/>
      <c r="G13" s="2974"/>
      <c r="H13" s="2974"/>
      <c r="I13" s="2974"/>
      <c r="J13" s="233">
        <f>SUM(L13:M13)</f>
        <v>0</v>
      </c>
      <c r="K13" s="234"/>
      <c r="L13" s="233">
        <f>'906-6B'!J13</f>
        <v>0</v>
      </c>
      <c r="M13" s="233">
        <f>'906-6C'!J13</f>
        <v>0</v>
      </c>
    </row>
    <row r="14" spans="1:22" x14ac:dyDescent="0.2">
      <c r="A14"/>
      <c r="B14" s="2974" t="s">
        <v>4648</v>
      </c>
      <c r="C14" s="2974"/>
      <c r="D14" s="2974"/>
      <c r="E14" s="2974"/>
      <c r="F14" s="2974"/>
      <c r="G14" s="2974"/>
      <c r="H14" s="2974"/>
      <c r="I14" s="2974"/>
      <c r="J14" s="233">
        <f t="shared" ref="J14:J38" si="0">SUM(L14:M14)</f>
        <v>0</v>
      </c>
      <c r="K14" s="234"/>
      <c r="L14" s="233">
        <f>'906-6B'!J14</f>
        <v>0</v>
      </c>
      <c r="M14" s="233">
        <f>'906-6C'!J14</f>
        <v>0</v>
      </c>
    </row>
    <row r="15" spans="1:22" x14ac:dyDescent="0.2">
      <c r="A15"/>
      <c r="B15" s="2974" t="s">
        <v>4650</v>
      </c>
      <c r="C15" s="2974"/>
      <c r="D15" s="2974"/>
      <c r="E15" s="2974"/>
      <c r="F15" s="2974"/>
      <c r="G15" s="2974"/>
      <c r="H15" s="2974"/>
      <c r="I15" s="2974"/>
      <c r="J15" s="233">
        <f t="shared" si="0"/>
        <v>0</v>
      </c>
      <c r="K15" s="234"/>
      <c r="L15" s="233">
        <f>'906-6B'!J15</f>
        <v>0</v>
      </c>
      <c r="M15" s="233">
        <f>'906-6C'!J15</f>
        <v>0</v>
      </c>
    </row>
    <row r="16" spans="1:22" x14ac:dyDescent="0.2">
      <c r="A16"/>
      <c r="B16" s="2974" t="s">
        <v>4651</v>
      </c>
      <c r="C16" s="2974"/>
      <c r="D16" s="2974"/>
      <c r="E16" s="2974"/>
      <c r="F16" s="2974"/>
      <c r="G16" s="2974"/>
      <c r="H16" s="2974"/>
      <c r="I16" s="2974"/>
      <c r="J16" s="233">
        <f t="shared" si="0"/>
        <v>0</v>
      </c>
      <c r="K16" s="234"/>
      <c r="L16" s="233">
        <f>'906-6B'!J16</f>
        <v>0</v>
      </c>
      <c r="M16" s="233">
        <f>'906-6C'!J16</f>
        <v>0</v>
      </c>
    </row>
    <row r="17" spans="1:13" x14ac:dyDescent="0.2">
      <c r="A17"/>
      <c r="B17" s="2974" t="s">
        <v>4652</v>
      </c>
      <c r="C17" s="2974"/>
      <c r="D17" s="2974"/>
      <c r="E17" s="2974"/>
      <c r="F17" s="2974"/>
      <c r="G17" s="2974"/>
      <c r="H17" s="2974"/>
      <c r="I17" s="2974"/>
      <c r="J17" s="233">
        <f t="shared" si="0"/>
        <v>0</v>
      </c>
      <c r="K17" s="234"/>
      <c r="L17" s="233">
        <f>'906-6B'!J17</f>
        <v>0</v>
      </c>
      <c r="M17" s="233">
        <f>'906-6C'!J17</f>
        <v>0</v>
      </c>
    </row>
    <row r="18" spans="1:13" x14ac:dyDescent="0.2">
      <c r="A18"/>
      <c r="B18" s="2974" t="s">
        <v>4653</v>
      </c>
      <c r="C18" s="2974"/>
      <c r="D18" s="2974"/>
      <c r="E18" s="2974"/>
      <c r="F18" s="2974"/>
      <c r="G18" s="2974"/>
      <c r="H18" s="2974"/>
      <c r="I18" s="2974"/>
      <c r="J18" s="233">
        <f t="shared" si="0"/>
        <v>0</v>
      </c>
      <c r="K18" s="234"/>
      <c r="L18" s="233">
        <f>'906-6B'!J18</f>
        <v>0</v>
      </c>
      <c r="M18" s="233">
        <f>'906-6C'!J18</f>
        <v>0</v>
      </c>
    </row>
    <row r="19" spans="1:13" x14ac:dyDescent="0.2">
      <c r="A19"/>
      <c r="B19" s="2974" t="s">
        <v>4654</v>
      </c>
      <c r="C19" s="2974"/>
      <c r="D19" s="2974"/>
      <c r="E19" s="2974"/>
      <c r="F19" s="2974"/>
      <c r="G19" s="2974"/>
      <c r="H19" s="2974"/>
      <c r="I19" s="2974"/>
      <c r="J19" s="233">
        <f t="shared" si="0"/>
        <v>0</v>
      </c>
      <c r="K19" s="234"/>
      <c r="L19" s="233">
        <f>'906-6B'!J19</f>
        <v>0</v>
      </c>
      <c r="M19" s="233">
        <f>'906-6C'!J19</f>
        <v>0</v>
      </c>
    </row>
    <row r="20" spans="1:13" x14ac:dyDescent="0.2">
      <c r="A20"/>
      <c r="B20" s="2974" t="s">
        <v>4655</v>
      </c>
      <c r="C20" s="2974"/>
      <c r="D20" s="2974"/>
      <c r="E20" s="2974"/>
      <c r="F20" s="2974"/>
      <c r="G20" s="2974"/>
      <c r="H20" s="2974"/>
      <c r="I20" s="2974"/>
      <c r="J20" s="233">
        <f t="shared" si="0"/>
        <v>0</v>
      </c>
      <c r="K20" s="234"/>
      <c r="L20" s="233">
        <f>'906-6B'!J20</f>
        <v>0</v>
      </c>
      <c r="M20" s="233">
        <f>'906-6C'!J20</f>
        <v>0</v>
      </c>
    </row>
    <row r="21" spans="1:13" x14ac:dyDescent="0.2">
      <c r="A21"/>
      <c r="B21" s="2974" t="s">
        <v>4656</v>
      </c>
      <c r="C21" s="2974"/>
      <c r="D21" s="2974"/>
      <c r="E21" s="2974"/>
      <c r="F21" s="2974"/>
      <c r="G21" s="2974"/>
      <c r="H21" s="2974"/>
      <c r="I21" s="2974"/>
      <c r="J21" s="233">
        <f t="shared" si="0"/>
        <v>0</v>
      </c>
      <c r="K21" s="234"/>
      <c r="L21" s="233">
        <f>'906-6B'!J21</f>
        <v>0</v>
      </c>
      <c r="M21" s="233">
        <f>'906-6C'!J21</f>
        <v>0</v>
      </c>
    </row>
    <row r="22" spans="1:13" x14ac:dyDescent="0.2">
      <c r="A22"/>
      <c r="B22" s="2974" t="s">
        <v>4657</v>
      </c>
      <c r="C22" s="2974"/>
      <c r="D22" s="2974"/>
      <c r="E22" s="2974"/>
      <c r="F22" s="2974"/>
      <c r="G22" s="2974"/>
      <c r="H22" s="2974"/>
      <c r="I22" s="2974"/>
      <c r="J22" s="233">
        <f t="shared" si="0"/>
        <v>0</v>
      </c>
      <c r="K22" s="234"/>
      <c r="L22" s="233">
        <f>'906-6B'!J22</f>
        <v>0</v>
      </c>
      <c r="M22" s="233">
        <f>'906-6C'!J22</f>
        <v>0</v>
      </c>
    </row>
    <row r="23" spans="1:13" x14ac:dyDescent="0.2">
      <c r="A23"/>
      <c r="B23" s="2974" t="s">
        <v>4658</v>
      </c>
      <c r="C23" s="2974"/>
      <c r="D23" s="2974"/>
      <c r="E23" s="2974"/>
      <c r="F23" s="2974"/>
      <c r="G23" s="2974"/>
      <c r="H23" s="2974"/>
      <c r="I23" s="2974"/>
      <c r="J23" s="233">
        <f t="shared" si="0"/>
        <v>0</v>
      </c>
      <c r="K23" s="234"/>
      <c r="L23" s="233">
        <f>'906-6B'!J23</f>
        <v>0</v>
      </c>
      <c r="M23" s="233">
        <f>'906-6C'!J23</f>
        <v>0</v>
      </c>
    </row>
    <row r="24" spans="1:13" x14ac:dyDescent="0.2">
      <c r="A24"/>
      <c r="B24" s="2974" t="s">
        <v>4659</v>
      </c>
      <c r="C24" s="2974"/>
      <c r="D24" s="2974"/>
      <c r="E24" s="2974"/>
      <c r="F24" s="2974"/>
      <c r="G24" s="2974"/>
      <c r="H24" s="2974"/>
      <c r="I24" s="2974"/>
      <c r="J24" s="233">
        <f t="shared" si="0"/>
        <v>0</v>
      </c>
      <c r="K24" s="234"/>
      <c r="L24" s="233">
        <f>'906-6B'!J24</f>
        <v>0</v>
      </c>
      <c r="M24" s="233">
        <f>'906-6C'!J24</f>
        <v>0</v>
      </c>
    </row>
    <row r="25" spans="1:13" x14ac:dyDescent="0.2">
      <c r="A25"/>
      <c r="B25" s="2974" t="s">
        <v>4661</v>
      </c>
      <c r="C25" s="2974"/>
      <c r="D25" s="2974"/>
      <c r="E25" s="2974"/>
      <c r="F25" s="2974"/>
      <c r="G25" s="2974"/>
      <c r="H25" s="2974"/>
      <c r="I25" s="2974"/>
      <c r="J25" s="233">
        <f t="shared" si="0"/>
        <v>0</v>
      </c>
      <c r="K25" s="234"/>
      <c r="L25" s="233">
        <f>'906-6B'!J25</f>
        <v>0</v>
      </c>
      <c r="M25" s="233">
        <f>'906-6C'!J25</f>
        <v>0</v>
      </c>
    </row>
    <row r="26" spans="1:13" x14ac:dyDescent="0.2">
      <c r="A26"/>
      <c r="B26" s="2974" t="s">
        <v>4662</v>
      </c>
      <c r="C26" s="2974"/>
      <c r="D26" s="2974"/>
      <c r="E26" s="2974"/>
      <c r="F26" s="2974"/>
      <c r="G26" s="2974"/>
      <c r="H26" s="2974"/>
      <c r="I26" s="2974"/>
      <c r="J26" s="233">
        <f t="shared" si="0"/>
        <v>0</v>
      </c>
      <c r="K26" s="234"/>
      <c r="L26" s="233">
        <f>'906-6B'!J26</f>
        <v>0</v>
      </c>
      <c r="M26" s="233">
        <f>'906-6C'!J26</f>
        <v>0</v>
      </c>
    </row>
    <row r="27" spans="1:13" x14ac:dyDescent="0.2">
      <c r="A27"/>
      <c r="B27" s="2974" t="s">
        <v>4664</v>
      </c>
      <c r="C27" s="2974"/>
      <c r="D27" s="2974"/>
      <c r="E27" s="2974"/>
      <c r="F27" s="2974"/>
      <c r="G27" s="2974"/>
      <c r="H27" s="2974"/>
      <c r="I27" s="2974"/>
      <c r="J27" s="233">
        <f t="shared" si="0"/>
        <v>0</v>
      </c>
      <c r="K27" s="234"/>
      <c r="L27" s="233">
        <f>'906-6B'!J27</f>
        <v>0</v>
      </c>
      <c r="M27" s="233">
        <f>'906-6C'!J27</f>
        <v>0</v>
      </c>
    </row>
    <row r="28" spans="1:13" x14ac:dyDescent="0.2">
      <c r="A28"/>
      <c r="B28" s="2974" t="s">
        <v>4666</v>
      </c>
      <c r="C28" s="2974"/>
      <c r="D28" s="2974"/>
      <c r="E28" s="2974"/>
      <c r="F28" s="2974"/>
      <c r="G28" s="2974"/>
      <c r="H28" s="2974"/>
      <c r="I28" s="2974"/>
      <c r="J28" s="233">
        <f t="shared" si="0"/>
        <v>0</v>
      </c>
      <c r="K28" s="234"/>
      <c r="L28" s="233">
        <f>'906-6B'!J28</f>
        <v>0</v>
      </c>
      <c r="M28" s="233">
        <f>'906-6C'!J28</f>
        <v>0</v>
      </c>
    </row>
    <row r="29" spans="1:13" x14ac:dyDescent="0.2">
      <c r="A29"/>
      <c r="B29" s="2974" t="s">
        <v>2930</v>
      </c>
      <c r="C29" s="2974"/>
      <c r="D29" s="2974"/>
      <c r="E29" s="2974"/>
      <c r="F29" s="2974"/>
      <c r="G29" s="2974"/>
      <c r="H29" s="2974"/>
      <c r="I29" s="2974"/>
      <c r="J29" s="233">
        <f t="shared" si="0"/>
        <v>0</v>
      </c>
      <c r="K29" s="234"/>
      <c r="L29" s="233">
        <f>'906-6B'!J29</f>
        <v>0</v>
      </c>
      <c r="M29" s="233">
        <f>'906-6C'!J29</f>
        <v>0</v>
      </c>
    </row>
    <row r="30" spans="1:13" x14ac:dyDescent="0.2">
      <c r="A30"/>
      <c r="B30" s="802" t="s">
        <v>2629</v>
      </c>
      <c r="C30" s="802"/>
      <c r="D30"/>
      <c r="E30"/>
      <c r="F30"/>
      <c r="G30"/>
      <c r="H30"/>
      <c r="I30"/>
      <c r="J30" s="233">
        <f t="shared" si="0"/>
        <v>0</v>
      </c>
      <c r="K30" s="234"/>
      <c r="L30" s="233">
        <f>'906-6B'!J30</f>
        <v>0</v>
      </c>
      <c r="M30" s="233">
        <f>'906-6C'!J30</f>
        <v>0</v>
      </c>
    </row>
    <row r="31" spans="1:13" x14ac:dyDescent="0.2">
      <c r="A31"/>
      <c r="B31" s="2974" t="s">
        <v>4667</v>
      </c>
      <c r="C31" s="2974"/>
      <c r="D31" s="2974"/>
      <c r="E31" s="2974"/>
      <c r="F31" s="2974"/>
      <c r="G31" s="2974"/>
      <c r="H31" s="2974"/>
      <c r="I31" s="2974"/>
      <c r="J31" s="233">
        <f t="shared" si="0"/>
        <v>0</v>
      </c>
      <c r="K31" s="234"/>
      <c r="L31" s="233">
        <f>'906-6B'!J31</f>
        <v>0</v>
      </c>
      <c r="M31" s="233">
        <f>'906-6C'!J31</f>
        <v>0</v>
      </c>
    </row>
    <row r="32" spans="1:13" x14ac:dyDescent="0.2">
      <c r="A32"/>
      <c r="B32" s="2974" t="s">
        <v>4668</v>
      </c>
      <c r="C32" s="2974"/>
      <c r="D32" s="2974"/>
      <c r="E32" s="2974"/>
      <c r="F32" s="2974"/>
      <c r="G32" s="2974"/>
      <c r="H32" s="2974"/>
      <c r="I32" s="2974"/>
      <c r="J32" s="233">
        <f t="shared" si="0"/>
        <v>0</v>
      </c>
      <c r="K32" s="234"/>
      <c r="L32" s="233">
        <f>'906-6B'!J32</f>
        <v>0</v>
      </c>
      <c r="M32" s="233">
        <f>'906-6C'!J32</f>
        <v>0</v>
      </c>
    </row>
    <row r="33" spans="1:13" x14ac:dyDescent="0.2">
      <c r="A33"/>
      <c r="B33" s="2974" t="s">
        <v>4669</v>
      </c>
      <c r="C33" s="2974"/>
      <c r="D33" s="2974"/>
      <c r="E33" s="2974"/>
      <c r="F33" s="2974"/>
      <c r="G33" s="2974"/>
      <c r="H33" s="2974"/>
      <c r="I33" s="2974"/>
      <c r="J33" s="233">
        <f t="shared" si="0"/>
        <v>0</v>
      </c>
      <c r="K33" s="234"/>
      <c r="L33" s="233">
        <f>'906-6B'!J33</f>
        <v>0</v>
      </c>
      <c r="M33" s="233">
        <f>'906-6C'!J33</f>
        <v>0</v>
      </c>
    </row>
    <row r="34" spans="1:13" x14ac:dyDescent="0.2">
      <c r="A34"/>
      <c r="B34" s="2974" t="s">
        <v>2640</v>
      </c>
      <c r="C34" s="2974"/>
      <c r="D34" s="2974"/>
      <c r="E34" s="2974"/>
      <c r="F34" s="2974"/>
      <c r="G34" s="2974"/>
      <c r="H34" s="2974"/>
      <c r="I34" s="2974"/>
      <c r="J34" s="233">
        <f t="shared" si="0"/>
        <v>0</v>
      </c>
      <c r="K34" s="234"/>
      <c r="L34" s="233">
        <f>'906-6B'!J34</f>
        <v>0</v>
      </c>
      <c r="M34" s="233">
        <f>'906-6C'!J34</f>
        <v>0</v>
      </c>
    </row>
    <row r="35" spans="1:13" x14ac:dyDescent="0.2">
      <c r="A35"/>
      <c r="B35" s="2974" t="s">
        <v>2638</v>
      </c>
      <c r="C35" s="2974"/>
      <c r="D35" s="2974"/>
      <c r="E35" s="2974"/>
      <c r="F35" s="2974"/>
      <c r="G35" s="2974"/>
      <c r="H35" s="2974"/>
      <c r="I35" s="2974"/>
      <c r="J35" s="233">
        <f t="shared" si="0"/>
        <v>0</v>
      </c>
      <c r="K35" s="234"/>
      <c r="L35" s="233">
        <f>'906-6B'!J35</f>
        <v>0</v>
      </c>
      <c r="M35" s="233">
        <f>'906-6C'!J35</f>
        <v>0</v>
      </c>
    </row>
    <row r="36" spans="1:13" x14ac:dyDescent="0.2">
      <c r="A36"/>
      <c r="B36" s="2974" t="s">
        <v>4670</v>
      </c>
      <c r="C36" s="2974"/>
      <c r="D36" s="2974"/>
      <c r="E36" s="2974"/>
      <c r="F36" s="2974"/>
      <c r="G36" s="2974"/>
      <c r="H36" s="2974"/>
      <c r="I36" s="2974"/>
      <c r="J36" s="233">
        <f t="shared" si="0"/>
        <v>0</v>
      </c>
      <c r="K36" s="234"/>
      <c r="L36" s="233">
        <f>'906-6B'!J36</f>
        <v>0</v>
      </c>
      <c r="M36" s="233">
        <f>'906-6C'!J36</f>
        <v>0</v>
      </c>
    </row>
    <row r="37" spans="1:13" x14ac:dyDescent="0.2">
      <c r="A37"/>
      <c r="B37" s="2974" t="s">
        <v>4671</v>
      </c>
      <c r="C37" s="2974"/>
      <c r="D37" s="2974"/>
      <c r="E37" s="2974"/>
      <c r="F37" s="2974"/>
      <c r="G37" s="2974"/>
      <c r="H37" s="2974"/>
      <c r="I37" s="2974"/>
      <c r="J37" s="233">
        <f t="shared" si="0"/>
        <v>0</v>
      </c>
      <c r="K37" s="234"/>
      <c r="L37" s="233">
        <f>'906-6B'!J37</f>
        <v>0</v>
      </c>
      <c r="M37" s="233">
        <f>'906-6C'!J37</f>
        <v>0</v>
      </c>
    </row>
    <row r="38" spans="1:13" x14ac:dyDescent="0.2">
      <c r="A38"/>
      <c r="B38" s="2974" t="s">
        <v>4672</v>
      </c>
      <c r="C38" s="2974"/>
      <c r="D38" s="2974"/>
      <c r="E38" s="2974"/>
      <c r="F38" s="2974"/>
      <c r="G38" s="2974"/>
      <c r="H38" s="2974"/>
      <c r="I38" s="2974"/>
      <c r="J38" s="233">
        <f t="shared" si="0"/>
        <v>0</v>
      </c>
      <c r="K38" s="234"/>
      <c r="L38" s="233">
        <f>'906-6B'!J38</f>
        <v>0</v>
      </c>
      <c r="M38" s="233">
        <f>'906-6C'!J38</f>
        <v>0</v>
      </c>
    </row>
    <row r="39" spans="1:13" x14ac:dyDescent="0.2">
      <c r="A39"/>
      <c r="B39" s="2974" t="s">
        <v>1742</v>
      </c>
      <c r="C39" s="2974"/>
      <c r="D39" s="2974"/>
      <c r="E39" s="2974"/>
      <c r="F39" s="2974"/>
      <c r="G39" s="2974"/>
      <c r="H39" s="2974"/>
      <c r="I39" s="2974"/>
      <c r="J39" s="403">
        <f>SUM(J10:J38)</f>
        <v>0</v>
      </c>
      <c r="K39" s="234"/>
      <c r="L39" s="403">
        <f>SUM(L10:L38)</f>
        <v>0</v>
      </c>
      <c r="M39" s="403">
        <f>SUM(M10:M38)</f>
        <v>0</v>
      </c>
    </row>
    <row r="40" spans="1:13" x14ac:dyDescent="0.2">
      <c r="A40"/>
      <c r="B40" s="801"/>
      <c r="C40" s="802"/>
      <c r="D40"/>
      <c r="E40"/>
      <c r="F40"/>
      <c r="G40"/>
      <c r="H40"/>
      <c r="I40"/>
      <c r="J40" s="768"/>
      <c r="K40" s="234"/>
      <c r="L40" s="2347"/>
      <c r="M40" s="2347"/>
    </row>
    <row r="41" spans="1:13" x14ac:dyDescent="0.2">
      <c r="A41"/>
      <c r="B41" s="800" t="s">
        <v>4673</v>
      </c>
      <c r="C41" s="802"/>
      <c r="D41"/>
      <c r="E41"/>
      <c r="F41"/>
      <c r="G41"/>
      <c r="H41"/>
      <c r="I41"/>
      <c r="J41" s="768"/>
      <c r="K41" s="234"/>
      <c r="L41" s="2347"/>
      <c r="M41" s="2347"/>
    </row>
    <row r="42" spans="1:13" x14ac:dyDescent="0.2">
      <c r="A42"/>
      <c r="B42" s="1980" t="s">
        <v>2691</v>
      </c>
      <c r="C42" s="802"/>
      <c r="D42"/>
      <c r="E42"/>
      <c r="F42"/>
      <c r="G42"/>
      <c r="H42"/>
      <c r="I42"/>
      <c r="J42" s="768"/>
      <c r="K42" s="234"/>
      <c r="L42" s="2347"/>
      <c r="M42" s="2347"/>
    </row>
    <row r="43" spans="1:13" x14ac:dyDescent="0.2">
      <c r="A43"/>
      <c r="B43" s="2976" t="s">
        <v>2729</v>
      </c>
      <c r="C43" s="2976"/>
      <c r="D43" s="2976"/>
      <c r="E43" s="2976"/>
      <c r="F43" s="2976"/>
      <c r="G43" s="2976"/>
      <c r="H43" s="2976"/>
      <c r="I43" s="2976"/>
      <c r="J43" s="233">
        <f t="shared" ref="J43:J50" si="1">SUM(L43:M43)</f>
        <v>0</v>
      </c>
      <c r="K43" s="234"/>
      <c r="L43" s="233">
        <f>'906-6B'!J43</f>
        <v>0</v>
      </c>
      <c r="M43" s="233">
        <f>'906-6C'!J43</f>
        <v>0</v>
      </c>
    </row>
    <row r="44" spans="1:13" x14ac:dyDescent="0.2">
      <c r="A44"/>
      <c r="B44" s="2976" t="s">
        <v>2694</v>
      </c>
      <c r="C44" s="2976"/>
      <c r="D44" s="2976"/>
      <c r="E44" s="2976"/>
      <c r="F44" s="2976"/>
      <c r="G44" s="2976"/>
      <c r="H44" s="2976"/>
      <c r="I44" s="2976"/>
      <c r="J44" s="233">
        <f t="shared" si="1"/>
        <v>0</v>
      </c>
      <c r="K44" s="234"/>
      <c r="L44" s="233">
        <f>'906-6B'!J44</f>
        <v>0</v>
      </c>
      <c r="M44" s="233">
        <f>'906-6C'!J44</f>
        <v>0</v>
      </c>
    </row>
    <row r="45" spans="1:13" x14ac:dyDescent="0.2">
      <c r="A45"/>
      <c r="B45" s="2976" t="s">
        <v>4674</v>
      </c>
      <c r="C45" s="2976"/>
      <c r="D45" s="2976"/>
      <c r="E45" s="2976"/>
      <c r="F45" s="2976"/>
      <c r="G45" s="2976"/>
      <c r="H45" s="2976"/>
      <c r="I45" s="2976"/>
      <c r="J45" s="233">
        <f t="shared" si="1"/>
        <v>0</v>
      </c>
      <c r="K45" s="234"/>
      <c r="L45" s="233">
        <f>'906-6B'!J45</f>
        <v>0</v>
      </c>
      <c r="M45" s="233">
        <f>'906-6C'!J45</f>
        <v>0</v>
      </c>
    </row>
    <row r="46" spans="1:13" x14ac:dyDescent="0.2">
      <c r="A46"/>
      <c r="B46" s="2971" t="s">
        <v>2708</v>
      </c>
      <c r="C46" s="2971"/>
      <c r="D46" s="2971"/>
      <c r="E46" s="2971"/>
      <c r="F46" s="2971"/>
      <c r="G46" s="2971"/>
      <c r="H46" s="2971"/>
      <c r="I46" s="2971"/>
      <c r="J46" s="233">
        <f t="shared" si="1"/>
        <v>0</v>
      </c>
      <c r="K46" s="234"/>
      <c r="L46" s="233">
        <f>'906-6B'!J46</f>
        <v>0</v>
      </c>
      <c r="M46" s="233">
        <f>'906-6C'!J46</f>
        <v>0</v>
      </c>
    </row>
    <row r="47" spans="1:13" x14ac:dyDescent="0.2">
      <c r="A47"/>
      <c r="B47" s="2971" t="s">
        <v>2706</v>
      </c>
      <c r="C47" s="2971"/>
      <c r="D47" s="2971"/>
      <c r="E47" s="2971"/>
      <c r="F47" s="2971"/>
      <c r="G47" s="2971"/>
      <c r="H47" s="2971"/>
      <c r="I47" s="2971"/>
      <c r="J47" s="233">
        <f t="shared" si="1"/>
        <v>0</v>
      </c>
      <c r="K47" s="234"/>
      <c r="L47" s="233">
        <f>'906-6B'!J47</f>
        <v>0</v>
      </c>
      <c r="M47" s="233">
        <f>'906-6C'!J47</f>
        <v>0</v>
      </c>
    </row>
    <row r="48" spans="1:13" x14ac:dyDescent="0.2">
      <c r="A48"/>
      <c r="B48" s="2971" t="s">
        <v>2709</v>
      </c>
      <c r="C48" s="2971"/>
      <c r="D48" s="2971"/>
      <c r="E48" s="2971"/>
      <c r="F48" s="2971"/>
      <c r="G48" s="2971"/>
      <c r="H48" s="2971"/>
      <c r="I48" s="2971"/>
      <c r="J48" s="233">
        <f t="shared" si="1"/>
        <v>0</v>
      </c>
      <c r="K48" s="234"/>
      <c r="L48" s="233">
        <f>'906-6B'!J48</f>
        <v>0</v>
      </c>
      <c r="M48" s="233">
        <f>'906-6C'!J48</f>
        <v>0</v>
      </c>
    </row>
    <row r="49" spans="1:13" x14ac:dyDescent="0.2">
      <c r="A49"/>
      <c r="B49" s="2974" t="s">
        <v>2710</v>
      </c>
      <c r="C49" s="2974"/>
      <c r="D49" s="2974"/>
      <c r="E49" s="2974"/>
      <c r="F49" s="2974"/>
      <c r="G49" s="2974"/>
      <c r="H49" s="2974"/>
      <c r="I49" s="2974"/>
      <c r="J49" s="233">
        <f t="shared" si="1"/>
        <v>0</v>
      </c>
      <c r="K49" s="234"/>
      <c r="L49" s="233">
        <f>'906-6B'!J49</f>
        <v>0</v>
      </c>
      <c r="M49" s="233">
        <f>'906-6C'!J49</f>
        <v>0</v>
      </c>
    </row>
    <row r="50" spans="1:13" x14ac:dyDescent="0.2">
      <c r="A50"/>
      <c r="B50" s="2971" t="s">
        <v>1049</v>
      </c>
      <c r="C50" s="2971"/>
      <c r="D50" s="2971"/>
      <c r="E50" s="2971"/>
      <c r="F50" s="2971"/>
      <c r="G50" s="2971"/>
      <c r="H50" s="2971"/>
      <c r="I50" s="2971"/>
      <c r="J50" s="233">
        <f t="shared" si="1"/>
        <v>0</v>
      </c>
      <c r="K50" s="234"/>
      <c r="L50" s="233">
        <f>'906-6B'!J50</f>
        <v>0</v>
      </c>
      <c r="M50" s="233">
        <f>'906-6C'!J50</f>
        <v>0</v>
      </c>
    </row>
    <row r="51" spans="1:13" x14ac:dyDescent="0.2">
      <c r="A51"/>
      <c r="B51" s="2974" t="s">
        <v>1746</v>
      </c>
      <c r="C51" s="2974"/>
      <c r="D51" s="2974"/>
      <c r="E51" s="2974"/>
      <c r="F51" s="2974"/>
      <c r="G51" s="2974"/>
      <c r="H51" s="2974"/>
      <c r="I51" s="2974"/>
      <c r="J51" s="403">
        <f>SUM(J42:J50)</f>
        <v>0</v>
      </c>
      <c r="K51" s="234"/>
      <c r="L51" s="403">
        <f>SUM(L42:L50)</f>
        <v>0</v>
      </c>
      <c r="M51" s="403">
        <f>SUM(M42:M50)</f>
        <v>0</v>
      </c>
    </row>
    <row r="52" spans="1:13" x14ac:dyDescent="0.2">
      <c r="A52"/>
      <c r="B52" s="802"/>
      <c r="C52" s="802"/>
      <c r="D52"/>
      <c r="E52"/>
      <c r="F52"/>
      <c r="G52"/>
      <c r="H52"/>
      <c r="I52"/>
      <c r="J52" s="768"/>
      <c r="K52" s="234"/>
      <c r="L52" s="2375"/>
      <c r="M52" s="2375"/>
    </row>
    <row r="53" spans="1:13" x14ac:dyDescent="0.2">
      <c r="A53"/>
      <c r="B53" s="2371" t="s">
        <v>1748</v>
      </c>
      <c r="C53"/>
      <c r="D53"/>
      <c r="E53"/>
      <c r="F53"/>
      <c r="G53"/>
      <c r="H53"/>
      <c r="I53"/>
      <c r="J53" s="233"/>
      <c r="K53" s="234"/>
      <c r="L53" s="2375"/>
      <c r="M53" s="2375"/>
    </row>
    <row r="54" spans="1:13" x14ac:dyDescent="0.2">
      <c r="A54"/>
      <c r="B54" s="2970" t="s">
        <v>1613</v>
      </c>
      <c r="C54" s="2970"/>
      <c r="D54" s="2970"/>
      <c r="E54" s="2970"/>
      <c r="F54" s="2970"/>
      <c r="G54" s="2970"/>
      <c r="H54" s="2970"/>
      <c r="I54" s="2970"/>
      <c r="J54" s="233"/>
      <c r="K54" s="234"/>
      <c r="L54" s="2375"/>
      <c r="M54" s="2375"/>
    </row>
    <row r="55" spans="1:13" x14ac:dyDescent="0.2">
      <c r="A55"/>
      <c r="B55" s="2971" t="s">
        <v>4710</v>
      </c>
      <c r="C55" s="2971"/>
      <c r="D55" s="2971"/>
      <c r="E55" s="2971"/>
      <c r="F55" s="2971"/>
      <c r="G55" s="2971"/>
      <c r="H55" s="2971"/>
      <c r="I55" s="2971"/>
      <c r="J55" s="233">
        <f>SUM(L55:M55)</f>
        <v>0</v>
      </c>
      <c r="K55" s="234"/>
      <c r="L55" s="233"/>
      <c r="M55" s="233">
        <f>'906-6C'!J55</f>
        <v>0</v>
      </c>
    </row>
    <row r="56" spans="1:13" x14ac:dyDescent="0.2">
      <c r="A56"/>
      <c r="B56" s="2971" t="s">
        <v>4675</v>
      </c>
      <c r="C56" s="2971"/>
      <c r="D56" s="2971"/>
      <c r="E56" s="2971"/>
      <c r="F56" s="2971"/>
      <c r="G56" s="2971"/>
      <c r="H56" s="2971"/>
      <c r="I56" s="2971"/>
      <c r="J56" s="233">
        <f>SUM(L56:M56)</f>
        <v>0</v>
      </c>
      <c r="K56" s="234"/>
      <c r="L56" s="233">
        <f>'906-6B'!J55</f>
        <v>0</v>
      </c>
      <c r="M56" s="233"/>
    </row>
    <row r="57" spans="1:13" ht="13.5" thickBot="1" x14ac:dyDescent="0.25">
      <c r="A57"/>
      <c r="B57" s="2972" t="s">
        <v>1630</v>
      </c>
      <c r="C57" s="2972"/>
      <c r="D57" s="2972"/>
      <c r="E57" s="2972"/>
      <c r="F57" s="2972"/>
      <c r="G57" s="2972"/>
      <c r="H57" s="2972"/>
      <c r="I57" s="2972"/>
      <c r="J57" s="404">
        <f>SUM(J54:J56)</f>
        <v>0</v>
      </c>
      <c r="K57" s="234"/>
      <c r="L57" s="404">
        <f>SUM(L54:L56)</f>
        <v>0</v>
      </c>
      <c r="M57" s="404">
        <f>SUM(M54:M56)</f>
        <v>0</v>
      </c>
    </row>
    <row r="58" spans="1:13" ht="13.5" thickTop="1" x14ac:dyDescent="0.2">
      <c r="A58"/>
      <c r="B58" s="2369"/>
      <c r="C58" s="2369"/>
      <c r="D58" s="2369"/>
      <c r="E58" s="2369"/>
      <c r="F58" s="2369"/>
      <c r="G58" s="2369"/>
      <c r="H58" s="2369"/>
      <c r="I58" s="2369"/>
      <c r="J58" s="233"/>
      <c r="K58" s="234"/>
      <c r="L58" s="2347"/>
      <c r="M58" s="2347"/>
    </row>
    <row r="59" spans="1:13" x14ac:dyDescent="0.2">
      <c r="A59"/>
      <c r="B59" s="2972" t="s">
        <v>4677</v>
      </c>
      <c r="C59" s="2972"/>
      <c r="D59" s="2972"/>
      <c r="E59" s="2972"/>
      <c r="F59" s="2972"/>
      <c r="G59" s="2972"/>
      <c r="H59" s="2972"/>
      <c r="I59" s="2972"/>
      <c r="J59" s="766" t="str">
        <f>IF(ROUND(J39-J51,2)=J57,"In Balance","NOT BALANCED")</f>
        <v>In Balance</v>
      </c>
      <c r="K59" s="234"/>
      <c r="L59" s="766" t="str">
        <f>IF(ROUND(L39-L51,2)=L57,"In Balance","NOT BALANCED")</f>
        <v>In Balance</v>
      </c>
      <c r="M59" s="766" t="str">
        <f>IF(ROUND(M39-M51,2)=M57,"In Balance","NOT BALANCED")</f>
        <v>In Balance</v>
      </c>
    </row>
    <row r="60" spans="1:13" x14ac:dyDescent="0.2">
      <c r="A60"/>
      <c r="B60"/>
      <c r="C60"/>
      <c r="D60"/>
      <c r="E60"/>
      <c r="F60"/>
      <c r="G60"/>
      <c r="H60"/>
      <c r="I60"/>
      <c r="J60" s="799" t="s">
        <v>4718</v>
      </c>
      <c r="K60"/>
      <c r="L60" s="740" t="s">
        <v>4719</v>
      </c>
      <c r="M60" s="740" t="s">
        <v>4720</v>
      </c>
    </row>
    <row r="61" spans="1:13" x14ac:dyDescent="0.2">
      <c r="A61"/>
      <c r="B61" s="803" t="s">
        <v>4678</v>
      </c>
      <c r="C61"/>
      <c r="D61"/>
      <c r="E61"/>
      <c r="F61"/>
      <c r="G61"/>
      <c r="H61"/>
      <c r="I61"/>
      <c r="J61" s="763" t="str">
        <f>CONCATENATE("FYE ",+TEXT(Data!$A$2,"mmmm d,yyyy"))</f>
        <v>FYE June 30,2023</v>
      </c>
      <c r="K61" s="234"/>
      <c r="L61" s="763" t="str">
        <f>CONCATENATE("FYE ",+TEXT(Data!$A$2,"mmmm d,yyyy"))</f>
        <v>FYE June 30,2023</v>
      </c>
      <c r="M61" s="763" t="str">
        <f>CONCATENATE("FYE ",+TEXT(Data!$A$2,"mmmm d,yyyy"))</f>
        <v>FYE June 30,2023</v>
      </c>
    </row>
    <row r="62" spans="1:13" x14ac:dyDescent="0.2">
      <c r="A62"/>
      <c r="B62" s="2973" t="s">
        <v>4679</v>
      </c>
      <c r="C62" s="2973"/>
      <c r="D62" s="2973"/>
      <c r="E62" s="2973"/>
      <c r="F62" s="2973"/>
      <c r="G62" s="2973"/>
      <c r="H62" s="2973"/>
      <c r="I62" s="2973"/>
      <c r="J62" s="233"/>
      <c r="K62" s="234"/>
      <c r="L62" s="2347"/>
      <c r="M62" s="2347"/>
    </row>
    <row r="63" spans="1:13" x14ac:dyDescent="0.2">
      <c r="A63"/>
      <c r="B63" s="2947" t="s">
        <v>4680</v>
      </c>
      <c r="C63" s="2947"/>
      <c r="D63" s="2947"/>
      <c r="E63" s="2947"/>
      <c r="F63" s="2947"/>
      <c r="G63" s="2947"/>
      <c r="H63" s="2947"/>
      <c r="I63" s="2947"/>
      <c r="J63" s="475">
        <f>SUM(L63+M63)</f>
        <v>0</v>
      </c>
      <c r="K63" s="234"/>
      <c r="L63" s="475">
        <f>'906-6B'!J62</f>
        <v>0</v>
      </c>
      <c r="M63" s="475">
        <f>'906-6C'!J62</f>
        <v>0</v>
      </c>
    </row>
    <row r="64" spans="1:13" x14ac:dyDescent="0.2">
      <c r="A64"/>
      <c r="B64" s="2947" t="s">
        <v>4681</v>
      </c>
      <c r="C64" s="2947"/>
      <c r="D64" s="2947"/>
      <c r="E64" s="2947"/>
      <c r="F64" s="2947"/>
      <c r="G64" s="2947"/>
      <c r="H64" s="2947"/>
      <c r="I64" s="2947"/>
      <c r="J64" s="233">
        <f>SUM(L64:M64)</f>
        <v>0</v>
      </c>
      <c r="K64" s="234"/>
      <c r="L64" s="233">
        <f>'906-6B'!J63</f>
        <v>0</v>
      </c>
      <c r="M64" s="233">
        <f>'906-6C'!J63</f>
        <v>0</v>
      </c>
    </row>
    <row r="65" spans="1:13" x14ac:dyDescent="0.2">
      <c r="A65"/>
      <c r="B65" s="2955" t="s">
        <v>4682</v>
      </c>
      <c r="C65" s="2955"/>
      <c r="D65" s="2955"/>
      <c r="E65" s="2955"/>
      <c r="F65" s="2955"/>
      <c r="G65" s="2955"/>
      <c r="H65" s="2955"/>
      <c r="I65" s="2955"/>
      <c r="J65" s="233">
        <f>SUM(L65:M65)</f>
        <v>0</v>
      </c>
      <c r="K65" s="234"/>
      <c r="L65" s="233">
        <f>'906-6B'!J64</f>
        <v>0</v>
      </c>
      <c r="M65" s="233">
        <f>'906-6C'!J64</f>
        <v>0</v>
      </c>
    </row>
    <row r="66" spans="1:13" x14ac:dyDescent="0.2">
      <c r="A66"/>
      <c r="B66" s="2947" t="s">
        <v>4683</v>
      </c>
      <c r="C66" s="2947"/>
      <c r="D66" s="2947"/>
      <c r="E66" s="2947"/>
      <c r="F66" s="2947"/>
      <c r="G66" s="2947"/>
      <c r="H66" s="2947"/>
      <c r="I66" s="2947"/>
      <c r="J66" s="233">
        <f>SUM(L66:M66)</f>
        <v>0</v>
      </c>
      <c r="K66" s="234"/>
      <c r="L66" s="233">
        <f>'906-6B'!J65</f>
        <v>0</v>
      </c>
      <c r="M66" s="233">
        <f>'906-6C'!J65</f>
        <v>0</v>
      </c>
    </row>
    <row r="67" spans="1:13" x14ac:dyDescent="0.2">
      <c r="A67"/>
      <c r="B67" s="2947" t="s">
        <v>4684</v>
      </c>
      <c r="C67" s="2947"/>
      <c r="D67" s="2947"/>
      <c r="E67" s="2947"/>
      <c r="F67" s="2947"/>
      <c r="G67" s="2947"/>
      <c r="H67" s="2947"/>
      <c r="I67" s="2947"/>
      <c r="J67" s="403">
        <f>SUM(J63:J66)</f>
        <v>0</v>
      </c>
      <c r="K67" s="234"/>
      <c r="L67" s="403">
        <f>SUM(L63:L66)</f>
        <v>0</v>
      </c>
      <c r="M67" s="403">
        <f>SUM(M63:M66)</f>
        <v>0</v>
      </c>
    </row>
    <row r="68" spans="1:13" x14ac:dyDescent="0.2">
      <c r="A68"/>
      <c r="B68" s="2973" t="s">
        <v>4685</v>
      </c>
      <c r="C68" s="2973"/>
      <c r="D68" s="2973"/>
      <c r="E68" s="2973"/>
      <c r="F68" s="2973"/>
      <c r="G68" s="2973"/>
      <c r="H68" s="2973"/>
      <c r="I68" s="2973"/>
      <c r="J68" s="233"/>
      <c r="K68" s="234"/>
      <c r="L68" s="2347"/>
      <c r="M68" s="2347"/>
    </row>
    <row r="69" spans="1:13" x14ac:dyDescent="0.2">
      <c r="A69"/>
      <c r="B69" s="2947" t="s">
        <v>4686</v>
      </c>
      <c r="C69" s="2947"/>
      <c r="D69" s="2947"/>
      <c r="E69" s="2947"/>
      <c r="F69" s="2947"/>
      <c r="G69" s="2947"/>
      <c r="H69" s="2947"/>
      <c r="I69" s="2947"/>
      <c r="J69" s="233">
        <f>SUM(L69:M69)</f>
        <v>0</v>
      </c>
      <c r="K69" s="234"/>
      <c r="L69" s="233">
        <f>'906-6B'!J68</f>
        <v>0</v>
      </c>
      <c r="M69" s="233">
        <f>'906-6C'!J68</f>
        <v>0</v>
      </c>
    </row>
    <row r="70" spans="1:13" x14ac:dyDescent="0.2">
      <c r="A70"/>
      <c r="B70" s="2947" t="s">
        <v>4687</v>
      </c>
      <c r="C70" s="2947"/>
      <c r="D70" s="2947"/>
      <c r="E70" s="2947"/>
      <c r="F70" s="2947"/>
      <c r="G70" s="2947"/>
      <c r="H70" s="2947"/>
      <c r="I70" s="2947"/>
      <c r="J70" s="233">
        <f>SUM(L70:M70)</f>
        <v>0</v>
      </c>
      <c r="K70" s="234"/>
      <c r="L70" s="233">
        <f>'906-6B'!J69</f>
        <v>0</v>
      </c>
      <c r="M70" s="233">
        <f>'906-6C'!J69</f>
        <v>0</v>
      </c>
    </row>
    <row r="71" spans="1:13" x14ac:dyDescent="0.2">
      <c r="A71"/>
      <c r="B71" s="2947" t="s">
        <v>4688</v>
      </c>
      <c r="C71" s="2947"/>
      <c r="D71" s="2947"/>
      <c r="E71" s="2947"/>
      <c r="F71" s="2947"/>
      <c r="G71" s="2947"/>
      <c r="H71" s="2947"/>
      <c r="I71" s="2947"/>
      <c r="J71" s="403">
        <f>SUM(J69:J70)</f>
        <v>0</v>
      </c>
      <c r="K71" s="234"/>
      <c r="L71" s="403">
        <f>SUM(L69:L70)</f>
        <v>0</v>
      </c>
      <c r="M71" s="403">
        <f>SUM(M69:M70)</f>
        <v>0</v>
      </c>
    </row>
    <row r="72" spans="1:13" x14ac:dyDescent="0.2">
      <c r="A72"/>
      <c r="B72" s="2973" t="s">
        <v>4689</v>
      </c>
      <c r="C72" s="2973"/>
      <c r="D72" s="2973"/>
      <c r="E72" s="2973"/>
      <c r="F72" s="2973"/>
      <c r="G72" s="2973"/>
      <c r="H72" s="2973"/>
      <c r="I72" s="2973"/>
      <c r="J72" s="233"/>
      <c r="K72" s="234"/>
      <c r="L72" s="2375"/>
      <c r="M72" s="2375"/>
    </row>
    <row r="73" spans="1:13" x14ac:dyDescent="0.2">
      <c r="A73"/>
      <c r="B73" s="2947" t="s">
        <v>4690</v>
      </c>
      <c r="C73" s="2947"/>
      <c r="D73" s="2947"/>
      <c r="E73" s="2947"/>
      <c r="F73" s="2947"/>
      <c r="G73" s="2947"/>
      <c r="H73" s="2947"/>
      <c r="I73" s="2947"/>
      <c r="J73" s="233">
        <f>SUM(L73:M73)</f>
        <v>0</v>
      </c>
      <c r="K73" s="234"/>
      <c r="L73" s="233">
        <f>'906-6B'!J72</f>
        <v>0</v>
      </c>
      <c r="M73" s="233">
        <f>'906-6C'!J72</f>
        <v>0</v>
      </c>
    </row>
    <row r="74" spans="1:13" x14ac:dyDescent="0.2">
      <c r="A74"/>
      <c r="B74" s="2947" t="s">
        <v>4691</v>
      </c>
      <c r="C74" s="2947"/>
      <c r="D74" s="2947"/>
      <c r="E74" s="2947"/>
      <c r="F74" s="2947"/>
      <c r="G74" s="2947"/>
      <c r="H74" s="2947"/>
      <c r="I74" s="2947"/>
      <c r="J74" s="233">
        <f>SUM(L74:M74)</f>
        <v>0</v>
      </c>
      <c r="K74" s="234"/>
      <c r="L74" s="233">
        <f>'906-6B'!J73</f>
        <v>0</v>
      </c>
      <c r="M74" s="233">
        <f>'906-6C'!J73</f>
        <v>0</v>
      </c>
    </row>
    <row r="75" spans="1:13" x14ac:dyDescent="0.2">
      <c r="A75"/>
      <c r="B75" s="2947" t="s">
        <v>4692</v>
      </c>
      <c r="C75" s="2947"/>
      <c r="D75" s="2947"/>
      <c r="E75" s="2947"/>
      <c r="F75" s="2947"/>
      <c r="G75" s="2947"/>
      <c r="H75" s="2947"/>
      <c r="I75" s="2947"/>
      <c r="J75" s="233">
        <f>SUM(L75:M75)</f>
        <v>0</v>
      </c>
      <c r="K75" s="234"/>
      <c r="L75" s="233">
        <f>'906-6B'!J74</f>
        <v>0</v>
      </c>
      <c r="M75" s="233">
        <f>'906-6C'!J74</f>
        <v>0</v>
      </c>
    </row>
    <row r="76" spans="1:13" x14ac:dyDescent="0.2">
      <c r="A76"/>
      <c r="B76" s="2947" t="s">
        <v>4693</v>
      </c>
      <c r="C76" s="2947"/>
      <c r="D76" s="2947"/>
      <c r="E76" s="2947"/>
      <c r="F76" s="2947"/>
      <c r="G76" s="2947"/>
      <c r="H76" s="2947"/>
      <c r="I76" s="2947"/>
      <c r="J76" s="403">
        <f>SUM(J73:J75)</f>
        <v>0</v>
      </c>
      <c r="K76" s="234"/>
      <c r="L76" s="403">
        <f>SUM(L73:L75)</f>
        <v>0</v>
      </c>
      <c r="M76" s="403">
        <f>SUM(M73:M75)</f>
        <v>0</v>
      </c>
    </row>
    <row r="77" spans="1:13" x14ac:dyDescent="0.2">
      <c r="A77"/>
      <c r="B77" s="2947" t="s">
        <v>4694</v>
      </c>
      <c r="C77" s="2947"/>
      <c r="D77" s="2947"/>
      <c r="E77" s="2947"/>
      <c r="F77" s="2947"/>
      <c r="G77" s="2947"/>
      <c r="H77" s="2947"/>
      <c r="I77" s="2947"/>
      <c r="J77" s="403">
        <f>J67+J71+J76</f>
        <v>0</v>
      </c>
      <c r="K77" s="234"/>
      <c r="L77" s="403">
        <f>L67+L71+L76</f>
        <v>0</v>
      </c>
      <c r="M77" s="403">
        <f>M67+M71+M76</f>
        <v>0</v>
      </c>
    </row>
    <row r="78" spans="1:13" x14ac:dyDescent="0.2">
      <c r="A78"/>
      <c r="B78" s="2347"/>
      <c r="C78"/>
      <c r="D78"/>
      <c r="E78"/>
      <c r="F78"/>
      <c r="G78"/>
      <c r="H78"/>
      <c r="I78"/>
      <c r="J78" s="233"/>
      <c r="K78" s="234"/>
      <c r="L78" s="2347"/>
      <c r="M78" s="2347"/>
    </row>
    <row r="79" spans="1:13" x14ac:dyDescent="0.2">
      <c r="A79"/>
      <c r="B79" s="2975" t="s">
        <v>4695</v>
      </c>
      <c r="C79" s="2975"/>
      <c r="D79" s="2975"/>
      <c r="E79" s="2975"/>
      <c r="F79" s="2975"/>
      <c r="G79" s="2975"/>
      <c r="H79" s="2975"/>
      <c r="I79" s="2975"/>
      <c r="J79" s="233"/>
      <c r="K79" s="234"/>
      <c r="L79" s="2347"/>
      <c r="M79" s="2347"/>
    </row>
    <row r="80" spans="1:13" x14ac:dyDescent="0.2">
      <c r="A80"/>
      <c r="B80" s="2947" t="s">
        <v>2784</v>
      </c>
      <c r="C80" s="2947"/>
      <c r="D80" s="2947"/>
      <c r="E80" s="2947"/>
      <c r="F80" s="2947"/>
      <c r="G80" s="2947"/>
      <c r="H80" s="2947"/>
      <c r="I80" s="2947"/>
      <c r="J80" s="233">
        <f>SUM(L80:M80)</f>
        <v>0</v>
      </c>
      <c r="K80" s="234"/>
      <c r="L80" s="233">
        <f>'906-6B'!J79</f>
        <v>0</v>
      </c>
      <c r="M80" s="233">
        <f>'906-6C'!J79</f>
        <v>0</v>
      </c>
    </row>
    <row r="81" spans="1:13" x14ac:dyDescent="0.2">
      <c r="A81"/>
      <c r="B81" s="2947" t="s">
        <v>4316</v>
      </c>
      <c r="C81" s="2947"/>
      <c r="D81" s="2947"/>
      <c r="E81" s="2947"/>
      <c r="F81" s="2947"/>
      <c r="G81" s="2947"/>
      <c r="H81" s="2947"/>
      <c r="I81" s="2947"/>
      <c r="J81" s="233">
        <f>SUM(L81:M81)</f>
        <v>0</v>
      </c>
      <c r="K81" s="234"/>
      <c r="L81" s="233">
        <f>'906-6B'!J80</f>
        <v>0</v>
      </c>
      <c r="M81" s="233">
        <f>'906-6C'!J80</f>
        <v>0</v>
      </c>
    </row>
    <row r="82" spans="1:13" x14ac:dyDescent="0.2">
      <c r="A82"/>
      <c r="B82" s="2947" t="s">
        <v>4696</v>
      </c>
      <c r="C82" s="2947"/>
      <c r="D82" s="2947"/>
      <c r="E82" s="2947"/>
      <c r="F82" s="2947"/>
      <c r="G82" s="2947"/>
      <c r="H82" s="2947"/>
      <c r="I82" s="2947"/>
      <c r="J82" s="233">
        <f>SUM(L82:M82)</f>
        <v>0</v>
      </c>
      <c r="K82" s="234"/>
      <c r="L82" s="233">
        <f>'906-6B'!J81</f>
        <v>0</v>
      </c>
      <c r="M82" s="233">
        <f>'906-6C'!J81</f>
        <v>0</v>
      </c>
    </row>
    <row r="83" spans="1:13" x14ac:dyDescent="0.2">
      <c r="A83"/>
      <c r="B83" s="2947" t="s">
        <v>4698</v>
      </c>
      <c r="C83" s="2947"/>
      <c r="D83" s="2947"/>
      <c r="E83" s="2947"/>
      <c r="F83" s="2947"/>
      <c r="G83" s="2947"/>
      <c r="H83" s="2947"/>
      <c r="I83" s="2947"/>
      <c r="J83" s="233">
        <f>SUM(L83:M83)</f>
        <v>0</v>
      </c>
      <c r="K83" s="234"/>
      <c r="L83" s="233">
        <f>'906-6B'!J82</f>
        <v>0</v>
      </c>
      <c r="M83" s="233">
        <f>'906-6C'!J82</f>
        <v>0</v>
      </c>
    </row>
    <row r="84" spans="1:13" x14ac:dyDescent="0.2">
      <c r="A84"/>
      <c r="B84" s="2947" t="s">
        <v>4699</v>
      </c>
      <c r="C84" s="2947"/>
      <c r="D84" s="2947"/>
      <c r="E84" s="2947"/>
      <c r="F84" s="2947"/>
      <c r="G84" s="2947"/>
      <c r="H84" s="2947"/>
      <c r="I84" s="2947"/>
      <c r="J84" s="403">
        <f>SUM(J80:J83)</f>
        <v>0</v>
      </c>
      <c r="K84" s="234"/>
      <c r="L84" s="403">
        <f>SUM(L80:L83)</f>
        <v>0</v>
      </c>
      <c r="M84" s="403">
        <f>SUM(M80:M83)</f>
        <v>0</v>
      </c>
    </row>
    <row r="85" spans="1:13" x14ac:dyDescent="0.2">
      <c r="A85"/>
      <c r="B85" s="2947" t="s">
        <v>4700</v>
      </c>
      <c r="C85" s="2947"/>
      <c r="D85" s="2947"/>
      <c r="E85" s="2947"/>
      <c r="F85" s="2947"/>
      <c r="G85" s="2947"/>
      <c r="H85" s="2947"/>
      <c r="I85" s="2947"/>
      <c r="J85" s="760">
        <f>J77-J84</f>
        <v>0</v>
      </c>
      <c r="K85" s="234"/>
      <c r="L85" s="760">
        <f>L77-L84</f>
        <v>0</v>
      </c>
      <c r="M85" s="760">
        <f>M77-M84</f>
        <v>0</v>
      </c>
    </row>
    <row r="86" spans="1:13" x14ac:dyDescent="0.2">
      <c r="A86"/>
      <c r="B86" s="2971" t="s">
        <v>4701</v>
      </c>
      <c r="C86" s="2971"/>
      <c r="D86" s="2971"/>
      <c r="E86" s="2971"/>
      <c r="F86" s="2971"/>
      <c r="G86" s="2971"/>
      <c r="H86" s="2971"/>
      <c r="I86" s="2971"/>
      <c r="J86" s="233">
        <f>SUM(L86:M86)</f>
        <v>16651968597</v>
      </c>
      <c r="K86" s="234"/>
      <c r="L86" s="233">
        <f>'906-6B'!J85</f>
        <v>1987955327.1900001</v>
      </c>
      <c r="M86" s="233">
        <f>'906-6C'!J85</f>
        <v>14664013269.809999</v>
      </c>
    </row>
    <row r="87" spans="1:13" x14ac:dyDescent="0.2">
      <c r="A87"/>
      <c r="B87" s="2971" t="s">
        <v>4702</v>
      </c>
      <c r="C87" s="2971"/>
      <c r="D87" s="2971"/>
      <c r="E87" s="2971"/>
      <c r="F87" s="2971"/>
      <c r="G87" s="2971"/>
      <c r="H87" s="2971"/>
      <c r="I87" s="2971"/>
      <c r="J87" s="233">
        <f>SUM(L87:M87)</f>
        <v>0</v>
      </c>
      <c r="K87" s="234"/>
      <c r="L87" s="233">
        <f>'906-6B'!J86</f>
        <v>0</v>
      </c>
      <c r="M87" s="233">
        <f>'906-6C'!J86</f>
        <v>0</v>
      </c>
    </row>
    <row r="88" spans="1:13" ht="13.5" thickBot="1" x14ac:dyDescent="0.25">
      <c r="A88"/>
      <c r="B88" s="2971" t="s">
        <v>4703</v>
      </c>
      <c r="C88" s="2971"/>
      <c r="D88" s="2971"/>
      <c r="E88" s="2971"/>
      <c r="F88" s="2971"/>
      <c r="G88" s="2971"/>
      <c r="H88" s="2971"/>
      <c r="I88" s="2971"/>
      <c r="J88" s="405">
        <f>SUM(J85:J87)</f>
        <v>16651968597</v>
      </c>
      <c r="K88" s="234"/>
      <c r="L88" s="405">
        <f>SUM(L85:L87)</f>
        <v>1987955327.1900001</v>
      </c>
      <c r="M88" s="405">
        <f>SUM(M85:M87)</f>
        <v>14664013269.809999</v>
      </c>
    </row>
    <row r="89" spans="1:13" ht="13.5" thickTop="1" x14ac:dyDescent="0.2">
      <c r="A89"/>
      <c r="B89"/>
      <c r="C89"/>
      <c r="D89"/>
      <c r="E89"/>
      <c r="F89"/>
      <c r="G89"/>
      <c r="H89"/>
      <c r="I89"/>
      <c r="J89" s="233"/>
      <c r="K89" s="239"/>
      <c r="L89" s="239"/>
      <c r="M89" s="239"/>
    </row>
    <row r="90" spans="1:13" x14ac:dyDescent="0.2">
      <c r="A90"/>
      <c r="B90"/>
      <c r="C90"/>
      <c r="D90"/>
      <c r="E90"/>
      <c r="F90"/>
      <c r="G90"/>
      <c r="H90"/>
      <c r="I90"/>
      <c r="J90" s="233"/>
      <c r="K90" s="191"/>
      <c r="L90" s="191"/>
      <c r="M90" s="191"/>
    </row>
    <row r="91" spans="1:13" x14ac:dyDescent="0.2">
      <c r="A91"/>
      <c r="B91" s="2972" t="s">
        <v>4721</v>
      </c>
      <c r="C91" s="2972"/>
      <c r="D91" s="2972"/>
      <c r="E91" s="2972"/>
      <c r="F91" s="2972"/>
      <c r="G91" s="2972"/>
      <c r="H91" s="2972"/>
      <c r="I91" s="2972"/>
      <c r="J91" s="766" t="str">
        <f>IF(ROUND(J57-J88,2)=0,"In Balance","NOT BALANCED")</f>
        <v>NOT BALANCED</v>
      </c>
      <c r="K91" s="2375"/>
      <c r="L91" s="766" t="str">
        <f>IF(ROUND(L57-L88,2)=0,"In Balance","NOT BALANCED")</f>
        <v>NOT BALANCED</v>
      </c>
      <c r="M91" s="766" t="str">
        <f>IF(ROUND(M57-M88,2)=0,"In Balance","NOT BALANCED")</f>
        <v>NOT BALANCED</v>
      </c>
    </row>
    <row r="92" spans="1:13" x14ac:dyDescent="0.2">
      <c r="B92"/>
      <c r="C92"/>
      <c r="D92"/>
      <c r="E92"/>
      <c r="F92"/>
      <c r="G92"/>
      <c r="H92"/>
      <c r="I92"/>
      <c r="J92" s="233"/>
      <c r="K92" s="2375"/>
      <c r="L92" s="2375"/>
      <c r="M92" s="2375"/>
    </row>
    <row r="93" spans="1:13" x14ac:dyDescent="0.2">
      <c r="B93" s="2332"/>
      <c r="J93" s="398"/>
      <c r="K93" s="798"/>
      <c r="L93" s="398"/>
      <c r="M93" s="398"/>
    </row>
    <row r="94" spans="1:13" x14ac:dyDescent="0.2">
      <c r="K94" s="2367"/>
      <c r="L94" s="2367"/>
      <c r="M94" s="2367"/>
    </row>
    <row r="95" spans="1:13" x14ac:dyDescent="0.2">
      <c r="K95" s="2367"/>
      <c r="L95" s="2367"/>
      <c r="M95" s="2367"/>
    </row>
    <row r="96" spans="1:13" x14ac:dyDescent="0.2">
      <c r="K96" s="2367"/>
      <c r="L96" s="2367"/>
      <c r="M96" s="2367"/>
    </row>
    <row r="97" spans="11:13" x14ac:dyDescent="0.2">
      <c r="K97" s="2367"/>
      <c r="L97" s="2367"/>
      <c r="M97" s="2367"/>
    </row>
    <row r="98" spans="11:13" x14ac:dyDescent="0.2">
      <c r="K98" s="2367"/>
      <c r="L98" s="2367"/>
      <c r="M98" s="2367"/>
    </row>
    <row r="99" spans="11:13" x14ac:dyDescent="0.2">
      <c r="K99" s="2367"/>
      <c r="L99" s="2367"/>
      <c r="M99" s="2367"/>
    </row>
    <row r="100" spans="11:13" x14ac:dyDescent="0.2">
      <c r="K100" s="2367"/>
      <c r="L100" s="2367"/>
      <c r="M100" s="2367"/>
    </row>
    <row r="101" spans="11:13" x14ac:dyDescent="0.2">
      <c r="K101" s="2367"/>
      <c r="L101" s="2367"/>
      <c r="M101" s="2367"/>
    </row>
    <row r="102" spans="11:13" x14ac:dyDescent="0.2">
      <c r="K102" s="2367"/>
      <c r="L102" s="2367"/>
      <c r="M102" s="2367"/>
    </row>
    <row r="103" spans="11:13" x14ac:dyDescent="0.2">
      <c r="K103" s="393"/>
      <c r="L103" s="393"/>
      <c r="M103" s="393"/>
    </row>
    <row r="104" spans="11:13" x14ac:dyDescent="0.2">
      <c r="K104" s="392"/>
      <c r="L104" s="392"/>
      <c r="M104" s="392"/>
    </row>
    <row r="105" spans="11:13" x14ac:dyDescent="0.2">
      <c r="K105" s="2367"/>
      <c r="L105" s="2367"/>
      <c r="M105" s="2367"/>
    </row>
    <row r="106" spans="11:13" x14ac:dyDescent="0.2">
      <c r="K106" s="393"/>
      <c r="L106" s="393"/>
      <c r="M106" s="393"/>
    </row>
    <row r="107" spans="11:13" x14ac:dyDescent="0.2">
      <c r="K107" s="393"/>
      <c r="L107" s="393"/>
      <c r="M107" s="393"/>
    </row>
    <row r="108" spans="11:13" x14ac:dyDescent="0.2">
      <c r="K108" s="2367"/>
      <c r="L108" s="2367"/>
      <c r="M108" s="2367"/>
    </row>
    <row r="109" spans="11:13" x14ac:dyDescent="0.2">
      <c r="K109" s="393"/>
      <c r="L109" s="393"/>
      <c r="M109" s="393"/>
    </row>
    <row r="110" spans="11:13" x14ac:dyDescent="0.2">
      <c r="K110" s="2367"/>
      <c r="L110" s="2367"/>
      <c r="M110" s="2367"/>
    </row>
    <row r="111" spans="11:13" x14ac:dyDescent="0.2">
      <c r="K111" s="2367"/>
      <c r="L111" s="2367"/>
      <c r="M111" s="2367"/>
    </row>
    <row r="112" spans="11:13" x14ac:dyDescent="0.2">
      <c r="K112" s="2367"/>
      <c r="L112" s="2367"/>
      <c r="M112" s="2367"/>
    </row>
    <row r="113" spans="11:13" x14ac:dyDescent="0.2">
      <c r="K113" s="2367"/>
      <c r="L113" s="2367"/>
      <c r="M113" s="2367"/>
    </row>
    <row r="114" spans="11:13" x14ac:dyDescent="0.2">
      <c r="K114" s="2367"/>
      <c r="L114" s="2367"/>
      <c r="M114" s="2367"/>
    </row>
    <row r="115" spans="11:13" x14ac:dyDescent="0.2">
      <c r="K115" s="2367"/>
      <c r="L115" s="2367"/>
      <c r="M115" s="2367"/>
    </row>
    <row r="116" spans="11:13" x14ac:dyDescent="0.2">
      <c r="K116" s="2367"/>
      <c r="L116" s="2367"/>
      <c r="M116" s="2367"/>
    </row>
    <row r="117" spans="11:13" x14ac:dyDescent="0.2">
      <c r="K117" s="2367"/>
      <c r="L117" s="2367"/>
      <c r="M117" s="2367"/>
    </row>
    <row r="118" spans="11:13" x14ac:dyDescent="0.2">
      <c r="K118" s="393"/>
      <c r="L118" s="393"/>
      <c r="M118" s="393"/>
    </row>
    <row r="119" spans="11:13" x14ac:dyDescent="0.2">
      <c r="K119" s="393"/>
      <c r="L119" s="393"/>
      <c r="M119" s="393"/>
    </row>
    <row r="121" spans="11:13" x14ac:dyDescent="0.2">
      <c r="K121" s="400"/>
      <c r="L121" s="400"/>
      <c r="M121" s="400"/>
    </row>
    <row r="122" spans="11:13" x14ac:dyDescent="0.2">
      <c r="K122" s="400"/>
      <c r="L122" s="400"/>
      <c r="M122" s="400"/>
    </row>
    <row r="123" spans="11:13" x14ac:dyDescent="0.2">
      <c r="K123" s="400"/>
      <c r="L123" s="400"/>
      <c r="M123" s="400"/>
    </row>
    <row r="124" spans="11:13" x14ac:dyDescent="0.2">
      <c r="K124" s="400"/>
      <c r="L124" s="400"/>
      <c r="M124" s="400"/>
    </row>
    <row r="125" spans="11:13" x14ac:dyDescent="0.2">
      <c r="K125" s="2367"/>
      <c r="L125" s="2367"/>
      <c r="M125" s="2367"/>
    </row>
    <row r="126" spans="11:13" x14ac:dyDescent="0.2">
      <c r="K126" s="402"/>
      <c r="L126" s="402"/>
      <c r="M126" s="402"/>
    </row>
    <row r="127" spans="11:13" x14ac:dyDescent="0.2">
      <c r="K127" s="2367"/>
      <c r="L127" s="2367"/>
      <c r="M127" s="2367"/>
    </row>
    <row r="128" spans="11:13" x14ac:dyDescent="0.2">
      <c r="K128" s="2367"/>
      <c r="L128" s="2367"/>
      <c r="M128" s="2367"/>
    </row>
    <row r="129" spans="11:13" x14ac:dyDescent="0.2">
      <c r="K129" s="2367"/>
      <c r="L129" s="2367"/>
      <c r="M129" s="2367"/>
    </row>
    <row r="130" spans="11:13" x14ac:dyDescent="0.2">
      <c r="K130" s="2367"/>
      <c r="L130" s="2367"/>
      <c r="M130" s="2367"/>
    </row>
    <row r="131" spans="11:13" x14ac:dyDescent="0.2">
      <c r="K131" s="2367"/>
      <c r="L131" s="2367"/>
      <c r="M131" s="2367"/>
    </row>
    <row r="132" spans="11:13" x14ac:dyDescent="0.2">
      <c r="K132" s="2367"/>
      <c r="L132" s="2367"/>
      <c r="M132" s="2367"/>
    </row>
    <row r="133" spans="11:13" x14ac:dyDescent="0.2">
      <c r="K133" s="2367"/>
      <c r="L133" s="2367"/>
      <c r="M133" s="2367"/>
    </row>
    <row r="134" spans="11:13" x14ac:dyDescent="0.2">
      <c r="K134" s="2367"/>
      <c r="L134" s="2367"/>
      <c r="M134" s="2367"/>
    </row>
    <row r="135" spans="11:13" x14ac:dyDescent="0.2">
      <c r="K135" s="2367"/>
      <c r="L135" s="2367"/>
      <c r="M135" s="2367"/>
    </row>
    <row r="136" spans="11:13" x14ac:dyDescent="0.2">
      <c r="K136" s="402"/>
      <c r="L136" s="402"/>
      <c r="M136" s="402"/>
    </row>
    <row r="137" spans="11:13" x14ac:dyDescent="0.2">
      <c r="K137" s="2367"/>
      <c r="L137" s="2367"/>
      <c r="M137" s="2367"/>
    </row>
    <row r="138" spans="11:13" x14ac:dyDescent="0.2">
      <c r="K138" s="2367"/>
      <c r="L138" s="2367"/>
      <c r="M138" s="2367"/>
    </row>
    <row r="139" spans="11:13" x14ac:dyDescent="0.2">
      <c r="K139" s="2367"/>
      <c r="L139" s="2367"/>
      <c r="M139" s="2367"/>
    </row>
    <row r="140" spans="11:13" x14ac:dyDescent="0.2">
      <c r="K140" s="2367"/>
      <c r="L140" s="2367"/>
      <c r="M140" s="2367"/>
    </row>
    <row r="141" spans="11:13" x14ac:dyDescent="0.2">
      <c r="K141" s="2367"/>
      <c r="L141" s="2367"/>
      <c r="M141" s="2367"/>
    </row>
    <row r="142" spans="11:13" x14ac:dyDescent="0.2">
      <c r="K142" s="2367"/>
      <c r="L142" s="2367"/>
      <c r="M142" s="2367"/>
    </row>
    <row r="143" spans="11:13" x14ac:dyDescent="0.2">
      <c r="K143" s="2367"/>
      <c r="L143" s="2367"/>
      <c r="M143" s="2367"/>
    </row>
    <row r="144" spans="11:13" x14ac:dyDescent="0.2">
      <c r="K144" s="2367"/>
      <c r="L144" s="2367"/>
      <c r="M144" s="2367"/>
    </row>
    <row r="145" spans="11:13" x14ac:dyDescent="0.2">
      <c r="K145" s="2367"/>
      <c r="L145" s="2367"/>
      <c r="M145" s="2367"/>
    </row>
    <row r="146" spans="11:13" x14ac:dyDescent="0.2">
      <c r="K146" s="2367"/>
      <c r="L146" s="2367"/>
      <c r="M146" s="2367"/>
    </row>
    <row r="147" spans="11:13" x14ac:dyDescent="0.2">
      <c r="K147" s="2367"/>
      <c r="L147" s="2367"/>
      <c r="M147" s="2367"/>
    </row>
    <row r="148" spans="11:13" x14ac:dyDescent="0.2">
      <c r="K148" s="392"/>
      <c r="L148" s="392"/>
      <c r="M148" s="392"/>
    </row>
    <row r="149" spans="11:13" x14ac:dyDescent="0.2">
      <c r="K149" s="2367"/>
      <c r="L149" s="2367"/>
      <c r="M149" s="2367"/>
    </row>
    <row r="150" spans="11:13" x14ac:dyDescent="0.2">
      <c r="K150" s="2367"/>
      <c r="L150" s="2367"/>
      <c r="M150" s="2367"/>
    </row>
    <row r="151" spans="11:13" x14ac:dyDescent="0.2">
      <c r="K151" s="2367"/>
      <c r="L151" s="2367"/>
      <c r="M151" s="2367"/>
    </row>
    <row r="152" spans="11:13" x14ac:dyDescent="0.2">
      <c r="K152" s="2367"/>
      <c r="L152" s="2367"/>
      <c r="M152" s="2367"/>
    </row>
    <row r="153" spans="11:13" x14ac:dyDescent="0.2">
      <c r="K153" s="2367"/>
      <c r="L153" s="2367"/>
      <c r="M153" s="2367"/>
    </row>
    <row r="154" spans="11:13" x14ac:dyDescent="0.2">
      <c r="K154" s="2367"/>
      <c r="L154" s="2367"/>
      <c r="M154" s="2367"/>
    </row>
    <row r="155" spans="11:13" x14ac:dyDescent="0.2">
      <c r="K155" s="2367"/>
      <c r="L155" s="2367"/>
      <c r="M155" s="2367"/>
    </row>
    <row r="156" spans="11:13" x14ac:dyDescent="0.2">
      <c r="K156" s="2367"/>
      <c r="L156" s="2367"/>
      <c r="M156" s="2367"/>
    </row>
    <row r="157" spans="11:13" x14ac:dyDescent="0.2">
      <c r="K157" s="2367"/>
      <c r="L157" s="2367"/>
      <c r="M157" s="2367"/>
    </row>
    <row r="158" spans="11:13" x14ac:dyDescent="0.2">
      <c r="K158" s="2367"/>
      <c r="L158" s="2367"/>
      <c r="M158" s="2367"/>
    </row>
    <row r="159" spans="11:13" x14ac:dyDescent="0.2">
      <c r="K159" s="2367"/>
      <c r="L159" s="2367"/>
      <c r="M159" s="2367"/>
    </row>
    <row r="160" spans="11:13" x14ac:dyDescent="0.2">
      <c r="K160" s="2367"/>
      <c r="L160" s="2367"/>
      <c r="M160" s="2367"/>
    </row>
    <row r="161" spans="11:13" x14ac:dyDescent="0.2">
      <c r="K161" s="2367"/>
      <c r="L161" s="2367"/>
      <c r="M161" s="2367"/>
    </row>
    <row r="162" spans="11:13" x14ac:dyDescent="0.2">
      <c r="K162" s="2367"/>
      <c r="L162" s="2367"/>
      <c r="M162" s="2367"/>
    </row>
    <row r="163" spans="11:13" x14ac:dyDescent="0.2">
      <c r="K163" s="2367"/>
      <c r="L163" s="2367"/>
      <c r="M163" s="2367"/>
    </row>
    <row r="164" spans="11:13" x14ac:dyDescent="0.2">
      <c r="K164" s="2367"/>
      <c r="L164" s="2367"/>
      <c r="M164" s="2367"/>
    </row>
    <row r="165" spans="11:13" x14ac:dyDescent="0.2">
      <c r="K165" s="2367"/>
      <c r="L165" s="2367"/>
      <c r="M165" s="2367"/>
    </row>
    <row r="166" spans="11:13" x14ac:dyDescent="0.2">
      <c r="K166" s="2367"/>
      <c r="L166" s="2367"/>
      <c r="M166" s="2367"/>
    </row>
    <row r="167" spans="11:13" x14ac:dyDescent="0.2">
      <c r="K167" s="2367"/>
      <c r="L167" s="2367"/>
      <c r="M167" s="2367"/>
    </row>
    <row r="168" spans="11:13" x14ac:dyDescent="0.2">
      <c r="K168" s="2367"/>
      <c r="L168" s="2367"/>
      <c r="M168" s="2367"/>
    </row>
    <row r="169" spans="11:13" x14ac:dyDescent="0.2">
      <c r="K169" s="2367"/>
      <c r="L169" s="2367"/>
      <c r="M169" s="2367"/>
    </row>
    <row r="170" spans="11:13" x14ac:dyDescent="0.2">
      <c r="K170" s="2367"/>
      <c r="L170" s="2367"/>
      <c r="M170" s="2367"/>
    </row>
  </sheetData>
  <sheetProtection algorithmName="SHA-512" hashValue="pon1HXZzIq95WVI2PXTWcW42k1wFmNmMV2qCb2sE5a5+EZw8p0qwjmf4ihs0nzhVqYoxJC/F4pMrymCSr9GfDg==" saltValue="OsjHhkgwinr9nYU57ZTQ3Q==" spinCount="100000" sheet="1" objects="1" scenarios="1" autoFilter="0"/>
  <mergeCells count="74">
    <mergeCell ref="B81:I81"/>
    <mergeCell ref="B88:I88"/>
    <mergeCell ref="B91:I91"/>
    <mergeCell ref="B82:I82"/>
    <mergeCell ref="B83:I83"/>
    <mergeCell ref="B84:I84"/>
    <mergeCell ref="B85:I85"/>
    <mergeCell ref="B86:I86"/>
    <mergeCell ref="B87:I87"/>
    <mergeCell ref="B75:I75"/>
    <mergeCell ref="B76:I76"/>
    <mergeCell ref="B77:I77"/>
    <mergeCell ref="B79:I79"/>
    <mergeCell ref="B80:I80"/>
    <mergeCell ref="B70:I70"/>
    <mergeCell ref="B71:I71"/>
    <mergeCell ref="B72:I72"/>
    <mergeCell ref="B73:I73"/>
    <mergeCell ref="B74:I74"/>
    <mergeCell ref="B65:I65"/>
    <mergeCell ref="B66:I66"/>
    <mergeCell ref="B67:I67"/>
    <mergeCell ref="B68:I68"/>
    <mergeCell ref="B69:I69"/>
    <mergeCell ref="B59:I59"/>
    <mergeCell ref="B62:I62"/>
    <mergeCell ref="B55:I55"/>
    <mergeCell ref="B63:I63"/>
    <mergeCell ref="B64:I64"/>
    <mergeCell ref="B50:I50"/>
    <mergeCell ref="B51:I51"/>
    <mergeCell ref="B54:I54"/>
    <mergeCell ref="B56:I56"/>
    <mergeCell ref="B57:I57"/>
    <mergeCell ref="B45:I45"/>
    <mergeCell ref="B46:I46"/>
    <mergeCell ref="B47:I47"/>
    <mergeCell ref="B48:I48"/>
    <mergeCell ref="B49:I49"/>
    <mergeCell ref="B37:I37"/>
    <mergeCell ref="B38:I38"/>
    <mergeCell ref="B39:I39"/>
    <mergeCell ref="B43:I43"/>
    <mergeCell ref="B44:I44"/>
    <mergeCell ref="B32:I32"/>
    <mergeCell ref="B33:I33"/>
    <mergeCell ref="B34:I34"/>
    <mergeCell ref="B35:I35"/>
    <mergeCell ref="B36:I36"/>
    <mergeCell ref="B26:I26"/>
    <mergeCell ref="B27:I27"/>
    <mergeCell ref="B28:I28"/>
    <mergeCell ref="B29:I29"/>
    <mergeCell ref="B31:I31"/>
    <mergeCell ref="B21:I21"/>
    <mergeCell ref="B22:I22"/>
    <mergeCell ref="B23:I23"/>
    <mergeCell ref="B24:I24"/>
    <mergeCell ref="B25:I25"/>
    <mergeCell ref="B16:I16"/>
    <mergeCell ref="B17:I17"/>
    <mergeCell ref="B18:I18"/>
    <mergeCell ref="B19:I19"/>
    <mergeCell ref="B20:I20"/>
    <mergeCell ref="G7:J7"/>
    <mergeCell ref="B11:I11"/>
    <mergeCell ref="B13:I13"/>
    <mergeCell ref="B14:I14"/>
    <mergeCell ref="B15:I15"/>
    <mergeCell ref="B1:J1"/>
    <mergeCell ref="B2:J2"/>
    <mergeCell ref="B3:J3"/>
    <mergeCell ref="H5:J5"/>
    <mergeCell ref="D6:G6"/>
  </mergeCells>
  <conditionalFormatting sqref="K1:K3">
    <cfRule type="cellIs" dxfId="11" priority="1" stopIfTrue="1" operator="equal">
      <formula>"na"</formula>
    </cfRule>
  </conditionalFormatting>
  <hyperlinks>
    <hyperlink ref="B1:J1" location="Index!A1" display="Index!A1" xr:uid="{00000000-0004-0000-4F00-000000000000}"/>
  </hyperlinks>
  <printOptions headings="1"/>
  <pageMargins left="0.75" right="0.5" top="0.5" bottom="0.5" header="0.5" footer="0.25"/>
  <pageSetup scale="91" fitToHeight="2" orientation="portrait" r:id="rId1"/>
  <headerFooter alignWithMargins="0">
    <oddFooter>&amp;R&amp;A (&amp;P of &amp;N)</oddFooter>
  </headerFooter>
  <rowBreaks count="1" manualBreakCount="1">
    <brk id="59" max="1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4">
    <pageSetUpPr fitToPage="1"/>
  </sheetPr>
  <dimension ref="A1:U62"/>
  <sheetViews>
    <sheetView showGridLines="0" zoomScaleNormal="100" workbookViewId="0">
      <selection activeCell="A2" sqref="A2:K2"/>
    </sheetView>
  </sheetViews>
  <sheetFormatPr defaultRowHeight="12.75" x14ac:dyDescent="0.2"/>
  <cols>
    <col min="2" max="2" width="5.5703125" customWidth="1"/>
    <col min="4" max="4" width="3.5703125" customWidth="1"/>
    <col min="5" max="5" width="17.5703125" bestFit="1" customWidth="1"/>
    <col min="6" max="6" width="1.5703125" customWidth="1"/>
    <col min="7" max="7" width="17.5703125" bestFit="1" customWidth="1"/>
    <col min="8" max="8" width="0.5703125" style="233" customWidth="1"/>
    <col min="9" max="9" width="17.5703125" bestFit="1" customWidth="1"/>
    <col min="10" max="10" width="0.5703125" customWidth="1"/>
    <col min="11" max="11" width="18.5703125" bestFit="1" customWidth="1"/>
    <col min="12" max="12" width="4.5703125" customWidth="1"/>
  </cols>
  <sheetData>
    <row r="1" spans="1:21" ht="15.75" x14ac:dyDescent="0.25">
      <c r="A1" s="2455" t="str">
        <f>+Index!$A$1</f>
        <v xml:space="preserve">                                                               Office of the State Controller                                                                </v>
      </c>
      <c r="B1" s="2455"/>
      <c r="C1" s="2455"/>
      <c r="D1" s="2455"/>
      <c r="E1" s="2455"/>
      <c r="F1" s="2455"/>
      <c r="G1" s="2455"/>
      <c r="H1" s="2455"/>
      <c r="I1" s="2455"/>
      <c r="J1" s="2455"/>
      <c r="K1" s="2455"/>
      <c r="L1" s="2456" t="str">
        <f>IF(Index!$B$110="na","NA","")</f>
        <v/>
      </c>
      <c r="M1" s="2214"/>
      <c r="N1" s="2214"/>
      <c r="O1" s="2214"/>
      <c r="P1" s="2214"/>
      <c r="Q1" s="2214"/>
      <c r="R1" s="2214"/>
      <c r="S1" s="2214"/>
      <c r="T1" s="2214"/>
    </row>
    <row r="2" spans="1:21" ht="16.5" x14ac:dyDescent="0.3">
      <c r="A2" s="2439" t="str">
        <f>+Index!$A$2</f>
        <v>2023 ACFR Worksheets</v>
      </c>
      <c r="B2" s="2439"/>
      <c r="C2" s="2439"/>
      <c r="D2" s="2439"/>
      <c r="E2" s="2439"/>
      <c r="F2" s="2439"/>
      <c r="G2" s="2439"/>
      <c r="H2" s="2439"/>
      <c r="I2" s="2439"/>
      <c r="J2" s="2439"/>
      <c r="K2" s="2439"/>
      <c r="L2" s="2456"/>
      <c r="M2" s="353"/>
      <c r="N2" s="353"/>
      <c r="O2" s="353"/>
      <c r="P2" s="353"/>
      <c r="Q2" s="353"/>
      <c r="R2" s="353"/>
      <c r="S2" s="353"/>
      <c r="T2" s="353"/>
    </row>
    <row r="3" spans="1:21" ht="16.5" x14ac:dyDescent="0.3">
      <c r="A3" s="2978" t="s">
        <v>4722</v>
      </c>
      <c r="B3" s="2978"/>
      <c r="C3" s="2978"/>
      <c r="D3" s="2978"/>
      <c r="E3" s="2978"/>
      <c r="F3" s="2978"/>
      <c r="G3" s="2978"/>
      <c r="H3" s="2978"/>
      <c r="I3" s="2978"/>
      <c r="J3" s="2978"/>
      <c r="K3" s="2978"/>
      <c r="L3" s="2456"/>
      <c r="M3" s="353"/>
      <c r="N3" s="353"/>
      <c r="O3" s="353"/>
      <c r="P3" s="353"/>
      <c r="Q3" s="353"/>
      <c r="R3" s="353"/>
      <c r="S3" s="353"/>
      <c r="T3" s="353"/>
    </row>
    <row r="4" spans="1:21" ht="16.5" customHeight="1" x14ac:dyDescent="0.3">
      <c r="A4" s="2978" t="s">
        <v>4723</v>
      </c>
      <c r="B4" s="2978"/>
      <c r="C4" s="2978"/>
      <c r="D4" s="2978"/>
      <c r="E4" s="2978"/>
      <c r="F4" s="2978"/>
      <c r="G4" s="2978"/>
      <c r="H4" s="2978"/>
      <c r="I4" s="2978"/>
      <c r="J4" s="2978"/>
      <c r="K4" s="2978"/>
      <c r="L4" s="2215"/>
      <c r="M4" s="353"/>
      <c r="N4" s="353"/>
      <c r="O4" s="353"/>
      <c r="P4" s="353"/>
      <c r="Q4" s="353"/>
      <c r="R4" s="353"/>
      <c r="S4" s="353"/>
      <c r="T4" s="353"/>
    </row>
    <row r="6" spans="1:21" s="124" customFormat="1" ht="15" customHeight="1" x14ac:dyDescent="0.2">
      <c r="A6" s="124" t="s">
        <v>317</v>
      </c>
      <c r="C6" s="359" t="str">
        <f>+Index!$E$10</f>
        <v>01</v>
      </c>
      <c r="D6" s="356"/>
      <c r="G6" s="455" t="s">
        <v>319</v>
      </c>
      <c r="H6" s="2956" t="str">
        <f>+CONCATENATE(Index!$E$12," ",Index!$E$14)</f>
        <v xml:space="preserve"> </v>
      </c>
      <c r="I6" s="2983"/>
      <c r="J6" s="2983"/>
      <c r="K6" s="2983"/>
      <c r="M6" s="354"/>
      <c r="U6" s="123"/>
    </row>
    <row r="7" spans="1:21" s="124" customFormat="1" ht="15" customHeight="1" x14ac:dyDescent="0.2">
      <c r="A7" s="124" t="s">
        <v>318</v>
      </c>
      <c r="C7" s="2977" t="str">
        <f>+Index!$E$11</f>
        <v>North Carolina General Assembly</v>
      </c>
      <c r="D7" s="2977"/>
      <c r="E7" s="2977"/>
      <c r="M7" s="355"/>
      <c r="N7" s="355"/>
      <c r="O7" s="355"/>
      <c r="P7" s="355"/>
      <c r="Q7" s="355"/>
      <c r="R7" s="355"/>
      <c r="S7" s="355"/>
      <c r="T7" s="125"/>
      <c r="U7" s="123"/>
    </row>
    <row r="8" spans="1:21" s="124" customFormat="1" ht="15" customHeight="1" x14ac:dyDescent="0.2">
      <c r="A8" s="124" t="s">
        <v>568</v>
      </c>
      <c r="C8" s="2373"/>
      <c r="G8" s="455" t="s">
        <v>71</v>
      </c>
      <c r="I8" s="2979">
        <f>+Index!$E$13</f>
        <v>0</v>
      </c>
      <c r="J8" s="2979"/>
      <c r="K8" s="2979"/>
      <c r="L8" s="384"/>
      <c r="U8" s="123"/>
    </row>
    <row r="9" spans="1:21" s="27" customFormat="1" ht="6" customHeight="1" thickBot="1" x14ac:dyDescent="0.25">
      <c r="A9" s="1702"/>
      <c r="B9" s="1702"/>
      <c r="C9" s="1702"/>
      <c r="D9" s="1702"/>
      <c r="E9" s="1702"/>
      <c r="F9" s="1702"/>
      <c r="G9" s="1702"/>
      <c r="H9" s="1702"/>
      <c r="I9" s="1702"/>
      <c r="J9" s="1702"/>
      <c r="K9" s="1702"/>
    </row>
    <row r="10" spans="1:21" ht="6" customHeight="1" x14ac:dyDescent="0.2">
      <c r="H10"/>
    </row>
    <row r="11" spans="1:21" ht="25.5" x14ac:dyDescent="0.2">
      <c r="F11" s="159"/>
      <c r="G11" s="358" t="s">
        <v>4724</v>
      </c>
    </row>
    <row r="12" spans="1:21" x14ac:dyDescent="0.2">
      <c r="A12" s="1" t="s">
        <v>576</v>
      </c>
      <c r="G12" s="166"/>
      <c r="H12" s="232"/>
    </row>
    <row r="13" spans="1:21" x14ac:dyDescent="0.2">
      <c r="A13" t="s">
        <v>4725</v>
      </c>
      <c r="G13" s="360">
        <v>0</v>
      </c>
    </row>
    <row r="14" spans="1:21" x14ac:dyDescent="0.2">
      <c r="A14" t="s">
        <v>4646</v>
      </c>
      <c r="G14" s="1426" t="s">
        <v>50</v>
      </c>
    </row>
    <row r="15" spans="1:21" x14ac:dyDescent="0.2">
      <c r="A15" t="s">
        <v>4656</v>
      </c>
      <c r="G15" s="360">
        <v>0</v>
      </c>
    </row>
    <row r="16" spans="1:21" x14ac:dyDescent="0.2">
      <c r="A16" t="s">
        <v>4726</v>
      </c>
      <c r="G16" s="360">
        <v>0</v>
      </c>
    </row>
    <row r="17" spans="1:7" x14ac:dyDescent="0.2">
      <c r="A17" t="s">
        <v>4727</v>
      </c>
      <c r="G17" s="360">
        <v>0</v>
      </c>
    </row>
    <row r="18" spans="1:7" x14ac:dyDescent="0.2">
      <c r="A18" t="s">
        <v>4728</v>
      </c>
      <c r="G18" s="360">
        <v>0</v>
      </c>
    </row>
    <row r="19" spans="1:7" x14ac:dyDescent="0.2">
      <c r="A19" t="s">
        <v>4657</v>
      </c>
      <c r="G19" s="360">
        <v>0</v>
      </c>
    </row>
    <row r="20" spans="1:7" x14ac:dyDescent="0.2">
      <c r="A20" t="s">
        <v>4655</v>
      </c>
      <c r="G20" s="360">
        <v>0</v>
      </c>
    </row>
    <row r="21" spans="1:7" x14ac:dyDescent="0.2">
      <c r="A21" t="s">
        <v>4729</v>
      </c>
      <c r="G21" s="360">
        <v>0</v>
      </c>
    </row>
    <row r="22" spans="1:7" x14ac:dyDescent="0.2">
      <c r="A22" t="s">
        <v>4730</v>
      </c>
      <c r="G22" s="360">
        <v>0</v>
      </c>
    </row>
    <row r="23" spans="1:7" x14ac:dyDescent="0.2">
      <c r="A23" t="s">
        <v>4658</v>
      </c>
      <c r="G23" s="360">
        <v>0</v>
      </c>
    </row>
    <row r="24" spans="1:7" x14ac:dyDescent="0.2">
      <c r="A24" t="s">
        <v>2629</v>
      </c>
      <c r="G24" s="1426" t="s">
        <v>50</v>
      </c>
    </row>
    <row r="25" spans="1:7" x14ac:dyDescent="0.2">
      <c r="A25" t="s">
        <v>4731</v>
      </c>
      <c r="G25" s="360">
        <v>0</v>
      </c>
    </row>
    <row r="26" spans="1:7" ht="12.75" customHeight="1" x14ac:dyDescent="0.2">
      <c r="A26" t="s">
        <v>4668</v>
      </c>
      <c r="G26" s="360">
        <v>0</v>
      </c>
    </row>
    <row r="27" spans="1:7" x14ac:dyDescent="0.2">
      <c r="A27" t="s">
        <v>4669</v>
      </c>
      <c r="G27" s="360">
        <v>0</v>
      </c>
    </row>
    <row r="28" spans="1:7" x14ac:dyDescent="0.2">
      <c r="A28" t="s">
        <v>4732</v>
      </c>
      <c r="G28" s="360">
        <v>0</v>
      </c>
    </row>
    <row r="29" spans="1:7" x14ac:dyDescent="0.2">
      <c r="A29" t="s">
        <v>2638</v>
      </c>
      <c r="G29" s="360">
        <v>0</v>
      </c>
    </row>
    <row r="30" spans="1:7" x14ac:dyDescent="0.2">
      <c r="A30" t="s">
        <v>4670</v>
      </c>
      <c r="G30" s="360">
        <v>0</v>
      </c>
    </row>
    <row r="31" spans="1:7" x14ac:dyDescent="0.2">
      <c r="A31" t="s">
        <v>4733</v>
      </c>
      <c r="G31" s="360">
        <v>0</v>
      </c>
    </row>
    <row r="32" spans="1:7" x14ac:dyDescent="0.2">
      <c r="A32" t="s">
        <v>4734</v>
      </c>
      <c r="G32" s="361">
        <v>0</v>
      </c>
    </row>
    <row r="33" spans="1:12" ht="6" customHeight="1" x14ac:dyDescent="0.2">
      <c r="G33" s="1426"/>
    </row>
    <row r="34" spans="1:12" x14ac:dyDescent="0.2">
      <c r="A34" s="1" t="s">
        <v>1742</v>
      </c>
      <c r="G34" s="1427">
        <f>SUM(G13:G32)</f>
        <v>0</v>
      </c>
    </row>
    <row r="35" spans="1:12" ht="9" customHeight="1" x14ac:dyDescent="0.2">
      <c r="G35" s="1426"/>
    </row>
    <row r="36" spans="1:12" x14ac:dyDescent="0.2">
      <c r="A36" s="1" t="s">
        <v>4673</v>
      </c>
      <c r="G36" s="1426"/>
    </row>
    <row r="37" spans="1:12" x14ac:dyDescent="0.2">
      <c r="A37" t="s">
        <v>4735</v>
      </c>
      <c r="G37" s="361">
        <v>0</v>
      </c>
    </row>
    <row r="38" spans="1:12" x14ac:dyDescent="0.2">
      <c r="G38" s="1426" t="s">
        <v>50</v>
      </c>
    </row>
    <row r="39" spans="1:12" x14ac:dyDescent="0.2">
      <c r="A39" s="1" t="s">
        <v>1748</v>
      </c>
      <c r="G39" s="1426"/>
    </row>
    <row r="40" spans="1:12" x14ac:dyDescent="0.2">
      <c r="A40" s="159" t="s">
        <v>1613</v>
      </c>
      <c r="G40" s="1426"/>
    </row>
    <row r="41" spans="1:12" x14ac:dyDescent="0.2">
      <c r="A41" s="2279" t="s">
        <v>4736</v>
      </c>
      <c r="G41" s="360">
        <v>0</v>
      </c>
      <c r="I41" s="2347"/>
    </row>
    <row r="42" spans="1:12" ht="13.5" thickBot="1" x14ac:dyDescent="0.25">
      <c r="A42" s="1" t="s">
        <v>1630</v>
      </c>
      <c r="G42" s="1655">
        <f>G37+G41</f>
        <v>0</v>
      </c>
      <c r="I42" s="2347"/>
    </row>
    <row r="43" spans="1:12" ht="13.5" thickTop="1" x14ac:dyDescent="0.2">
      <c r="G43" s="315"/>
      <c r="I43" s="2347"/>
      <c r="J43" s="2347"/>
      <c r="K43" s="2347"/>
      <c r="L43" s="2347"/>
    </row>
    <row r="44" spans="1:12" x14ac:dyDescent="0.2">
      <c r="A44" s="1" t="s">
        <v>511</v>
      </c>
      <c r="I44" s="2347"/>
      <c r="J44" s="2347"/>
      <c r="K44" s="2347"/>
      <c r="L44" s="2347"/>
    </row>
    <row r="45" spans="1:12" x14ac:dyDescent="0.2">
      <c r="A45" s="159" t="s">
        <v>4679</v>
      </c>
      <c r="I45" s="2347"/>
      <c r="J45" s="2347"/>
      <c r="K45" s="2347"/>
      <c r="L45" s="2347"/>
    </row>
    <row r="46" spans="1:12" x14ac:dyDescent="0.2">
      <c r="A46" s="2279" t="s">
        <v>4737</v>
      </c>
      <c r="G46" s="361">
        <v>0</v>
      </c>
      <c r="I46" s="2347"/>
      <c r="J46" s="2347"/>
      <c r="K46" s="2347"/>
      <c r="L46" s="2347"/>
    </row>
    <row r="47" spans="1:12" x14ac:dyDescent="0.2">
      <c r="A47" s="159" t="s">
        <v>4685</v>
      </c>
      <c r="I47" s="2347"/>
      <c r="J47" s="2347"/>
      <c r="K47" s="2347"/>
      <c r="L47" s="2347"/>
    </row>
    <row r="48" spans="1:12" x14ac:dyDescent="0.2">
      <c r="A48" s="2279" t="s">
        <v>1228</v>
      </c>
      <c r="G48" s="1654">
        <v>0</v>
      </c>
      <c r="I48" s="2347"/>
      <c r="J48" s="2347"/>
      <c r="K48" s="2347"/>
      <c r="L48" s="2347"/>
    </row>
    <row r="49" spans="1:12" x14ac:dyDescent="0.2">
      <c r="A49" s="2279" t="s">
        <v>4738</v>
      </c>
      <c r="G49" s="1654">
        <v>0</v>
      </c>
      <c r="I49" s="2347"/>
      <c r="J49" s="2347"/>
      <c r="K49" s="2347"/>
      <c r="L49" s="2347"/>
    </row>
    <row r="50" spans="1:12" x14ac:dyDescent="0.2">
      <c r="A50" s="1359" t="s">
        <v>4739</v>
      </c>
      <c r="G50" s="1656">
        <f>G48-G49</f>
        <v>0</v>
      </c>
      <c r="I50" s="2347"/>
      <c r="J50" s="2347"/>
      <c r="K50" s="2347"/>
      <c r="L50" s="2347"/>
    </row>
    <row r="51" spans="1:12" x14ac:dyDescent="0.2">
      <c r="A51" s="2243" t="s">
        <v>4694</v>
      </c>
      <c r="G51" s="1428">
        <f>G46+G50</f>
        <v>0</v>
      </c>
      <c r="I51" s="2347"/>
      <c r="J51" s="2347"/>
      <c r="K51" s="2347"/>
      <c r="L51" s="2347"/>
    </row>
    <row r="52" spans="1:12" x14ac:dyDescent="0.2">
      <c r="I52" s="2347"/>
      <c r="J52" s="2347"/>
      <c r="K52" s="2347"/>
      <c r="L52" s="2347"/>
    </row>
    <row r="53" spans="1:12" x14ac:dyDescent="0.2">
      <c r="A53" s="1" t="s">
        <v>4740</v>
      </c>
      <c r="I53" s="2347"/>
      <c r="J53" s="2347"/>
      <c r="K53" s="2347"/>
      <c r="L53" s="2347"/>
    </row>
    <row r="54" spans="1:12" x14ac:dyDescent="0.2">
      <c r="A54" s="159" t="s">
        <v>4741</v>
      </c>
      <c r="G54" s="1657">
        <v>0</v>
      </c>
      <c r="I54" s="2347"/>
      <c r="J54" s="2347"/>
      <c r="K54" s="2347"/>
      <c r="L54" s="2347"/>
    </row>
    <row r="55" spans="1:12" x14ac:dyDescent="0.2">
      <c r="A55" s="159" t="s">
        <v>4696</v>
      </c>
      <c r="G55" s="1657">
        <v>0</v>
      </c>
      <c r="I55" s="2347"/>
      <c r="J55" s="2347"/>
      <c r="K55" s="2347"/>
      <c r="L55" s="2347"/>
    </row>
    <row r="56" spans="1:12" x14ac:dyDescent="0.2">
      <c r="A56" s="159" t="s">
        <v>4698</v>
      </c>
      <c r="G56" s="1657">
        <v>0</v>
      </c>
      <c r="I56" s="2347"/>
      <c r="J56" s="2347"/>
      <c r="K56" s="2347"/>
      <c r="L56" s="2347"/>
    </row>
    <row r="57" spans="1:12" x14ac:dyDescent="0.2">
      <c r="A57" s="2279" t="s">
        <v>4742</v>
      </c>
      <c r="G57" s="1428">
        <f>G54+G55+G56</f>
        <v>0</v>
      </c>
      <c r="I57" s="2347"/>
      <c r="J57" s="2347"/>
      <c r="K57" s="2347"/>
      <c r="L57" s="2347"/>
    </row>
    <row r="58" spans="1:12" x14ac:dyDescent="0.2">
      <c r="A58" s="1359" t="s">
        <v>2132</v>
      </c>
      <c r="G58" s="315">
        <f>G51-G57</f>
        <v>0</v>
      </c>
    </row>
    <row r="59" spans="1:12" x14ac:dyDescent="0.2">
      <c r="A59" s="159" t="s">
        <v>4743</v>
      </c>
      <c r="G59" s="1658">
        <v>0</v>
      </c>
    </row>
    <row r="60" spans="1:12" x14ac:dyDescent="0.2">
      <c r="A60" s="159" t="s">
        <v>1737</v>
      </c>
      <c r="G60" s="1657"/>
    </row>
    <row r="61" spans="1:12" ht="13.5" thickBot="1" x14ac:dyDescent="0.25">
      <c r="A61" s="159" t="s">
        <v>4744</v>
      </c>
      <c r="G61" s="1429">
        <f>G58+G59+G60</f>
        <v>0</v>
      </c>
    </row>
    <row r="62" spans="1:12" ht="13.5" thickTop="1" x14ac:dyDescent="0.2"/>
  </sheetData>
  <sheetProtection algorithmName="SHA-512" hashValue="3QIYWO0Ll9RX2KRUZigEIhgkhufb8q7ZxuBKVBG70VcJLZ8nti5EZk6uLy3M1y+frWS1FLeBT/X/HFXQXChZMg==" saltValue="bCfzzAzNxR4A7XqS3HBJBA==" spinCount="100000" sheet="1" objects="1" scenarios="1" autoFilter="0"/>
  <customSheetViews>
    <customSheetView guid="{9FCFC836-1CA5-48BF-958D-24D2EA94B219}" showGridLines="0" fitToPage="1">
      <selection sqref="A1:K1"/>
      <pageMargins left="0" right="0" top="0" bottom="0" header="0" footer="0"/>
      <pageSetup scale="86" orientation="portrait" r:id="rId1"/>
      <headerFooter alignWithMargins="0">
        <oddFooter>&amp;R&amp;A</oddFooter>
      </headerFooter>
    </customSheetView>
    <customSheetView guid="{B08879A4-635B-4C39-9937-AC7883D562FC}" showGridLines="0" fitToPage="1">
      <selection sqref="A1:K1"/>
      <pageMargins left="0" right="0" top="0" bottom="0" header="0" footer="0"/>
      <pageSetup scale="86" orientation="portrait" r:id="rId2"/>
      <headerFooter alignWithMargins="0">
        <oddFooter>&amp;R&amp;A</oddFooter>
      </headerFooter>
    </customSheetView>
  </customSheetViews>
  <mergeCells count="8">
    <mergeCell ref="I8:K8"/>
    <mergeCell ref="H6:K6"/>
    <mergeCell ref="C7:E7"/>
    <mergeCell ref="L1:L3"/>
    <mergeCell ref="A2:K2"/>
    <mergeCell ref="A1:K1"/>
    <mergeCell ref="A3:K3"/>
    <mergeCell ref="A4:K4"/>
  </mergeCells>
  <phoneticPr fontId="16" type="noConversion"/>
  <conditionalFormatting sqref="L1:L4">
    <cfRule type="cellIs" dxfId="10" priority="1" stopIfTrue="1" operator="equal">
      <formula>"na"</formula>
    </cfRule>
  </conditionalFormatting>
  <dataValidations count="1">
    <dataValidation type="textLength" operator="equal" allowBlank="1" showInputMessage="1" showErrorMessage="1" errorTitle="Invalid data!" error="GASB number must be 4 digits." sqref="C8" xr:uid="{00000000-0002-0000-5000-000000000000}">
      <formula1>4</formula1>
    </dataValidation>
  </dataValidations>
  <hyperlinks>
    <hyperlink ref="A1:H1" location="Index!A1" display="Index!A1" xr:uid="{00000000-0004-0000-5000-000000000000}"/>
  </hyperlinks>
  <pageMargins left="0.75" right="0.5" top="0.5" bottom="0.5" header="0.5" footer="0.25"/>
  <pageSetup scale="93" orientation="portrait" r:id="rId3"/>
  <headerFooter alignWithMargins="0">
    <oddFooter>&amp;R&amp;A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30E6-2238-4CE2-9F49-D184FF599B32}">
  <sheetPr codeName="Sheet102">
    <pageSetUpPr fitToPage="1"/>
  </sheetPr>
  <dimension ref="A1:U137"/>
  <sheetViews>
    <sheetView showGridLines="0" zoomScaleNormal="100" workbookViewId="0">
      <selection activeCell="A2" sqref="A2:K2"/>
    </sheetView>
  </sheetViews>
  <sheetFormatPr defaultRowHeight="12.75" x14ac:dyDescent="0.2"/>
  <cols>
    <col min="2" max="2" width="5.5703125" customWidth="1"/>
    <col min="3" max="3" width="9.140625" bestFit="1" customWidth="1"/>
    <col min="4" max="4" width="3.5703125" customWidth="1"/>
    <col min="5" max="5" width="17.5703125" bestFit="1" customWidth="1"/>
    <col min="6" max="6" width="1.5703125" customWidth="1"/>
    <col min="7" max="7" width="17.5703125" bestFit="1" customWidth="1"/>
    <col min="8" max="8" width="0.5703125" style="365" customWidth="1"/>
    <col min="9" max="9" width="17.5703125" bestFit="1" customWidth="1"/>
    <col min="10" max="10" width="0.5703125" customWidth="1"/>
    <col min="11" max="11" width="18.5703125" bestFit="1" customWidth="1"/>
    <col min="12" max="12" width="4.5703125" customWidth="1"/>
  </cols>
  <sheetData>
    <row r="1" spans="1:21" ht="15.75" x14ac:dyDescent="0.25">
      <c r="A1" s="2455" t="str">
        <f>+Index!$A$1</f>
        <v xml:space="preserve">                                                               Office of the State Controller                                                                </v>
      </c>
      <c r="B1" s="2455"/>
      <c r="C1" s="2455"/>
      <c r="D1" s="2455"/>
      <c r="E1" s="2455"/>
      <c r="F1" s="2455"/>
      <c r="G1" s="2455"/>
      <c r="H1" s="2455"/>
      <c r="I1" s="2455"/>
      <c r="J1" s="2455"/>
      <c r="K1" s="2455"/>
      <c r="L1" s="2456" t="str">
        <f>IF(Index!$B$110="na","NA","")</f>
        <v/>
      </c>
      <c r="M1" s="2214"/>
      <c r="N1" s="2214"/>
      <c r="O1" s="2214"/>
      <c r="P1" s="2214"/>
      <c r="Q1" s="2214"/>
      <c r="R1" s="2214"/>
      <c r="S1" s="2214"/>
      <c r="T1" s="2214"/>
    </row>
    <row r="2" spans="1:21" ht="16.5" x14ac:dyDescent="0.3">
      <c r="A2" s="2439" t="str">
        <f>+Index!$A$2</f>
        <v>2023 ACFR Worksheets</v>
      </c>
      <c r="B2" s="2439"/>
      <c r="C2" s="2439"/>
      <c r="D2" s="2439"/>
      <c r="E2" s="2439"/>
      <c r="F2" s="2439"/>
      <c r="G2" s="2439"/>
      <c r="H2" s="2439"/>
      <c r="I2" s="2439"/>
      <c r="J2" s="2439"/>
      <c r="K2" s="2439"/>
      <c r="L2" s="2456"/>
      <c r="M2" s="353"/>
      <c r="N2" s="353"/>
      <c r="O2" s="353"/>
      <c r="P2" s="353"/>
      <c r="Q2" s="353"/>
      <c r="R2" s="353"/>
      <c r="S2" s="353"/>
      <c r="T2" s="353"/>
    </row>
    <row r="3" spans="1:21" ht="16.5" x14ac:dyDescent="0.3">
      <c r="A3" s="2978" t="s">
        <v>4745</v>
      </c>
      <c r="B3" s="2978"/>
      <c r="C3" s="2978"/>
      <c r="D3" s="2978"/>
      <c r="E3" s="2978"/>
      <c r="F3" s="2978"/>
      <c r="G3" s="2978"/>
      <c r="H3" s="2978"/>
      <c r="I3" s="2978"/>
      <c r="J3" s="2978"/>
      <c r="K3" s="2978"/>
      <c r="L3" s="2456"/>
      <c r="M3" s="353"/>
      <c r="N3" s="353"/>
      <c r="O3" s="353"/>
      <c r="P3" s="353"/>
      <c r="Q3" s="353"/>
      <c r="R3" s="353"/>
      <c r="S3" s="353"/>
      <c r="T3" s="353"/>
    </row>
    <row r="4" spans="1:21" ht="16.5" customHeight="1" x14ac:dyDescent="0.3">
      <c r="A4" s="2978" t="s">
        <v>4746</v>
      </c>
      <c r="B4" s="2978"/>
      <c r="C4" s="2978"/>
      <c r="D4" s="2978"/>
      <c r="E4" s="2978"/>
      <c r="F4" s="2978"/>
      <c r="G4" s="2978"/>
      <c r="H4" s="2978"/>
      <c r="I4" s="2978"/>
      <c r="J4" s="2978"/>
      <c r="K4" s="2978"/>
      <c r="L4" s="2215"/>
      <c r="M4" s="353"/>
      <c r="N4" s="353"/>
      <c r="O4" s="353"/>
      <c r="P4" s="353"/>
      <c r="Q4" s="353"/>
      <c r="R4" s="353"/>
      <c r="S4" s="353"/>
      <c r="T4" s="353"/>
    </row>
    <row r="6" spans="1:21" s="2106" customFormat="1" ht="15" customHeight="1" x14ac:dyDescent="0.2">
      <c r="A6" s="2106" t="s">
        <v>317</v>
      </c>
      <c r="C6" s="2108" t="str">
        <f>+Index!$E$10</f>
        <v>01</v>
      </c>
      <c r="D6" s="2109"/>
      <c r="G6" s="2110" t="s">
        <v>319</v>
      </c>
      <c r="H6" s="2984" t="str">
        <f>+CONCATENATE(Index!$E$12," ",Index!$E$14)</f>
        <v xml:space="preserve"> </v>
      </c>
      <c r="I6" s="2983"/>
      <c r="J6" s="2983"/>
      <c r="K6" s="2983"/>
      <c r="M6" s="2111"/>
      <c r="U6" s="123"/>
    </row>
    <row r="7" spans="1:21" s="2106" customFormat="1" ht="15" customHeight="1" x14ac:dyDescent="0.2">
      <c r="A7" s="2106" t="s">
        <v>318</v>
      </c>
      <c r="C7" s="2985" t="str">
        <f>+Index!$E$11</f>
        <v>North Carolina General Assembly</v>
      </c>
      <c r="D7" s="2985"/>
      <c r="E7" s="2985"/>
      <c r="M7" s="2112"/>
      <c r="N7" s="2112"/>
      <c r="O7" s="2112"/>
      <c r="P7" s="2112"/>
      <c r="Q7" s="2112"/>
      <c r="R7" s="2112"/>
      <c r="S7" s="2112"/>
      <c r="T7" s="2113"/>
      <c r="U7" s="123"/>
    </row>
    <row r="8" spans="1:21" s="2106" customFormat="1" ht="15" customHeight="1" x14ac:dyDescent="0.2">
      <c r="A8" s="2106" t="s">
        <v>568</v>
      </c>
      <c r="C8" s="2374"/>
      <c r="G8" s="2110" t="s">
        <v>71</v>
      </c>
      <c r="I8" s="2986">
        <f>+Index!$E$13</f>
        <v>0</v>
      </c>
      <c r="J8" s="2986"/>
      <c r="K8" s="2986"/>
      <c r="L8" s="2114"/>
      <c r="U8" s="123"/>
    </row>
    <row r="9" spans="1:21" s="2107" customFormat="1" ht="6" customHeight="1" thickBot="1" x14ac:dyDescent="0.25">
      <c r="A9" s="2115"/>
      <c r="B9" s="2115"/>
      <c r="C9" s="2115"/>
      <c r="D9" s="2115"/>
      <c r="E9" s="2115"/>
      <c r="F9" s="2115"/>
      <c r="G9" s="2115"/>
      <c r="H9" s="2115"/>
      <c r="I9" s="2115"/>
      <c r="J9" s="2115"/>
      <c r="K9" s="2115"/>
    </row>
    <row r="10" spans="1:21" ht="6" customHeight="1" x14ac:dyDescent="0.2">
      <c r="H10"/>
    </row>
    <row r="11" spans="1:21" ht="25.5" x14ac:dyDescent="0.2">
      <c r="A11" s="1" t="s">
        <v>4747</v>
      </c>
      <c r="G11" s="358" t="s">
        <v>4724</v>
      </c>
    </row>
    <row r="12" spans="1:21" x14ac:dyDescent="0.2">
      <c r="A12" s="1" t="s">
        <v>576</v>
      </c>
      <c r="G12" s="166"/>
      <c r="H12" s="2116"/>
    </row>
    <row r="13" spans="1:21" x14ac:dyDescent="0.2">
      <c r="A13" t="s">
        <v>4725</v>
      </c>
      <c r="G13" s="2117">
        <v>0</v>
      </c>
    </row>
    <row r="14" spans="1:21" x14ac:dyDescent="0.2">
      <c r="A14" t="s">
        <v>1528</v>
      </c>
      <c r="G14" s="2118" t="s">
        <v>50</v>
      </c>
    </row>
    <row r="15" spans="1:21" x14ac:dyDescent="0.2">
      <c r="A15" t="s">
        <v>2930</v>
      </c>
      <c r="G15" s="2118"/>
    </row>
    <row r="16" spans="1:21" x14ac:dyDescent="0.2">
      <c r="A16" t="s">
        <v>4748</v>
      </c>
      <c r="G16" s="2118"/>
    </row>
    <row r="17" spans="1:7" x14ac:dyDescent="0.2">
      <c r="A17" t="s">
        <v>4749</v>
      </c>
      <c r="G17" s="2117">
        <v>0</v>
      </c>
    </row>
    <row r="18" spans="1:7" x14ac:dyDescent="0.2">
      <c r="A18" t="s">
        <v>4667</v>
      </c>
      <c r="G18" s="2117">
        <v>0</v>
      </c>
    </row>
    <row r="19" spans="1:7" x14ac:dyDescent="0.2">
      <c r="A19" t="s">
        <v>4750</v>
      </c>
      <c r="G19" s="2117">
        <v>0</v>
      </c>
    </row>
    <row r="20" spans="1:7" x14ac:dyDescent="0.2">
      <c r="A20" t="s">
        <v>4668</v>
      </c>
      <c r="G20" s="2117">
        <v>0</v>
      </c>
    </row>
    <row r="21" spans="1:7" x14ac:dyDescent="0.2">
      <c r="A21" t="s">
        <v>4669</v>
      </c>
      <c r="G21" s="2117">
        <v>0</v>
      </c>
    </row>
    <row r="22" spans="1:7" x14ac:dyDescent="0.2">
      <c r="A22" t="s">
        <v>4751</v>
      </c>
      <c r="G22" s="2117">
        <v>0</v>
      </c>
    </row>
    <row r="23" spans="1:7" x14ac:dyDescent="0.2">
      <c r="A23" t="s">
        <v>2084</v>
      </c>
      <c r="G23" s="2117"/>
    </row>
    <row r="24" spans="1:7" x14ac:dyDescent="0.2">
      <c r="A24" t="s">
        <v>2987</v>
      </c>
      <c r="G24" s="2117"/>
    </row>
    <row r="25" spans="1:7" x14ac:dyDescent="0.2">
      <c r="A25" t="s">
        <v>2638</v>
      </c>
      <c r="G25" s="2117"/>
    </row>
    <row r="26" spans="1:7" x14ac:dyDescent="0.2">
      <c r="A26" t="s">
        <v>1609</v>
      </c>
      <c r="G26" s="2117"/>
    </row>
    <row r="27" spans="1:7" x14ac:dyDescent="0.2">
      <c r="A27" t="s">
        <v>1611</v>
      </c>
      <c r="G27" s="2117"/>
    </row>
    <row r="28" spans="1:7" x14ac:dyDescent="0.2">
      <c r="A28" t="s">
        <v>4752</v>
      </c>
      <c r="G28" s="2117"/>
    </row>
    <row r="29" spans="1:7" x14ac:dyDescent="0.2">
      <c r="A29" t="s">
        <v>4753</v>
      </c>
      <c r="G29" s="2117">
        <v>0</v>
      </c>
    </row>
    <row r="30" spans="1:7" x14ac:dyDescent="0.2">
      <c r="A30" t="s">
        <v>3000</v>
      </c>
      <c r="G30" s="2117">
        <v>0</v>
      </c>
    </row>
    <row r="31" spans="1:7" x14ac:dyDescent="0.2">
      <c r="A31" t="s">
        <v>4754</v>
      </c>
      <c r="G31" s="2117"/>
    </row>
    <row r="32" spans="1:7" x14ac:dyDescent="0.2">
      <c r="A32" t="s">
        <v>3042</v>
      </c>
      <c r="G32" s="2117">
        <v>0</v>
      </c>
    </row>
    <row r="33" spans="1:7" x14ac:dyDescent="0.2">
      <c r="A33" t="s">
        <v>4755</v>
      </c>
      <c r="G33" s="2117">
        <v>0</v>
      </c>
    </row>
    <row r="34" spans="1:7" x14ac:dyDescent="0.2">
      <c r="A34" t="s">
        <v>4756</v>
      </c>
      <c r="G34" s="2119">
        <v>0</v>
      </c>
    </row>
    <row r="35" spans="1:7" ht="6" customHeight="1" x14ac:dyDescent="0.2">
      <c r="G35" s="2118"/>
    </row>
    <row r="36" spans="1:7" x14ac:dyDescent="0.2">
      <c r="A36" s="1" t="s">
        <v>1742</v>
      </c>
      <c r="G36" s="2120">
        <f>SUM(G13:G34)</f>
        <v>0</v>
      </c>
    </row>
    <row r="37" spans="1:7" x14ac:dyDescent="0.2">
      <c r="A37" s="1"/>
      <c r="G37" s="2123"/>
    </row>
    <row r="38" spans="1:7" x14ac:dyDescent="0.2">
      <c r="A38" s="1" t="s">
        <v>1743</v>
      </c>
      <c r="G38" s="2123"/>
    </row>
    <row r="39" spans="1:7" x14ac:dyDescent="0.2">
      <c r="A39" s="159" t="s">
        <v>4757</v>
      </c>
      <c r="G39" s="2123"/>
    </row>
    <row r="40" spans="1:7" ht="13.5" thickBot="1" x14ac:dyDescent="0.25">
      <c r="A40" s="1" t="s">
        <v>4758</v>
      </c>
      <c r="G40" s="2127">
        <f>G36+G39</f>
        <v>0</v>
      </c>
    </row>
    <row r="41" spans="1:7" ht="9" customHeight="1" thickTop="1" x14ac:dyDescent="0.2">
      <c r="G41" s="2118"/>
    </row>
    <row r="42" spans="1:7" x14ac:dyDescent="0.2">
      <c r="A42" s="1" t="s">
        <v>4673</v>
      </c>
      <c r="G42" s="2118"/>
    </row>
    <row r="43" spans="1:7" x14ac:dyDescent="0.2">
      <c r="A43" s="159" t="s">
        <v>2691</v>
      </c>
      <c r="G43" s="2118"/>
    </row>
    <row r="44" spans="1:7" x14ac:dyDescent="0.2">
      <c r="A44" t="s">
        <v>4759</v>
      </c>
      <c r="G44" s="2117">
        <v>0</v>
      </c>
    </row>
    <row r="45" spans="1:7" x14ac:dyDescent="0.2">
      <c r="A45" t="s">
        <v>4760</v>
      </c>
      <c r="G45" s="2117">
        <v>0</v>
      </c>
    </row>
    <row r="46" spans="1:7" x14ac:dyDescent="0.2">
      <c r="A46" t="s">
        <v>4761</v>
      </c>
      <c r="G46" s="2117">
        <v>0</v>
      </c>
    </row>
    <row r="47" spans="1:7" x14ac:dyDescent="0.2">
      <c r="A47" t="s">
        <v>4762</v>
      </c>
      <c r="G47" s="2117">
        <v>0</v>
      </c>
    </row>
    <row r="48" spans="1:7" x14ac:dyDescent="0.2">
      <c r="A48" t="s">
        <v>3421</v>
      </c>
      <c r="G48" s="2117">
        <v>0</v>
      </c>
    </row>
    <row r="49" spans="1:7" x14ac:dyDescent="0.2">
      <c r="A49" s="159" t="s">
        <v>4763</v>
      </c>
      <c r="G49" s="2118"/>
    </row>
    <row r="50" spans="1:7" x14ac:dyDescent="0.2">
      <c r="A50" s="159" t="s">
        <v>2708</v>
      </c>
      <c r="B50" s="159"/>
      <c r="C50" s="159"/>
      <c r="D50" s="159"/>
      <c r="E50" s="159"/>
      <c r="G50" s="2118"/>
    </row>
    <row r="51" spans="1:7" x14ac:dyDescent="0.2">
      <c r="A51" s="159" t="s">
        <v>3379</v>
      </c>
      <c r="B51" s="159"/>
      <c r="C51" s="159"/>
      <c r="D51" s="159"/>
      <c r="E51" s="159"/>
      <c r="G51" s="2118"/>
    </row>
    <row r="52" spans="1:7" x14ac:dyDescent="0.2">
      <c r="A52" s="159" t="s">
        <v>3386</v>
      </c>
      <c r="B52" s="159"/>
      <c r="C52" s="159"/>
      <c r="D52" s="159"/>
      <c r="E52" s="159"/>
      <c r="G52" s="2118"/>
    </row>
    <row r="53" spans="1:7" x14ac:dyDescent="0.2">
      <c r="A53" s="159" t="s">
        <v>3399</v>
      </c>
      <c r="B53" s="159"/>
      <c r="C53" s="159"/>
      <c r="D53" s="159"/>
      <c r="E53" s="159"/>
      <c r="G53" s="2118"/>
    </row>
    <row r="54" spans="1:7" x14ac:dyDescent="0.2">
      <c r="A54" s="159" t="s">
        <v>2706</v>
      </c>
      <c r="B54" s="159"/>
      <c r="C54" s="159"/>
      <c r="D54" s="159"/>
      <c r="E54" s="159"/>
      <c r="G54" s="2118"/>
    </row>
    <row r="55" spans="1:7" x14ac:dyDescent="0.2">
      <c r="A55" s="159" t="s">
        <v>4764</v>
      </c>
      <c r="B55" s="159"/>
      <c r="C55" s="159"/>
      <c r="D55" s="159"/>
      <c r="E55" s="159"/>
      <c r="G55" s="2118"/>
    </row>
    <row r="56" spans="1:7" x14ac:dyDescent="0.2">
      <c r="A56" s="159" t="s">
        <v>2709</v>
      </c>
      <c r="B56" s="159"/>
      <c r="C56" s="159"/>
      <c r="D56" s="159"/>
      <c r="E56" s="159"/>
      <c r="G56" s="2118"/>
    </row>
    <row r="57" spans="1:7" x14ac:dyDescent="0.2">
      <c r="A57" t="s">
        <v>4735</v>
      </c>
      <c r="G57" s="2119">
        <v>0</v>
      </c>
    </row>
    <row r="58" spans="1:7" ht="4.5" customHeight="1" x14ac:dyDescent="0.2">
      <c r="G58" s="2124"/>
    </row>
    <row r="59" spans="1:7" x14ac:dyDescent="0.2">
      <c r="A59" s="1" t="s">
        <v>1746</v>
      </c>
      <c r="G59" s="2119">
        <f>SUM(G44:G57)</f>
        <v>0</v>
      </c>
    </row>
    <row r="60" spans="1:7" x14ac:dyDescent="0.2">
      <c r="A60" s="1"/>
      <c r="G60" s="2124"/>
    </row>
    <row r="61" spans="1:7" x14ac:dyDescent="0.2">
      <c r="A61" s="1" t="s">
        <v>1747</v>
      </c>
      <c r="G61" s="2124"/>
    </row>
    <row r="62" spans="1:7" x14ac:dyDescent="0.2">
      <c r="A62" s="159" t="s">
        <v>4765</v>
      </c>
      <c r="G62" s="2124"/>
    </row>
    <row r="63" spans="1:7" x14ac:dyDescent="0.2">
      <c r="A63" s="159" t="s">
        <v>2752</v>
      </c>
      <c r="G63" s="2119"/>
    </row>
    <row r="64" spans="1:7" ht="6.75" customHeight="1" x14ac:dyDescent="0.2"/>
    <row r="65" spans="1:12" x14ac:dyDescent="0.2">
      <c r="A65" s="159" t="s">
        <v>4766</v>
      </c>
      <c r="G65" s="2119">
        <f>SUM(G62:G63)</f>
        <v>0</v>
      </c>
    </row>
    <row r="66" spans="1:12" ht="6.75" customHeight="1" x14ac:dyDescent="0.2">
      <c r="G66" s="2118" t="s">
        <v>50</v>
      </c>
    </row>
    <row r="67" spans="1:12" x14ac:dyDescent="0.2">
      <c r="A67" s="1" t="s">
        <v>4767</v>
      </c>
      <c r="G67" s="2118"/>
    </row>
    <row r="68" spans="1:12" x14ac:dyDescent="0.2">
      <c r="A68" s="159" t="s">
        <v>4768</v>
      </c>
      <c r="B68" s="159"/>
      <c r="G68" s="2118"/>
    </row>
    <row r="69" spans="1:12" x14ac:dyDescent="0.2">
      <c r="A69" s="159" t="s">
        <v>1615</v>
      </c>
      <c r="B69" s="159"/>
      <c r="G69" s="2118"/>
    </row>
    <row r="70" spans="1:12" x14ac:dyDescent="0.2">
      <c r="A70" s="159" t="s">
        <v>1617</v>
      </c>
      <c r="B70" s="159"/>
      <c r="G70" s="2118"/>
    </row>
    <row r="71" spans="1:12" x14ac:dyDescent="0.2">
      <c r="A71" s="159" t="s">
        <v>1619</v>
      </c>
      <c r="B71" s="159"/>
      <c r="G71" s="2118"/>
    </row>
    <row r="72" spans="1:12" x14ac:dyDescent="0.2">
      <c r="A72" t="s">
        <v>1620</v>
      </c>
      <c r="G72" s="2120"/>
    </row>
    <row r="73" spans="1:12" ht="6.75" customHeight="1" x14ac:dyDescent="0.2">
      <c r="A73" s="2121"/>
      <c r="G73" s="2117"/>
      <c r="I73" s="2347"/>
    </row>
    <row r="74" spans="1:12" x14ac:dyDescent="0.2">
      <c r="A74" s="1" t="s">
        <v>4769</v>
      </c>
      <c r="G74" s="2126">
        <f>SUM(G68:G72)</f>
        <v>0</v>
      </c>
      <c r="I74" s="2347"/>
    </row>
    <row r="75" spans="1:12" ht="7.5" customHeight="1" x14ac:dyDescent="0.2">
      <c r="A75" s="1"/>
      <c r="G75" s="2125"/>
      <c r="I75" s="2347"/>
    </row>
    <row r="76" spans="1:12" ht="27" customHeight="1" thickBot="1" x14ac:dyDescent="0.25">
      <c r="A76" s="2497" t="s">
        <v>4770</v>
      </c>
      <c r="B76" s="2497"/>
      <c r="C76" s="2497"/>
      <c r="D76" s="2497"/>
      <c r="E76" s="2497"/>
      <c r="G76" s="2128">
        <f>G59+G65+G74</f>
        <v>0</v>
      </c>
      <c r="I76" s="2347"/>
      <c r="J76" s="2347"/>
      <c r="K76" s="2347"/>
      <c r="L76" s="2347"/>
    </row>
    <row r="77" spans="1:12" ht="13.5" thickTop="1" x14ac:dyDescent="0.2"/>
    <row r="78" spans="1:12" ht="38.25" x14ac:dyDescent="0.2">
      <c r="A78" s="2497" t="s">
        <v>4771</v>
      </c>
      <c r="B78" s="2497"/>
      <c r="C78" s="2497"/>
      <c r="D78" s="2497"/>
      <c r="E78" s="2497"/>
      <c r="G78" s="358" t="s">
        <v>4772</v>
      </c>
    </row>
    <row r="79" spans="1:12" x14ac:dyDescent="0.2">
      <c r="A79" s="1" t="s">
        <v>1754</v>
      </c>
      <c r="G79" s="166"/>
      <c r="H79" s="2116"/>
    </row>
    <row r="80" spans="1:12" x14ac:dyDescent="0.2">
      <c r="A80" t="s">
        <v>4773</v>
      </c>
      <c r="G80" s="2118" t="s">
        <v>50</v>
      </c>
    </row>
    <row r="81" spans="1:7" x14ac:dyDescent="0.2">
      <c r="A81" t="s">
        <v>4774</v>
      </c>
      <c r="G81" s="2117">
        <v>0</v>
      </c>
    </row>
    <row r="82" spans="1:7" x14ac:dyDescent="0.2">
      <c r="A82" t="s">
        <v>4775</v>
      </c>
      <c r="G82" s="2117">
        <v>0</v>
      </c>
    </row>
    <row r="83" spans="1:7" x14ac:dyDescent="0.2">
      <c r="A83" t="s">
        <v>4776</v>
      </c>
      <c r="G83" s="2117">
        <v>0</v>
      </c>
    </row>
    <row r="84" spans="1:7" x14ac:dyDescent="0.2">
      <c r="A84" t="s">
        <v>4777</v>
      </c>
      <c r="G84" s="2117">
        <v>0</v>
      </c>
    </row>
    <row r="85" spans="1:7" x14ac:dyDescent="0.2">
      <c r="A85" t="s">
        <v>4778</v>
      </c>
      <c r="G85" s="2117">
        <v>0</v>
      </c>
    </row>
    <row r="86" spans="1:7" x14ac:dyDescent="0.2">
      <c r="A86" t="s">
        <v>4779</v>
      </c>
      <c r="G86" s="2117">
        <v>0</v>
      </c>
    </row>
    <row r="87" spans="1:7" x14ac:dyDescent="0.2">
      <c r="A87" t="s">
        <v>4780</v>
      </c>
      <c r="G87" s="2117">
        <v>0</v>
      </c>
    </row>
    <row r="88" spans="1:7" x14ac:dyDescent="0.2">
      <c r="A88" t="s">
        <v>4781</v>
      </c>
      <c r="G88" s="2117"/>
    </row>
    <row r="89" spans="1:7" x14ac:dyDescent="0.2">
      <c r="A89" t="s">
        <v>4782</v>
      </c>
      <c r="G89" s="2117">
        <v>0</v>
      </c>
    </row>
    <row r="90" spans="1:7" x14ac:dyDescent="0.2">
      <c r="A90" t="s">
        <v>4783</v>
      </c>
      <c r="G90" s="2117">
        <v>0</v>
      </c>
    </row>
    <row r="91" spans="1:7" x14ac:dyDescent="0.2">
      <c r="A91" t="s">
        <v>4784</v>
      </c>
      <c r="G91" s="2118" t="s">
        <v>50</v>
      </c>
    </row>
    <row r="92" spans="1:7" x14ac:dyDescent="0.2">
      <c r="A92" t="s">
        <v>4785</v>
      </c>
      <c r="G92" s="2117">
        <v>0</v>
      </c>
    </row>
    <row r="93" spans="1:7" x14ac:dyDescent="0.2">
      <c r="A93" t="s">
        <v>4786</v>
      </c>
      <c r="G93" s="2117">
        <v>0</v>
      </c>
    </row>
    <row r="94" spans="1:7" x14ac:dyDescent="0.2">
      <c r="A94" t="s">
        <v>1234</v>
      </c>
      <c r="G94" s="2117">
        <v>0</v>
      </c>
    </row>
    <row r="95" spans="1:7" x14ac:dyDescent="0.2">
      <c r="A95" t="s">
        <v>1222</v>
      </c>
      <c r="G95" s="2117">
        <v>0</v>
      </c>
    </row>
    <row r="96" spans="1:7" x14ac:dyDescent="0.2">
      <c r="A96" t="s">
        <v>4787</v>
      </c>
      <c r="G96" s="2117">
        <v>0</v>
      </c>
    </row>
    <row r="97" spans="1:7" x14ac:dyDescent="0.2">
      <c r="A97" t="s">
        <v>4788</v>
      </c>
      <c r="G97" s="2117"/>
    </row>
    <row r="98" spans="1:7" x14ac:dyDescent="0.2">
      <c r="A98" t="s">
        <v>4789</v>
      </c>
      <c r="G98" s="2117"/>
    </row>
    <row r="99" spans="1:7" x14ac:dyDescent="0.2">
      <c r="A99" t="s">
        <v>4790</v>
      </c>
      <c r="G99" s="2117"/>
    </row>
    <row r="100" spans="1:7" x14ac:dyDescent="0.2">
      <c r="A100" t="s">
        <v>4791</v>
      </c>
      <c r="G100" s="2117">
        <v>0</v>
      </c>
    </row>
    <row r="101" spans="1:7" x14ac:dyDescent="0.2">
      <c r="A101" t="s">
        <v>4792</v>
      </c>
      <c r="G101" s="2117">
        <v>0</v>
      </c>
    </row>
    <row r="102" spans="1:7" x14ac:dyDescent="0.2">
      <c r="A102" t="s">
        <v>1775</v>
      </c>
      <c r="G102" s="2119">
        <v>0</v>
      </c>
    </row>
    <row r="103" spans="1:7" x14ac:dyDescent="0.2">
      <c r="G103" s="2118"/>
    </row>
    <row r="104" spans="1:7" x14ac:dyDescent="0.2">
      <c r="A104" s="1" t="s">
        <v>4793</v>
      </c>
      <c r="G104" s="2120">
        <f>SUM(G81:G102)</f>
        <v>0</v>
      </c>
    </row>
    <row r="105" spans="1:7" x14ac:dyDescent="0.2">
      <c r="G105" s="2118"/>
    </row>
    <row r="106" spans="1:7" x14ac:dyDescent="0.2">
      <c r="A106" s="1" t="s">
        <v>1777</v>
      </c>
      <c r="G106" s="2118"/>
    </row>
    <row r="107" spans="1:7" x14ac:dyDescent="0.2">
      <c r="A107" t="s">
        <v>4794</v>
      </c>
      <c r="G107" s="2117">
        <v>0</v>
      </c>
    </row>
    <row r="108" spans="1:7" x14ac:dyDescent="0.2">
      <c r="A108" t="s">
        <v>4795</v>
      </c>
    </row>
    <row r="109" spans="1:7" x14ac:dyDescent="0.2">
      <c r="A109" t="s">
        <v>4796</v>
      </c>
    </row>
    <row r="110" spans="1:7" x14ac:dyDescent="0.2">
      <c r="A110" t="s">
        <v>4797</v>
      </c>
    </row>
    <row r="111" spans="1:7" x14ac:dyDescent="0.2">
      <c r="A111" t="s">
        <v>4798</v>
      </c>
    </row>
    <row r="112" spans="1:7" x14ac:dyDescent="0.2">
      <c r="A112" t="s">
        <v>4799</v>
      </c>
    </row>
    <row r="113" spans="1:7" x14ac:dyDescent="0.2">
      <c r="A113" t="s">
        <v>4800</v>
      </c>
    </row>
    <row r="114" spans="1:7" x14ac:dyDescent="0.2">
      <c r="A114" t="s">
        <v>4801</v>
      </c>
    </row>
    <row r="115" spans="1:7" x14ac:dyDescent="0.2">
      <c r="A115" t="s">
        <v>4802</v>
      </c>
    </row>
    <row r="116" spans="1:7" x14ac:dyDescent="0.2">
      <c r="A116" t="s">
        <v>4803</v>
      </c>
    </row>
    <row r="117" spans="1:7" x14ac:dyDescent="0.2">
      <c r="A117" t="s">
        <v>4804</v>
      </c>
    </row>
    <row r="118" spans="1:7" x14ac:dyDescent="0.2">
      <c r="A118" t="s">
        <v>4805</v>
      </c>
    </row>
    <row r="119" spans="1:7" x14ac:dyDescent="0.2">
      <c r="A119" t="s">
        <v>4806</v>
      </c>
    </row>
    <row r="120" spans="1:7" x14ac:dyDescent="0.2">
      <c r="A120" t="s">
        <v>4807</v>
      </c>
    </row>
    <row r="121" spans="1:7" x14ac:dyDescent="0.2">
      <c r="A121" t="s">
        <v>4808</v>
      </c>
    </row>
    <row r="122" spans="1:7" x14ac:dyDescent="0.2">
      <c r="A122" s="2129" t="s">
        <v>4809</v>
      </c>
      <c r="G122" s="2122">
        <f>SUM(G108:G121)</f>
        <v>0</v>
      </c>
    </row>
    <row r="123" spans="1:7" x14ac:dyDescent="0.2">
      <c r="A123" s="74" t="s">
        <v>4810</v>
      </c>
      <c r="G123" s="1428">
        <f>G104-G122</f>
        <v>0</v>
      </c>
    </row>
    <row r="125" spans="1:7" x14ac:dyDescent="0.2">
      <c r="A125" s="1" t="s">
        <v>4811</v>
      </c>
    </row>
    <row r="126" spans="1:7" x14ac:dyDescent="0.2">
      <c r="A126" t="s">
        <v>4812</v>
      </c>
      <c r="G126" s="1657">
        <v>0</v>
      </c>
    </row>
    <row r="127" spans="1:7" x14ac:dyDescent="0.2">
      <c r="A127" t="s">
        <v>4813</v>
      </c>
      <c r="G127" s="1657"/>
    </row>
    <row r="128" spans="1:7" x14ac:dyDescent="0.2">
      <c r="A128" t="s">
        <v>4814</v>
      </c>
      <c r="G128" s="1657"/>
    </row>
    <row r="129" spans="1:7" x14ac:dyDescent="0.2">
      <c r="A129" t="s">
        <v>2808</v>
      </c>
      <c r="G129" s="1657"/>
    </row>
    <row r="130" spans="1:7" x14ac:dyDescent="0.2">
      <c r="A130" t="s">
        <v>2130</v>
      </c>
      <c r="G130" s="1657"/>
    </row>
    <row r="131" spans="1:7" x14ac:dyDescent="0.2">
      <c r="A131" t="s">
        <v>2131</v>
      </c>
      <c r="G131" s="1658">
        <v>0</v>
      </c>
    </row>
    <row r="132" spans="1:7" x14ac:dyDescent="0.2">
      <c r="A132" s="1" t="s">
        <v>4815</v>
      </c>
      <c r="G132" s="2130">
        <f>SUM(G126:G131)</f>
        <v>0</v>
      </c>
    </row>
    <row r="133" spans="1:7" x14ac:dyDescent="0.2">
      <c r="A133" s="2129" t="s">
        <v>4816</v>
      </c>
      <c r="G133" s="315">
        <f>G123+G132</f>
        <v>0</v>
      </c>
    </row>
    <row r="134" spans="1:7" x14ac:dyDescent="0.2">
      <c r="A134" s="1" t="s">
        <v>4817</v>
      </c>
      <c r="G134" s="1658">
        <v>0</v>
      </c>
    </row>
    <row r="135" spans="1:7" x14ac:dyDescent="0.2">
      <c r="A135" t="s">
        <v>1737</v>
      </c>
      <c r="G135" s="1657"/>
    </row>
    <row r="136" spans="1:7" ht="13.5" thickBot="1" x14ac:dyDescent="0.25">
      <c r="A136" s="1" t="s">
        <v>4818</v>
      </c>
      <c r="G136" s="1429">
        <f>G133+G134+G135</f>
        <v>0</v>
      </c>
    </row>
    <row r="137" spans="1:7" ht="13.5" thickTop="1" x14ac:dyDescent="0.2"/>
  </sheetData>
  <sheetProtection algorithmName="SHA-512" hashValue="P5VCZ9IR0Ljs6m5Vj1xU2yCnjb8eRdWKOuPy4AgWkUW1lobpnfmfE2XcJQ6nOUCBaBOxiMVaHi7yuDV1iJ9QKg==" saltValue="LHRqkce3BS7g1pQgk0Zeug==" spinCount="100000" sheet="1" objects="1" scenarios="1" autoFilter="0"/>
  <mergeCells count="10">
    <mergeCell ref="C7:E7"/>
    <mergeCell ref="I8:K8"/>
    <mergeCell ref="A76:E76"/>
    <mergeCell ref="A78:E78"/>
    <mergeCell ref="A1:K1"/>
    <mergeCell ref="L1:L3"/>
    <mergeCell ref="A2:K2"/>
    <mergeCell ref="A3:K3"/>
    <mergeCell ref="A4:K4"/>
    <mergeCell ref="H6:K6"/>
  </mergeCells>
  <conditionalFormatting sqref="L1:L4">
    <cfRule type="cellIs" dxfId="9" priority="1" stopIfTrue="1" operator="equal">
      <formula>"na"</formula>
    </cfRule>
  </conditionalFormatting>
  <dataValidations count="1">
    <dataValidation type="textLength" operator="equal" allowBlank="1" showInputMessage="1" showErrorMessage="1" errorTitle="Invalid data!" error="GASB number must be 4 digits." sqref="C8" xr:uid="{FCF07CEC-3594-40A6-91E2-9444B923178D}">
      <formula1>4</formula1>
    </dataValidation>
  </dataValidations>
  <hyperlinks>
    <hyperlink ref="A1:H1" location="Index!A1" display="Index!A1" xr:uid="{156ED806-A4F9-426E-B513-B1D668DF7934}"/>
  </hyperlinks>
  <pageMargins left="0.75" right="0.5" top="0.5" bottom="0.5" header="0.5" footer="0.25"/>
  <pageSetup scale="78" orientation="portrait" r:id="rId1"/>
  <headerFooter alignWithMargins="0">
    <oddFooter>&amp;R&amp;A</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5"/>
  <dimension ref="A1:Y263"/>
  <sheetViews>
    <sheetView showGridLines="0" zoomScaleNormal="100" zoomScaleSheetLayoutView="100" workbookViewId="0">
      <selection activeCell="F13" sqref="F13"/>
    </sheetView>
  </sheetViews>
  <sheetFormatPr defaultColWidth="9.42578125" defaultRowHeight="12.75" x14ac:dyDescent="0.2"/>
  <cols>
    <col min="1" max="1" width="4.42578125" bestFit="1" customWidth="1"/>
    <col min="2" max="2" width="15.42578125" customWidth="1"/>
    <col min="3" max="3" width="26.28515625" customWidth="1"/>
    <col min="4" max="4" width="1.5703125" customWidth="1"/>
    <col min="5" max="5" width="2.42578125" customWidth="1"/>
    <col min="6" max="6" width="19.42578125" style="365" customWidth="1"/>
    <col min="7" max="7" width="1.5703125" customWidth="1"/>
    <col min="8" max="8" width="17.85546875" style="365" bestFit="1" customWidth="1"/>
    <col min="9" max="9" width="1.42578125" customWidth="1"/>
    <col min="10" max="10" width="15.5703125" customWidth="1"/>
    <col min="11" max="11" width="1.42578125" customWidth="1"/>
    <col min="12" max="12" width="13.140625" customWidth="1"/>
    <col min="13" max="13" width="1.42578125" customWidth="1"/>
    <col min="14" max="14" width="10.42578125" customWidth="1"/>
  </cols>
  <sheetData>
    <row r="1" spans="1:25" ht="15.75" x14ac:dyDescent="0.25">
      <c r="A1" s="2455" t="str">
        <f>+Index!$A$1</f>
        <v xml:space="preserve">                                                               Office of the State Controller                                                                </v>
      </c>
      <c r="B1" s="2455"/>
      <c r="C1" s="2455"/>
      <c r="D1" s="2455"/>
      <c r="E1" s="2455"/>
      <c r="F1" s="2455"/>
      <c r="G1" s="2455"/>
      <c r="H1" s="2214"/>
      <c r="I1" s="2214"/>
      <c r="J1" s="992"/>
      <c r="K1" s="993" t="s">
        <v>4819</v>
      </c>
      <c r="L1" s="992"/>
      <c r="M1" s="2214"/>
      <c r="N1" s="2456" t="str">
        <f>IF(Index!$B$112="na", "NA", "")</f>
        <v/>
      </c>
      <c r="O1" s="2214"/>
      <c r="Q1" s="2214"/>
      <c r="R1" s="2214"/>
      <c r="S1" s="2214"/>
      <c r="T1" s="2214"/>
      <c r="U1" s="2214"/>
      <c r="V1" s="2214"/>
      <c r="W1" s="2214"/>
      <c r="X1" s="2214"/>
    </row>
    <row r="2" spans="1:25" ht="16.5" x14ac:dyDescent="0.3">
      <c r="A2" s="2988" t="str">
        <f>+Index!$A$2</f>
        <v>2023 ACFR Worksheets</v>
      </c>
      <c r="B2" s="2988"/>
      <c r="C2" s="2988"/>
      <c r="D2" s="2988"/>
      <c r="E2" s="2988"/>
      <c r="F2" s="2988"/>
      <c r="G2" s="2988"/>
      <c r="H2" s="2214"/>
      <c r="I2" s="2208"/>
      <c r="J2" s="994"/>
      <c r="K2" s="991" t="s">
        <v>4820</v>
      </c>
      <c r="L2" s="995">
        <v>0.15</v>
      </c>
      <c r="M2" s="2208"/>
      <c r="N2" s="2456"/>
      <c r="O2" s="2208"/>
      <c r="Q2" s="353"/>
      <c r="R2" s="353"/>
      <c r="S2" s="353"/>
      <c r="T2" s="353"/>
      <c r="U2" s="353"/>
      <c r="V2" s="353"/>
      <c r="W2" s="353"/>
      <c r="X2" s="353"/>
    </row>
    <row r="3" spans="1:25" ht="16.5" customHeight="1" x14ac:dyDescent="0.3">
      <c r="B3" s="2978" t="s">
        <v>4821</v>
      </c>
      <c r="C3" s="2978"/>
      <c r="D3" s="2978"/>
      <c r="E3" s="2978"/>
      <c r="F3" s="2978"/>
      <c r="G3" s="2978"/>
      <c r="H3" s="2372"/>
      <c r="I3" s="2372"/>
      <c r="J3" s="996"/>
      <c r="K3" s="991" t="s">
        <v>4822</v>
      </c>
      <c r="L3" s="997">
        <f>IF(C5="69",15000000,IF(C5="U30",30000000,IF(OR(C5="U20",C5="48",C5="48E",C5="48L",C5="48R",C5="48C",C5="48T",C5="48HP",C5="48CW",C5="48X"),40000000,10000000)))</f>
        <v>10000000</v>
      </c>
      <c r="M3" s="2372"/>
      <c r="N3" s="2456"/>
      <c r="O3" s="2372"/>
      <c r="Q3" s="353"/>
      <c r="R3" s="353"/>
      <c r="S3" s="353"/>
      <c r="T3" s="353"/>
      <c r="U3" s="353"/>
      <c r="V3" s="353"/>
      <c r="W3" s="353"/>
      <c r="X3" s="353"/>
    </row>
    <row r="4" spans="1:25" ht="13.5" x14ac:dyDescent="0.25">
      <c r="A4" s="2503" t="s">
        <v>4823</v>
      </c>
      <c r="B4" s="2503"/>
      <c r="C4" s="2503"/>
      <c r="D4" s="2503"/>
      <c r="E4" s="2503"/>
      <c r="F4" s="2503"/>
      <c r="G4" s="2503"/>
      <c r="H4" s="2231"/>
      <c r="I4" s="2231"/>
      <c r="J4" s="998"/>
      <c r="K4" s="991" t="s">
        <v>4824</v>
      </c>
      <c r="L4" s="999">
        <f>COUNTIF(N6:N259,"=C")</f>
        <v>0</v>
      </c>
      <c r="M4" s="2231"/>
    </row>
    <row r="5" spans="1:25" s="124" customFormat="1" ht="15" customHeight="1" x14ac:dyDescent="0.2">
      <c r="B5" s="124" t="s">
        <v>317</v>
      </c>
      <c r="C5" s="359" t="str">
        <f>+Index!$E$10</f>
        <v>01</v>
      </c>
      <c r="D5" s="356"/>
      <c r="E5" s="356"/>
      <c r="H5" s="455" t="s">
        <v>319</v>
      </c>
      <c r="I5" s="2979" t="str">
        <f>+CONCATENATE(Index!$E$12," ",Index!$E$14)</f>
        <v xml:space="preserve"> </v>
      </c>
      <c r="J5" s="2979"/>
      <c r="K5" s="2979"/>
      <c r="L5" s="2979"/>
      <c r="M5"/>
      <c r="N5"/>
      <c r="O5"/>
      <c r="Q5" s="354"/>
      <c r="Y5" s="123"/>
    </row>
    <row r="6" spans="1:25" s="124" customFormat="1" ht="15" customHeight="1" x14ac:dyDescent="0.2">
      <c r="B6" s="124" t="s">
        <v>318</v>
      </c>
      <c r="C6" s="2993" t="str">
        <f>+Index!$E$11</f>
        <v>North Carolina General Assembly</v>
      </c>
      <c r="D6" s="2993"/>
      <c r="E6" s="2993"/>
      <c r="F6" s="2993"/>
      <c r="H6" s="449" t="s">
        <v>71</v>
      </c>
      <c r="I6" s="385"/>
      <c r="J6" s="2994">
        <f>+Index!$E$13</f>
        <v>0</v>
      </c>
      <c r="K6" s="2994"/>
      <c r="L6" s="2994"/>
      <c r="Q6" s="355"/>
      <c r="R6" s="355"/>
      <c r="S6" s="355"/>
      <c r="T6" s="355"/>
      <c r="U6" s="355"/>
      <c r="V6" s="355"/>
      <c r="W6" s="355"/>
      <c r="X6" s="125"/>
      <c r="Y6" s="123"/>
    </row>
    <row r="7" spans="1:25" s="124" customFormat="1" ht="15" customHeight="1" x14ac:dyDescent="0.2">
      <c r="B7" s="124" t="s">
        <v>568</v>
      </c>
      <c r="C7" s="990" t="e">
        <f>INDEX(NetAssetsData,MATCH('905'!$C$5,NetAssetsDataRow,0),4)</f>
        <v>#N/A</v>
      </c>
      <c r="D7" s="598"/>
      <c r="E7" s="598"/>
      <c r="G7" s="354"/>
      <c r="Y7" s="123"/>
    </row>
    <row r="8" spans="1:25" s="27" customFormat="1" ht="12" customHeight="1" x14ac:dyDescent="0.2">
      <c r="B8" s="835" t="s">
        <v>4825</v>
      </c>
      <c r="C8" s="836"/>
      <c r="D8" s="836"/>
      <c r="E8" s="836"/>
      <c r="F8" s="836"/>
      <c r="G8" s="836"/>
      <c r="H8" s="836"/>
      <c r="I8" s="837"/>
      <c r="J8" s="836"/>
      <c r="K8" s="838"/>
      <c r="L8" s="414"/>
    </row>
    <row r="9" spans="1:25" x14ac:dyDescent="0.2">
      <c r="F9" s="742" t="s">
        <v>4826</v>
      </c>
      <c r="H9" s="742" t="s">
        <v>4827</v>
      </c>
      <c r="N9" s="981" t="s">
        <v>4828</v>
      </c>
    </row>
    <row r="10" spans="1:25" ht="12.75" customHeight="1" x14ac:dyDescent="0.25">
      <c r="B10" s="77"/>
      <c r="C10" s="232"/>
      <c r="D10" s="232"/>
      <c r="E10" s="232"/>
      <c r="F10" s="244" t="str">
        <f>CONCATENATE("FY",YEAR(Data!$A$3),"-",YEAR(Data!$A$2))</f>
        <v>FY2022-2023</v>
      </c>
      <c r="G10" s="245"/>
      <c r="H10" s="244" t="str">
        <f>CONCATENATE("FY",YEAR(Data!$A$3)-1,"-",YEAR(Data!$A$2)-1)</f>
        <v>FY2021-2022</v>
      </c>
      <c r="I10" s="246"/>
      <c r="J10" s="244" t="s">
        <v>2299</v>
      </c>
      <c r="K10" s="247"/>
      <c r="L10" s="248" t="s">
        <v>4829</v>
      </c>
      <c r="M10" s="247"/>
      <c r="N10" s="248" t="s">
        <v>4830</v>
      </c>
    </row>
    <row r="11" spans="1:25" x14ac:dyDescent="0.2">
      <c r="B11" s="2377" t="s">
        <v>4831</v>
      </c>
      <c r="C11" s="456"/>
      <c r="D11" s="456"/>
      <c r="E11" s="456"/>
      <c r="F11" s="456"/>
      <c r="G11" s="456"/>
    </row>
    <row r="12" spans="1:25" x14ac:dyDescent="0.2">
      <c r="B12" s="234" t="s">
        <v>2623</v>
      </c>
      <c r="C12" s="234"/>
      <c r="D12" s="234"/>
      <c r="E12" s="234"/>
    </row>
    <row r="13" spans="1:25" ht="14.25" customHeight="1" x14ac:dyDescent="0.25">
      <c r="A13" s="191">
        <v>1000</v>
      </c>
      <c r="B13" s="2881" t="s">
        <v>2624</v>
      </c>
      <c r="C13" s="2881"/>
      <c r="D13" s="2347"/>
      <c r="E13" s="2347"/>
      <c r="F13" s="366">
        <f>'905'!F13</f>
        <v>0</v>
      </c>
      <c r="H13" s="366" t="e">
        <f>INDEX(PY905Data,MATCH($A13,PY905Row,0),MATCH($C$5,PY905Col,0))</f>
        <v>#N/A</v>
      </c>
      <c r="J13" s="249" t="e">
        <f>F13-H13</f>
        <v>#N/A</v>
      </c>
      <c r="L13" s="250" t="e">
        <f>IF(H13=0,0,J13/H13)</f>
        <v>#N/A</v>
      </c>
      <c r="N13" s="2261" t="str">
        <f>IF($F$88=0," ",IF(AND(ABS(J13)&gt;$L$3,ABS(L13)&gt;$L$2),"C",IF(AND(ABS(F13+H13)&gt;0,H13=0,ABS(J13)&gt;$L$3),"C"," ")))</f>
        <v xml:space="preserve"> </v>
      </c>
    </row>
    <row r="14" spans="1:25" ht="13.5" x14ac:dyDescent="0.25">
      <c r="A14" s="191">
        <v>1010</v>
      </c>
      <c r="B14" s="2881" t="s">
        <v>1527</v>
      </c>
      <c r="C14" s="2881"/>
      <c r="D14" s="2347"/>
      <c r="E14" s="2347"/>
      <c r="F14" s="365">
        <f>'905'!F14</f>
        <v>0</v>
      </c>
      <c r="H14" s="365" t="e">
        <f>INDEX(PY905Data,MATCH($A14,PY905Row,0),MATCH($C$5,PY905Col,0))</f>
        <v>#N/A</v>
      </c>
      <c r="J14" s="249" t="e">
        <f>F14-H14</f>
        <v>#N/A</v>
      </c>
      <c r="L14" s="250" t="e">
        <f>IF(H14=0,0,J14/H14)</f>
        <v>#N/A</v>
      </c>
      <c r="N14" s="2261" t="str">
        <f t="shared" ref="N14:N37" si="0">IF($F$88=0," ",IF(AND(ABS(J14)&gt;$L$3,ABS(L14)&gt;$L$2),"C",IF(AND(ABS(F14+H14)&gt;0,H14=0,ABS(J14)&gt;$L$3),"C"," ")))</f>
        <v xml:space="preserve"> </v>
      </c>
    </row>
    <row r="15" spans="1:25" ht="13.5" x14ac:dyDescent="0.25">
      <c r="A15" s="191">
        <v>1050</v>
      </c>
      <c r="B15" s="2881" t="s">
        <v>2626</v>
      </c>
      <c r="C15" s="2881"/>
      <c r="D15" s="2347"/>
      <c r="E15" s="2347"/>
      <c r="F15" s="365">
        <f>'905'!F15</f>
        <v>0</v>
      </c>
      <c r="H15" s="365" t="e">
        <f>INDEX(PY905Data,MATCH($A15,PY905Row,0),MATCH($C$5,PY905Col,0))</f>
        <v>#N/A</v>
      </c>
      <c r="J15" s="249" t="e">
        <f>F15-H15</f>
        <v>#N/A</v>
      </c>
      <c r="L15" s="250" t="e">
        <f>IF(H15=0,0,J15/H15)</f>
        <v>#N/A</v>
      </c>
      <c r="N15" s="2261" t="str">
        <f t="shared" si="0"/>
        <v xml:space="preserve"> </v>
      </c>
    </row>
    <row r="16" spans="1:25" ht="13.5" x14ac:dyDescent="0.25">
      <c r="A16" s="191">
        <v>1060</v>
      </c>
      <c r="B16" s="2881" t="s">
        <v>2627</v>
      </c>
      <c r="C16" s="2881"/>
      <c r="D16" s="2347"/>
      <c r="E16" s="2347"/>
      <c r="F16" s="365">
        <f>'905'!F16</f>
        <v>0</v>
      </c>
      <c r="H16" s="365" t="e">
        <f>INDEX(PY905Data,MATCH($A16,PY905Row,0),MATCH($C$5,PY905Col,0))</f>
        <v>#N/A</v>
      </c>
      <c r="J16" s="249" t="e">
        <f>F16-H16</f>
        <v>#N/A</v>
      </c>
      <c r="L16" s="250" t="e">
        <f>IF(H16=0,0,J16/H16)</f>
        <v>#N/A</v>
      </c>
      <c r="N16" s="2261" t="str">
        <f t="shared" si="0"/>
        <v xml:space="preserve"> </v>
      </c>
    </row>
    <row r="17" spans="1:14" ht="13.5" x14ac:dyDescent="0.25">
      <c r="A17" s="191">
        <v>1090</v>
      </c>
      <c r="B17" s="2881" t="s">
        <v>2930</v>
      </c>
      <c r="C17" s="2881"/>
      <c r="D17" s="2347"/>
      <c r="E17" s="2347"/>
      <c r="F17" s="365">
        <f>'905'!F17</f>
        <v>0</v>
      </c>
      <c r="H17" s="365" t="e">
        <f>INDEX(PY905Data,MATCH($A17,PY905Row,0),MATCH($C$5,PY905Col,0))</f>
        <v>#N/A</v>
      </c>
      <c r="J17" s="249" t="e">
        <f>F17-H17</f>
        <v>#N/A</v>
      </c>
      <c r="L17" s="250" t="e">
        <f>IF(H17=0,0,J17/H17)</f>
        <v>#N/A</v>
      </c>
      <c r="N17" s="2261" t="str">
        <f t="shared" si="0"/>
        <v xml:space="preserve"> </v>
      </c>
    </row>
    <row r="18" spans="1:14" ht="13.5" x14ac:dyDescent="0.25">
      <c r="A18" s="191"/>
      <c r="B18" s="191" t="s">
        <v>2629</v>
      </c>
      <c r="C18" s="191"/>
      <c r="D18" s="191"/>
      <c r="E18" s="191"/>
      <c r="J18" s="249"/>
      <c r="L18" s="250"/>
    </row>
    <row r="19" spans="1:14" ht="13.5" x14ac:dyDescent="0.25">
      <c r="A19" s="191">
        <v>1110</v>
      </c>
      <c r="B19" s="2987" t="s">
        <v>2630</v>
      </c>
      <c r="C19" s="2987"/>
      <c r="D19" s="2375"/>
      <c r="E19" s="2375"/>
      <c r="F19" s="365">
        <f>'905'!F19</f>
        <v>0</v>
      </c>
      <c r="H19" s="365" t="e">
        <f t="shared" ref="H19:H37" si="1">INDEX(PY905Data,MATCH($A19,PY905Row,0),MATCH($C$5,PY905Col,0))</f>
        <v>#N/A</v>
      </c>
      <c r="J19" s="249" t="e">
        <f t="shared" ref="J19:J27" si="2">F19-H19</f>
        <v>#N/A</v>
      </c>
      <c r="L19" s="250" t="e">
        <f t="shared" ref="L19:L27" si="3">IF(H19=0,0,J19/H19)</f>
        <v>#N/A</v>
      </c>
      <c r="N19" s="2261" t="str">
        <f t="shared" si="0"/>
        <v xml:space="preserve"> </v>
      </c>
    </row>
    <row r="20" spans="1:14" ht="13.5" x14ac:dyDescent="0.25">
      <c r="A20" s="191">
        <v>1120</v>
      </c>
      <c r="B20" s="2987" t="s">
        <v>2631</v>
      </c>
      <c r="C20" s="2987"/>
      <c r="D20" s="2375"/>
      <c r="E20" s="2375"/>
      <c r="F20" s="365">
        <f>'905'!F20</f>
        <v>0</v>
      </c>
      <c r="H20" s="365" t="e">
        <f t="shared" si="1"/>
        <v>#N/A</v>
      </c>
      <c r="J20" s="249" t="e">
        <f t="shared" si="2"/>
        <v>#N/A</v>
      </c>
      <c r="L20" s="250" t="e">
        <f t="shared" si="3"/>
        <v>#N/A</v>
      </c>
      <c r="N20" s="2261" t="str">
        <f t="shared" si="0"/>
        <v xml:space="preserve"> </v>
      </c>
    </row>
    <row r="21" spans="1:14" ht="13.5" x14ac:dyDescent="0.25">
      <c r="A21" s="191">
        <v>1130</v>
      </c>
      <c r="B21" s="2987" t="s">
        <v>2632</v>
      </c>
      <c r="C21" s="2987"/>
      <c r="D21" s="2375"/>
      <c r="E21" s="2375"/>
      <c r="F21" s="365">
        <f>'905'!F21</f>
        <v>0</v>
      </c>
      <c r="H21" s="365" t="e">
        <f t="shared" si="1"/>
        <v>#N/A</v>
      </c>
      <c r="J21" s="249" t="e">
        <f t="shared" si="2"/>
        <v>#N/A</v>
      </c>
      <c r="L21" s="250" t="e">
        <f t="shared" si="3"/>
        <v>#N/A</v>
      </c>
      <c r="N21" s="2261" t="str">
        <f t="shared" si="0"/>
        <v xml:space="preserve"> </v>
      </c>
    </row>
    <row r="22" spans="1:14" ht="13.5" x14ac:dyDescent="0.25">
      <c r="A22" s="191">
        <v>1160</v>
      </c>
      <c r="B22" s="2987" t="s">
        <v>2633</v>
      </c>
      <c r="C22" s="2987"/>
      <c r="D22" s="2375"/>
      <c r="E22" s="2375"/>
      <c r="F22" s="365">
        <f>'905'!F22</f>
        <v>0</v>
      </c>
      <c r="H22" s="365" t="e">
        <f t="shared" si="1"/>
        <v>#N/A</v>
      </c>
      <c r="J22" s="249" t="e">
        <f t="shared" si="2"/>
        <v>#N/A</v>
      </c>
      <c r="L22" s="250" t="e">
        <f t="shared" si="3"/>
        <v>#N/A</v>
      </c>
      <c r="N22" s="2261" t="str">
        <f t="shared" si="0"/>
        <v xml:space="preserve"> </v>
      </c>
    </row>
    <row r="23" spans="1:14" ht="13.5" x14ac:dyDescent="0.25">
      <c r="A23" s="191">
        <v>1175</v>
      </c>
      <c r="B23" s="2881" t="s">
        <v>2984</v>
      </c>
      <c r="C23" s="2881"/>
      <c r="D23" s="2375"/>
      <c r="E23" s="2375"/>
      <c r="F23" s="365">
        <f>'905'!F23</f>
        <v>0</v>
      </c>
      <c r="H23" s="365" t="e">
        <f t="shared" si="1"/>
        <v>#N/A</v>
      </c>
      <c r="J23" s="249" t="e">
        <f t="shared" si="2"/>
        <v>#N/A</v>
      </c>
      <c r="L23" s="250" t="e">
        <f t="shared" si="3"/>
        <v>#N/A</v>
      </c>
      <c r="N23" s="2261" t="str">
        <f t="shared" si="0"/>
        <v xml:space="preserve"> </v>
      </c>
    </row>
    <row r="24" spans="1:14" ht="13.5" x14ac:dyDescent="0.25">
      <c r="A24" s="666">
        <v>1190</v>
      </c>
      <c r="B24" s="2881" t="s">
        <v>4832</v>
      </c>
      <c r="C24" s="2881"/>
      <c r="D24" s="2347"/>
      <c r="E24" s="2347"/>
      <c r="F24" s="365">
        <f>'905'!F24</f>
        <v>0</v>
      </c>
      <c r="H24" s="365" t="e">
        <f t="shared" si="1"/>
        <v>#N/A</v>
      </c>
      <c r="J24" s="249" t="e">
        <f t="shared" si="2"/>
        <v>#N/A</v>
      </c>
      <c r="L24" s="250" t="e">
        <f t="shared" si="3"/>
        <v>#N/A</v>
      </c>
      <c r="N24" s="2261" t="str">
        <f t="shared" si="0"/>
        <v xml:space="preserve"> </v>
      </c>
    </row>
    <row r="25" spans="1:14" ht="13.5" x14ac:dyDescent="0.25">
      <c r="A25" s="666">
        <v>1195</v>
      </c>
      <c r="B25" s="2881" t="s">
        <v>2989</v>
      </c>
      <c r="C25" s="2881"/>
      <c r="D25" s="2347"/>
      <c r="E25" s="2347"/>
      <c r="F25" s="365">
        <f>'905'!F25</f>
        <v>0</v>
      </c>
      <c r="H25" s="365" t="e">
        <f t="shared" si="1"/>
        <v>#N/A</v>
      </c>
      <c r="J25" s="249" t="e">
        <f t="shared" si="2"/>
        <v>#N/A</v>
      </c>
      <c r="L25" s="250" t="e">
        <f t="shared" si="3"/>
        <v>#N/A</v>
      </c>
      <c r="N25" s="2261" t="str">
        <f t="shared" si="0"/>
        <v xml:space="preserve"> </v>
      </c>
    </row>
    <row r="26" spans="1:14" ht="13.5" x14ac:dyDescent="0.25">
      <c r="A26" s="666">
        <v>1200</v>
      </c>
      <c r="B26" s="2881" t="s">
        <v>2992</v>
      </c>
      <c r="C26" s="2881"/>
      <c r="D26" s="2347"/>
      <c r="E26" s="2347"/>
      <c r="F26" s="365">
        <f>'905'!F26</f>
        <v>0</v>
      </c>
      <c r="H26" s="365" t="e">
        <f t="shared" si="1"/>
        <v>#N/A</v>
      </c>
      <c r="J26" s="249" t="e">
        <f t="shared" si="2"/>
        <v>#N/A</v>
      </c>
      <c r="L26" s="250" t="e">
        <f t="shared" si="3"/>
        <v>#N/A</v>
      </c>
      <c r="N26" s="2261" t="str">
        <f t="shared" si="0"/>
        <v xml:space="preserve"> </v>
      </c>
    </row>
    <row r="27" spans="1:14" ht="13.5" x14ac:dyDescent="0.25">
      <c r="A27" s="191">
        <v>1220</v>
      </c>
      <c r="B27" s="2881" t="s">
        <v>2638</v>
      </c>
      <c r="C27" s="2881"/>
      <c r="D27" s="2347"/>
      <c r="E27" s="2347"/>
      <c r="F27" s="365">
        <f>'905'!F27</f>
        <v>0</v>
      </c>
      <c r="H27" s="365" t="e">
        <f t="shared" si="1"/>
        <v>#N/A</v>
      </c>
      <c r="J27" s="249" t="e">
        <f t="shared" si="2"/>
        <v>#N/A</v>
      </c>
      <c r="L27" s="250" t="e">
        <f t="shared" si="3"/>
        <v>#N/A</v>
      </c>
      <c r="N27" s="2261" t="str">
        <f t="shared" si="0"/>
        <v xml:space="preserve"> </v>
      </c>
    </row>
    <row r="28" spans="1:14" ht="13.5" x14ac:dyDescent="0.25">
      <c r="A28" s="191">
        <v>1230</v>
      </c>
      <c r="B28" s="2881" t="s">
        <v>2639</v>
      </c>
      <c r="C28" s="2881"/>
      <c r="D28" s="2347"/>
      <c r="E28" s="2347"/>
      <c r="F28" s="365">
        <f>'905'!F28</f>
        <v>0</v>
      </c>
      <c r="H28" s="365" t="e">
        <f t="shared" si="1"/>
        <v>#N/A</v>
      </c>
      <c r="J28" s="249" t="e">
        <f t="shared" ref="J28:J37" si="4">F28-H28</f>
        <v>#N/A</v>
      </c>
      <c r="L28" s="250" t="e">
        <f t="shared" ref="L28:L37" si="5">IF(H28=0,0,J28/H28)</f>
        <v>#N/A</v>
      </c>
      <c r="N28" s="2261" t="str">
        <f t="shared" si="0"/>
        <v xml:space="preserve"> </v>
      </c>
    </row>
    <row r="29" spans="1:14" ht="13.5" x14ac:dyDescent="0.25">
      <c r="A29" s="191">
        <v>1210</v>
      </c>
      <c r="B29" s="2881" t="s">
        <v>2640</v>
      </c>
      <c r="C29" s="2881"/>
      <c r="D29" s="2347"/>
      <c r="E29" s="2347"/>
      <c r="F29" s="365">
        <f>'905'!F29</f>
        <v>0</v>
      </c>
      <c r="H29" s="365" t="e">
        <f t="shared" si="1"/>
        <v>#N/A</v>
      </c>
      <c r="J29" s="249" t="e">
        <f t="shared" si="4"/>
        <v>#N/A</v>
      </c>
      <c r="L29" s="250" t="e">
        <f t="shared" si="5"/>
        <v>#N/A</v>
      </c>
      <c r="N29" s="2261" t="str">
        <f t="shared" si="0"/>
        <v xml:space="preserve"> </v>
      </c>
    </row>
    <row r="30" spans="1:14" ht="13.5" x14ac:dyDescent="0.25">
      <c r="A30" s="191">
        <v>1211</v>
      </c>
      <c r="B30" s="2881" t="s">
        <v>4623</v>
      </c>
      <c r="C30" s="2881"/>
      <c r="D30" s="2347"/>
      <c r="E30" s="2347"/>
      <c r="F30" s="365">
        <f>'905'!F30</f>
        <v>0</v>
      </c>
      <c r="H30" s="365" t="e">
        <f t="shared" si="1"/>
        <v>#N/A</v>
      </c>
      <c r="J30" s="249" t="e">
        <f t="shared" si="4"/>
        <v>#N/A</v>
      </c>
      <c r="L30" s="250" t="e">
        <f t="shared" si="5"/>
        <v>#N/A</v>
      </c>
      <c r="N30" s="2261" t="str">
        <f t="shared" si="0"/>
        <v xml:space="preserve"> </v>
      </c>
    </row>
    <row r="31" spans="1:14" ht="13.5" x14ac:dyDescent="0.25">
      <c r="A31" s="2366">
        <v>1214</v>
      </c>
      <c r="B31" s="2946" t="s">
        <v>4624</v>
      </c>
      <c r="C31" s="2946"/>
      <c r="D31" s="2946"/>
      <c r="E31" s="2946"/>
      <c r="F31" s="365">
        <f>'905'!F31</f>
        <v>0</v>
      </c>
      <c r="H31" s="365" t="e">
        <f>INDEX(PY905Data,MATCH($A31,PY905Row,0),MATCH($C$5,PY905Col,0))</f>
        <v>#N/A</v>
      </c>
      <c r="J31" s="249" t="e">
        <f>F31-H31</f>
        <v>#N/A</v>
      </c>
      <c r="L31" s="250" t="e">
        <f>IF(H31=0,0,J31/H31)</f>
        <v>#N/A</v>
      </c>
      <c r="N31" s="2261" t="str">
        <f>IF($F$88=0," ",IF(AND(ABS(J31)&gt;$L$3,ABS(L31)&gt;$L$2),"C",IF(AND(ABS(F31+H31)&gt;0,H31=0,ABS(J31)&gt;$L$3),"C"," ")))</f>
        <v xml:space="preserve"> </v>
      </c>
    </row>
    <row r="32" spans="1:14" ht="13.5" x14ac:dyDescent="0.25">
      <c r="A32" s="191">
        <v>1020</v>
      </c>
      <c r="B32" s="2881" t="s">
        <v>2644</v>
      </c>
      <c r="C32" s="2881"/>
      <c r="D32" s="2347"/>
      <c r="E32" s="2347"/>
      <c r="F32" s="365">
        <f>'905'!F32</f>
        <v>0</v>
      </c>
      <c r="H32" s="365" t="e">
        <f t="shared" si="1"/>
        <v>#N/A</v>
      </c>
      <c r="J32" s="249" t="e">
        <f t="shared" si="4"/>
        <v>#N/A</v>
      </c>
      <c r="L32" s="250" t="e">
        <f t="shared" si="5"/>
        <v>#N/A</v>
      </c>
      <c r="N32" s="2261" t="str">
        <f t="shared" si="0"/>
        <v xml:space="preserve"> </v>
      </c>
    </row>
    <row r="33" spans="1:15" ht="13.5" x14ac:dyDescent="0.25">
      <c r="A33" s="191">
        <v>1030</v>
      </c>
      <c r="B33" s="2881" t="s">
        <v>4833</v>
      </c>
      <c r="C33" s="2881"/>
      <c r="D33" s="2347"/>
      <c r="E33" s="2347"/>
      <c r="F33" s="233">
        <f>'905'!F33</f>
        <v>0</v>
      </c>
      <c r="H33" s="365" t="e">
        <f t="shared" si="1"/>
        <v>#N/A</v>
      </c>
      <c r="J33" s="249" t="e">
        <f>F33-H33</f>
        <v>#N/A</v>
      </c>
      <c r="L33" s="250" t="e">
        <f>IF(H33=0,0,J33/H33)</f>
        <v>#N/A</v>
      </c>
      <c r="N33" s="2261" t="str">
        <f t="shared" si="0"/>
        <v xml:space="preserve"> </v>
      </c>
    </row>
    <row r="34" spans="1:15" ht="13.5" x14ac:dyDescent="0.25">
      <c r="A34" s="191">
        <v>1070</v>
      </c>
      <c r="B34" s="2881" t="s">
        <v>2648</v>
      </c>
      <c r="C34" s="2881"/>
      <c r="D34" s="2347"/>
      <c r="E34" s="2347"/>
      <c r="F34" s="233">
        <f>'905'!F34</f>
        <v>0</v>
      </c>
      <c r="H34" s="365" t="e">
        <f t="shared" si="1"/>
        <v>#N/A</v>
      </c>
      <c r="J34" s="249" t="e">
        <f t="shared" si="4"/>
        <v>#N/A</v>
      </c>
      <c r="L34" s="250" t="e">
        <f t="shared" si="5"/>
        <v>#N/A</v>
      </c>
      <c r="N34" s="2261" t="str">
        <f t="shared" si="0"/>
        <v xml:space="preserve"> </v>
      </c>
    </row>
    <row r="35" spans="1:15" ht="13.5" x14ac:dyDescent="0.25">
      <c r="A35" s="191">
        <v>1232</v>
      </c>
      <c r="B35" s="2881" t="s">
        <v>2649</v>
      </c>
      <c r="C35" s="2881"/>
      <c r="D35" s="2347"/>
      <c r="E35" s="2347"/>
      <c r="F35" s="233">
        <f>'905'!F35</f>
        <v>0</v>
      </c>
      <c r="H35" s="365" t="e">
        <f t="shared" si="1"/>
        <v>#N/A</v>
      </c>
      <c r="J35" s="249" t="e">
        <f>F35-H35</f>
        <v>#N/A</v>
      </c>
      <c r="L35" s="250" t="e">
        <f>IF(H35=0,0,J35/H35)</f>
        <v>#N/A</v>
      </c>
      <c r="N35" s="2261" t="str">
        <f>IF($F$88=0," ",IF(AND(ABS(J35)&gt;$L$3,ABS(L35)&gt;$L$2),"C",IF(AND(ABS(F35+H35)&gt;0,H35=0,ABS(J35)&gt;$L$3),"C"," ")))</f>
        <v xml:space="preserve"> </v>
      </c>
    </row>
    <row r="36" spans="1:15" ht="13.5" x14ac:dyDescent="0.25">
      <c r="A36" s="191">
        <v>1235</v>
      </c>
      <c r="B36" s="2881" t="s">
        <v>2650</v>
      </c>
      <c r="C36" s="2881"/>
      <c r="D36" s="2347"/>
      <c r="E36" s="2347"/>
      <c r="F36" s="233">
        <f>'905'!F36</f>
        <v>0</v>
      </c>
      <c r="H36" s="365" t="e">
        <f t="shared" si="1"/>
        <v>#N/A</v>
      </c>
      <c r="J36" s="249" t="e">
        <f>F36-H36</f>
        <v>#N/A</v>
      </c>
      <c r="L36" s="250" t="e">
        <f>IF(H36=0,0,J36/H36)</f>
        <v>#N/A</v>
      </c>
      <c r="N36" s="2261" t="str">
        <f>IF($F$88=0," ",IF(AND(ABS(J36)&gt;$L$3,ABS(L36)&gt;$L$2),"C",IF(AND(ABS(F36+H36)&gt;0,H36=0,ABS(J36)&gt;$L$3),"C"," ")))</f>
        <v xml:space="preserve"> </v>
      </c>
      <c r="O36" s="1021"/>
    </row>
    <row r="37" spans="1:15" ht="13.5" x14ac:dyDescent="0.25">
      <c r="A37" s="191">
        <v>1233</v>
      </c>
      <c r="B37" s="2881" t="s">
        <v>2651</v>
      </c>
      <c r="C37" s="2881"/>
      <c r="D37" s="2347"/>
      <c r="E37" s="2347"/>
      <c r="F37" s="233">
        <f>'905'!F37</f>
        <v>0</v>
      </c>
      <c r="H37" s="365" t="e">
        <f t="shared" si="1"/>
        <v>#N/A</v>
      </c>
      <c r="J37" s="249" t="e">
        <f t="shared" si="4"/>
        <v>#N/A</v>
      </c>
      <c r="L37" s="250" t="e">
        <f t="shared" si="5"/>
        <v>#N/A</v>
      </c>
      <c r="N37" s="2261" t="str">
        <f t="shared" si="0"/>
        <v xml:space="preserve"> </v>
      </c>
      <c r="O37" s="1021"/>
    </row>
    <row r="38" spans="1:15" ht="13.5" x14ac:dyDescent="0.25">
      <c r="B38" s="2881" t="s">
        <v>3040</v>
      </c>
      <c r="C38" s="2881"/>
      <c r="D38" s="2347"/>
      <c r="E38" s="2347"/>
      <c r="F38" s="374">
        <f>SUM(F13:F37)</f>
        <v>0</v>
      </c>
      <c r="H38" s="374" t="e">
        <f>SUM(H13:H37)</f>
        <v>#N/A</v>
      </c>
      <c r="J38" s="249" t="e">
        <f>F38-H38</f>
        <v>#N/A</v>
      </c>
      <c r="L38" s="250" t="e">
        <f>IF(H38=0,0,J38/H38)</f>
        <v>#N/A</v>
      </c>
    </row>
    <row r="39" spans="1:15" ht="6" customHeight="1" x14ac:dyDescent="0.25">
      <c r="B39" s="2358"/>
      <c r="C39" s="2358"/>
      <c r="D39" s="2358"/>
      <c r="E39" s="2358"/>
      <c r="L39" s="250"/>
    </row>
    <row r="40" spans="1:15" ht="13.5" x14ac:dyDescent="0.25">
      <c r="B40" s="234" t="s">
        <v>2653</v>
      </c>
      <c r="C40" s="234"/>
      <c r="D40" s="234"/>
      <c r="E40" s="234"/>
      <c r="L40" s="250"/>
    </row>
    <row r="41" spans="1:15" ht="13.5" x14ac:dyDescent="0.25">
      <c r="A41" s="191">
        <v>1300</v>
      </c>
      <c r="B41" s="2881" t="s">
        <v>1528</v>
      </c>
      <c r="C41" s="2881"/>
      <c r="D41" s="2347"/>
      <c r="E41" s="2347"/>
      <c r="F41" s="365">
        <f>'905'!F41</f>
        <v>0</v>
      </c>
      <c r="H41" s="365" t="e">
        <f>INDEX(PY905Data,MATCH($A41,PY905Row,0),MATCH($C$5,PY905Col,0))</f>
        <v>#N/A</v>
      </c>
      <c r="J41" s="249" t="e">
        <f>F41-H41</f>
        <v>#N/A</v>
      </c>
      <c r="L41" s="250" t="e">
        <f>IF(H41=0,0,J41/H41)</f>
        <v>#N/A</v>
      </c>
      <c r="N41" s="2261" t="str">
        <f t="shared" ref="N41:N68" si="6">IF($F$88=0," ",IF(AND(ABS(J41)&gt;$L$3,ABS(L41)&gt;$L$2),"C",IF(AND(ABS(F41+H41)&gt;0,H41=0,ABS(J41)&gt;$L$3),"C"," ")))</f>
        <v xml:space="preserve"> </v>
      </c>
    </row>
    <row r="42" spans="1:15" ht="13.5" x14ac:dyDescent="0.25">
      <c r="A42" s="191">
        <v>1310</v>
      </c>
      <c r="B42" s="2881" t="s">
        <v>2276</v>
      </c>
      <c r="C42" s="2881"/>
      <c r="D42" s="2347"/>
      <c r="E42" s="2347"/>
      <c r="F42" s="365">
        <f>'905'!F42</f>
        <v>0</v>
      </c>
      <c r="H42" s="365" t="e">
        <f>INDEX(PY905Data,MATCH($A42,PY905Row,0),MATCH($C$5,PY905Col,0))</f>
        <v>#N/A</v>
      </c>
      <c r="J42" s="249" t="e">
        <f>F42-H42</f>
        <v>#N/A</v>
      </c>
      <c r="L42" s="250" t="e">
        <f>IF(H42=0,0,J42/H42)</f>
        <v>#N/A</v>
      </c>
      <c r="N42" s="2261" t="str">
        <f t="shared" si="6"/>
        <v xml:space="preserve"> </v>
      </c>
    </row>
    <row r="43" spans="1:15" ht="13.5" x14ac:dyDescent="0.25">
      <c r="A43" s="191"/>
      <c r="B43" s="191" t="s">
        <v>2629</v>
      </c>
      <c r="C43" s="191"/>
      <c r="D43" s="191"/>
      <c r="E43" s="191"/>
      <c r="J43" s="249"/>
      <c r="L43" s="250"/>
    </row>
    <row r="44" spans="1:15" ht="13.5" x14ac:dyDescent="0.25">
      <c r="A44" s="191">
        <v>1340</v>
      </c>
      <c r="B44" s="2987" t="s">
        <v>2630</v>
      </c>
      <c r="C44" s="2987"/>
      <c r="D44" s="2375"/>
      <c r="E44" s="2375"/>
      <c r="F44" s="365">
        <f>'905'!F44</f>
        <v>0</v>
      </c>
      <c r="H44" s="365" t="e">
        <f t="shared" ref="H44:H56" si="7">INDEX(PY905Data,MATCH($A44,PY905Row,0),MATCH($C$5,PY905Col,0))</f>
        <v>#N/A</v>
      </c>
      <c r="J44" s="249" t="e">
        <f t="shared" ref="J44:J61" si="8">F44-H44</f>
        <v>#N/A</v>
      </c>
      <c r="L44" s="250" t="e">
        <f t="shared" ref="L44:L61" si="9">IF(H44=0,0,J44/H44)</f>
        <v>#N/A</v>
      </c>
      <c r="N44" s="2261" t="str">
        <f t="shared" si="6"/>
        <v xml:space="preserve"> </v>
      </c>
    </row>
    <row r="45" spans="1:15" ht="13.5" x14ac:dyDescent="0.25">
      <c r="A45" s="191">
        <v>1345</v>
      </c>
      <c r="B45" s="2987" t="s">
        <v>2631</v>
      </c>
      <c r="C45" s="2987"/>
      <c r="D45" s="2375"/>
      <c r="E45" s="2375"/>
      <c r="F45" s="365">
        <f>'905'!F45</f>
        <v>0</v>
      </c>
      <c r="H45" s="365" t="e">
        <f t="shared" si="7"/>
        <v>#N/A</v>
      </c>
      <c r="J45" s="249" t="e">
        <f t="shared" si="8"/>
        <v>#N/A</v>
      </c>
      <c r="L45" s="250" t="e">
        <f t="shared" si="9"/>
        <v>#N/A</v>
      </c>
      <c r="N45" s="2261" t="str">
        <f t="shared" si="6"/>
        <v xml:space="preserve"> </v>
      </c>
    </row>
    <row r="46" spans="1:15" ht="13.5" x14ac:dyDescent="0.25">
      <c r="A46" s="191">
        <v>1350</v>
      </c>
      <c r="B46" s="2987" t="s">
        <v>2632</v>
      </c>
      <c r="C46" s="2987"/>
      <c r="D46" s="2375"/>
      <c r="E46" s="2375"/>
      <c r="F46" s="365">
        <f>'905'!F46</f>
        <v>0</v>
      </c>
      <c r="H46" s="365" t="e">
        <f t="shared" si="7"/>
        <v>#N/A</v>
      </c>
      <c r="J46" s="249" t="e">
        <f t="shared" si="8"/>
        <v>#N/A</v>
      </c>
      <c r="L46" s="250" t="e">
        <f t="shared" si="9"/>
        <v>#N/A</v>
      </c>
      <c r="N46" s="2261" t="str">
        <f t="shared" si="6"/>
        <v xml:space="preserve"> </v>
      </c>
    </row>
    <row r="47" spans="1:15" ht="13.5" x14ac:dyDescent="0.25">
      <c r="A47" s="191">
        <v>1370</v>
      </c>
      <c r="B47" s="2987" t="s">
        <v>2633</v>
      </c>
      <c r="C47" s="2987"/>
      <c r="D47" s="2375"/>
      <c r="E47" s="2375"/>
      <c r="F47" s="365">
        <f>'905'!F47</f>
        <v>0</v>
      </c>
      <c r="H47" s="365" t="e">
        <f t="shared" si="7"/>
        <v>#N/A</v>
      </c>
      <c r="J47" s="249" t="e">
        <f t="shared" si="8"/>
        <v>#N/A</v>
      </c>
      <c r="L47" s="250" t="e">
        <f t="shared" si="9"/>
        <v>#N/A</v>
      </c>
      <c r="N47" s="2261" t="str">
        <f t="shared" si="6"/>
        <v xml:space="preserve"> </v>
      </c>
    </row>
    <row r="48" spans="1:15" ht="13.5" x14ac:dyDescent="0.25">
      <c r="A48" s="191">
        <v>1400</v>
      </c>
      <c r="B48" s="2881" t="s">
        <v>2640</v>
      </c>
      <c r="C48" s="2881"/>
      <c r="D48" s="2347"/>
      <c r="E48" s="2347"/>
      <c r="F48" s="365">
        <f>'905'!F48</f>
        <v>0</v>
      </c>
      <c r="H48" s="365" t="e">
        <f t="shared" si="7"/>
        <v>#N/A</v>
      </c>
      <c r="J48" s="249" t="e">
        <f t="shared" si="8"/>
        <v>#N/A</v>
      </c>
      <c r="L48" s="250" t="e">
        <f t="shared" si="9"/>
        <v>#N/A</v>
      </c>
      <c r="N48" s="2261" t="str">
        <f t="shared" si="6"/>
        <v xml:space="preserve"> </v>
      </c>
    </row>
    <row r="49" spans="1:15" ht="13.5" x14ac:dyDescent="0.25">
      <c r="A49" s="191">
        <v>1401</v>
      </c>
      <c r="B49" s="2881" t="s">
        <v>4623</v>
      </c>
      <c r="C49" s="2881"/>
      <c r="D49" s="2347"/>
      <c r="E49" s="2347"/>
      <c r="F49" s="365">
        <f>'905'!F49</f>
        <v>0</v>
      </c>
      <c r="H49" s="365" t="e">
        <f t="shared" si="7"/>
        <v>#N/A</v>
      </c>
      <c r="J49" s="249" t="e">
        <f t="shared" si="8"/>
        <v>#N/A</v>
      </c>
      <c r="L49" s="250" t="e">
        <f t="shared" si="9"/>
        <v>#N/A</v>
      </c>
      <c r="N49" s="2261" t="str">
        <f t="shared" si="6"/>
        <v xml:space="preserve"> </v>
      </c>
    </row>
    <row r="50" spans="1:15" ht="13.5" x14ac:dyDescent="0.25">
      <c r="A50" s="2366">
        <v>1404</v>
      </c>
      <c r="B50" s="2946" t="s">
        <v>4625</v>
      </c>
      <c r="C50" s="2946"/>
      <c r="D50" s="2946"/>
      <c r="E50" s="2946"/>
      <c r="F50" s="365">
        <f>'905'!F50</f>
        <v>0</v>
      </c>
      <c r="H50" s="365" t="e">
        <f>INDEX(PY905Data,MATCH($A50,PY905Row,0),MATCH($C$5,PY905Col,0))</f>
        <v>#N/A</v>
      </c>
      <c r="J50" s="249" t="e">
        <f>F50-H50</f>
        <v>#N/A</v>
      </c>
      <c r="L50" s="250" t="e">
        <f>IF(H50=0,0,J50/H50)</f>
        <v>#N/A</v>
      </c>
      <c r="N50" s="2261" t="str">
        <f>IF($F$88=0," ",IF(AND(ABS(J50)&gt;$L$3,ABS(L50)&gt;$L$2),"C",IF(AND(ABS(F50+H50)&gt;0,H50=0,ABS(J50)&gt;$L$3),"C"," ")))</f>
        <v xml:space="preserve"> </v>
      </c>
    </row>
    <row r="51" spans="1:15" ht="13.5" x14ac:dyDescent="0.25">
      <c r="A51" s="191">
        <v>1415</v>
      </c>
      <c r="B51" s="2881" t="s">
        <v>2655</v>
      </c>
      <c r="C51" s="2881"/>
      <c r="D51" s="2347"/>
      <c r="E51" s="2347"/>
      <c r="F51" s="365">
        <f>'905'!F51</f>
        <v>0</v>
      </c>
      <c r="H51" s="365" t="e">
        <f t="shared" si="7"/>
        <v>#N/A</v>
      </c>
      <c r="J51" s="249" t="e">
        <f t="shared" si="8"/>
        <v>#N/A</v>
      </c>
      <c r="L51" s="250" t="e">
        <f t="shared" si="9"/>
        <v>#N/A</v>
      </c>
      <c r="N51" s="2261" t="str">
        <f t="shared" si="6"/>
        <v xml:space="preserve"> </v>
      </c>
    </row>
    <row r="52" spans="1:15" ht="13.5" x14ac:dyDescent="0.25">
      <c r="A52" s="191">
        <v>1420</v>
      </c>
      <c r="B52" s="2881" t="s">
        <v>4834</v>
      </c>
      <c r="C52" s="2881"/>
      <c r="D52" s="2347"/>
      <c r="E52" s="2347"/>
      <c r="F52" s="365">
        <f>'905'!F52</f>
        <v>0</v>
      </c>
      <c r="H52" s="365" t="e">
        <f t="shared" si="7"/>
        <v>#N/A</v>
      </c>
      <c r="J52" s="249" t="e">
        <f t="shared" si="8"/>
        <v>#N/A</v>
      </c>
      <c r="L52" s="250" t="e">
        <f t="shared" si="9"/>
        <v>#N/A</v>
      </c>
      <c r="N52" s="2261" t="str">
        <f t="shared" si="6"/>
        <v xml:space="preserve"> </v>
      </c>
    </row>
    <row r="53" spans="1:15" ht="13.5" x14ac:dyDescent="0.25">
      <c r="A53" s="191">
        <v>1270</v>
      </c>
      <c r="B53" s="2881" t="s">
        <v>2644</v>
      </c>
      <c r="C53" s="2881"/>
      <c r="D53" s="2347"/>
      <c r="E53" s="2347"/>
      <c r="F53" s="365">
        <f>'905'!F53</f>
        <v>0</v>
      </c>
      <c r="H53" s="365" t="e">
        <f t="shared" si="7"/>
        <v>#N/A</v>
      </c>
      <c r="J53" s="249" t="e">
        <f t="shared" si="8"/>
        <v>#N/A</v>
      </c>
      <c r="L53" s="250" t="e">
        <f t="shared" si="9"/>
        <v>#N/A</v>
      </c>
      <c r="N53" s="2261" t="str">
        <f t="shared" si="6"/>
        <v xml:space="preserve"> </v>
      </c>
    </row>
    <row r="54" spans="1:15" ht="13.5" x14ac:dyDescent="0.25">
      <c r="A54" s="191">
        <v>1280</v>
      </c>
      <c r="B54" s="2881" t="s">
        <v>2656</v>
      </c>
      <c r="C54" s="2881"/>
      <c r="D54" s="2347"/>
      <c r="E54" s="2347"/>
      <c r="F54" s="365">
        <f>'905'!F54</f>
        <v>0</v>
      </c>
      <c r="H54" s="365" t="e">
        <f t="shared" si="7"/>
        <v>#N/A</v>
      </c>
      <c r="J54" s="249" t="e">
        <f t="shared" si="8"/>
        <v>#N/A</v>
      </c>
      <c r="L54" s="250" t="e">
        <f t="shared" si="9"/>
        <v>#N/A</v>
      </c>
      <c r="N54" s="2261" t="str">
        <f t="shared" si="6"/>
        <v xml:space="preserve"> </v>
      </c>
    </row>
    <row r="55" spans="1:15" ht="13.5" x14ac:dyDescent="0.25">
      <c r="A55" s="191">
        <v>1410</v>
      </c>
      <c r="B55" s="2881" t="s">
        <v>4755</v>
      </c>
      <c r="C55" s="2881"/>
      <c r="D55" s="2347"/>
      <c r="E55" s="2347"/>
      <c r="F55" s="365">
        <f>'905'!F55</f>
        <v>0</v>
      </c>
      <c r="H55" s="365" t="e">
        <f t="shared" si="7"/>
        <v>#N/A</v>
      </c>
      <c r="J55" s="249" t="e">
        <f t="shared" si="8"/>
        <v>#N/A</v>
      </c>
      <c r="L55" s="250" t="e">
        <f t="shared" si="9"/>
        <v>#N/A</v>
      </c>
      <c r="N55" s="2261" t="str">
        <f t="shared" si="6"/>
        <v xml:space="preserve"> </v>
      </c>
    </row>
    <row r="56" spans="1:15" ht="13.5" x14ac:dyDescent="0.25">
      <c r="A56" s="191"/>
      <c r="B56" s="2881" t="s">
        <v>4835</v>
      </c>
      <c r="C56" s="2881"/>
      <c r="D56" s="2347"/>
      <c r="E56" s="2347"/>
      <c r="F56" s="365">
        <f>'905'!F56</f>
        <v>0</v>
      </c>
      <c r="H56" s="365" t="e">
        <f t="shared" si="7"/>
        <v>#N/A</v>
      </c>
      <c r="J56" s="249" t="e">
        <f t="shared" si="8"/>
        <v>#N/A</v>
      </c>
      <c r="L56" s="250" t="e">
        <f t="shared" si="9"/>
        <v>#N/A</v>
      </c>
      <c r="N56" s="2261" t="str">
        <f t="shared" si="6"/>
        <v xml:space="preserve"> </v>
      </c>
    </row>
    <row r="57" spans="1:15" ht="13.5" x14ac:dyDescent="0.25">
      <c r="A57" s="666">
        <v>1395</v>
      </c>
      <c r="B57" s="2881" t="s">
        <v>4836</v>
      </c>
      <c r="C57" s="2881"/>
      <c r="D57" s="2347"/>
      <c r="E57" s="2347"/>
      <c r="F57" s="365">
        <f>'905'!F57</f>
        <v>0</v>
      </c>
      <c r="H57" s="365" t="e">
        <f>INDEX(PY905Data,MATCH($A57,PY905Row,0),MATCH($C$5,PY905Col,0))</f>
        <v>#N/A</v>
      </c>
      <c r="J57" s="249" t="e">
        <f t="shared" si="8"/>
        <v>#N/A</v>
      </c>
      <c r="L57" s="250" t="e">
        <f t="shared" si="9"/>
        <v>#N/A</v>
      </c>
      <c r="N57" s="2261" t="str">
        <f t="shared" si="6"/>
        <v xml:space="preserve"> </v>
      </c>
    </row>
    <row r="58" spans="1:15" ht="13.5" x14ac:dyDescent="0.25">
      <c r="A58" s="666">
        <v>1390</v>
      </c>
      <c r="B58" s="2881" t="s">
        <v>3108</v>
      </c>
      <c r="C58" s="2881"/>
      <c r="D58" s="2347"/>
      <c r="E58" s="2347"/>
      <c r="F58" s="365">
        <f>'905'!F58</f>
        <v>0</v>
      </c>
      <c r="H58" s="365" t="e">
        <f>INDEX(PY905Data,MATCH($A58,PY905Row,0),MATCH($C$5,PY905Col,0))</f>
        <v>#N/A</v>
      </c>
      <c r="J58" s="249" t="e">
        <f t="shared" si="8"/>
        <v>#N/A</v>
      </c>
      <c r="L58" s="250" t="e">
        <f t="shared" si="9"/>
        <v>#N/A</v>
      </c>
      <c r="N58" s="2261" t="str">
        <f t="shared" si="6"/>
        <v xml:space="preserve"> </v>
      </c>
    </row>
    <row r="59" spans="1:15" ht="13.5" x14ac:dyDescent="0.25">
      <c r="A59" s="191">
        <v>1432</v>
      </c>
      <c r="B59" s="2881" t="s">
        <v>2649</v>
      </c>
      <c r="C59" s="2881"/>
      <c r="D59" s="2347"/>
      <c r="E59" s="2347"/>
      <c r="F59" s="365">
        <f>'905'!F59</f>
        <v>0</v>
      </c>
      <c r="H59" s="365" t="e">
        <f>INDEX(PY905Data,MATCH($A59,PY905Row,0),MATCH($C$5,PY905Col,0))</f>
        <v>#N/A</v>
      </c>
      <c r="J59" s="249" t="e">
        <f>F59-H59</f>
        <v>#N/A</v>
      </c>
      <c r="L59" s="250" t="e">
        <f>IF(H59=0,0,J59/H59)</f>
        <v>#N/A</v>
      </c>
      <c r="N59" s="2261" t="str">
        <f>IF($F$88=0," ",IF(AND(ABS(J59)&gt;$L$3,ABS(L59)&gt;$L$2),"C",IF(AND(ABS(F59+H59)&gt;0,H59=0,ABS(J59)&gt;$L$3),"C"," ")))</f>
        <v xml:space="preserve"> </v>
      </c>
    </row>
    <row r="60" spans="1:15" ht="13.5" x14ac:dyDescent="0.25">
      <c r="A60" s="191">
        <v>1434</v>
      </c>
      <c r="B60" s="2881" t="s">
        <v>2650</v>
      </c>
      <c r="C60" s="2881"/>
      <c r="D60" s="2347"/>
      <c r="E60" s="2347"/>
      <c r="F60" s="365">
        <f>'905'!F60</f>
        <v>0</v>
      </c>
      <c r="H60" s="365" t="e">
        <f>INDEX(PY905Data,MATCH($A60,PY905Row,0),MATCH($C$5,PY905Col,0))</f>
        <v>#N/A</v>
      </c>
      <c r="J60" s="249" t="e">
        <f>F60-H60</f>
        <v>#N/A</v>
      </c>
      <c r="L60" s="250" t="e">
        <f>IF(H60=0,0,J60/H60)</f>
        <v>#N/A</v>
      </c>
      <c r="N60" s="2261" t="str">
        <f>IF($F$88=0," ",IF(AND(ABS(J60)&gt;$L$3,ABS(L60)&gt;$L$2),"C",IF(AND(ABS(F60+H60)&gt;0,H60=0,ABS(J60)&gt;$L$3),"C"," ")))</f>
        <v xml:space="preserve"> </v>
      </c>
      <c r="O60" s="1021"/>
    </row>
    <row r="61" spans="1:15" ht="13.5" x14ac:dyDescent="0.25">
      <c r="A61" s="191">
        <v>1433</v>
      </c>
      <c r="B61" s="2881" t="s">
        <v>2651</v>
      </c>
      <c r="C61" s="2881"/>
      <c r="D61" s="2347"/>
      <c r="E61" s="2347"/>
      <c r="F61" s="365">
        <f>'905'!F61</f>
        <v>0</v>
      </c>
      <c r="H61" s="365" t="e">
        <f>INDEX(PY905Data,MATCH($A61,PY905Row,0),MATCH($C$5,PY905Col,0))</f>
        <v>#N/A</v>
      </c>
      <c r="J61" s="249" t="e">
        <f t="shared" si="8"/>
        <v>#N/A</v>
      </c>
      <c r="L61" s="250" t="e">
        <f t="shared" si="9"/>
        <v>#N/A</v>
      </c>
      <c r="N61" s="2261" t="str">
        <f t="shared" si="6"/>
        <v xml:space="preserve"> </v>
      </c>
      <c r="O61" s="1021"/>
    </row>
    <row r="62" spans="1:15" ht="13.5" x14ac:dyDescent="0.25">
      <c r="A62" s="191"/>
      <c r="B62" s="191" t="s">
        <v>4837</v>
      </c>
      <c r="C62" s="191"/>
      <c r="D62" s="191"/>
      <c r="E62" s="191"/>
      <c r="J62" s="249"/>
      <c r="L62" s="250"/>
    </row>
    <row r="63" spans="1:15" ht="13.5" x14ac:dyDescent="0.25">
      <c r="A63" s="666">
        <v>1480</v>
      </c>
      <c r="B63" s="2987" t="s">
        <v>4838</v>
      </c>
      <c r="C63" s="2987"/>
      <c r="D63" s="2375"/>
      <c r="E63" s="2375"/>
      <c r="F63" s="365">
        <f>'905'!F63</f>
        <v>0</v>
      </c>
      <c r="H63" s="365" t="e">
        <f t="shared" ref="H63:H68" si="10">INDEX(PY905Data,MATCH($A63,PY905Row,0),MATCH($C$5,PY905Col,0))</f>
        <v>#N/A</v>
      </c>
      <c r="J63" s="249" t="e">
        <f t="shared" ref="J63:J69" si="11">F63-H63</f>
        <v>#N/A</v>
      </c>
      <c r="L63" s="250" t="e">
        <f t="shared" ref="L63:L69" si="12">IF(H63=0,0,J63/H63)</f>
        <v>#N/A</v>
      </c>
      <c r="N63" s="2261" t="str">
        <f t="shared" si="6"/>
        <v xml:space="preserve"> </v>
      </c>
    </row>
    <row r="64" spans="1:15" ht="13.5" x14ac:dyDescent="0.25">
      <c r="A64" s="666">
        <v>1490</v>
      </c>
      <c r="B64" s="2987" t="s">
        <v>4839</v>
      </c>
      <c r="C64" s="2987"/>
      <c r="D64" s="2375"/>
      <c r="E64" s="2375"/>
      <c r="F64" s="365">
        <f>'905'!F64</f>
        <v>0</v>
      </c>
      <c r="H64" s="365" t="e">
        <f t="shared" si="10"/>
        <v>#N/A</v>
      </c>
      <c r="J64" s="249" t="e">
        <f t="shared" si="11"/>
        <v>#N/A</v>
      </c>
      <c r="L64" s="250" t="e">
        <f t="shared" si="12"/>
        <v>#N/A</v>
      </c>
      <c r="N64" s="2261" t="str">
        <f t="shared" si="6"/>
        <v xml:space="preserve"> </v>
      </c>
    </row>
    <row r="65" spans="1:14" ht="13.5" x14ac:dyDescent="0.25">
      <c r="A65" s="666">
        <v>1500</v>
      </c>
      <c r="B65" s="2987" t="s">
        <v>4840</v>
      </c>
      <c r="C65" s="2987"/>
      <c r="D65" s="2375"/>
      <c r="E65" s="2375"/>
      <c r="F65" s="365">
        <f>'905'!F65</f>
        <v>0</v>
      </c>
      <c r="H65" s="365" t="e">
        <f t="shared" si="10"/>
        <v>#N/A</v>
      </c>
      <c r="J65" s="249" t="e">
        <f t="shared" si="11"/>
        <v>#N/A</v>
      </c>
      <c r="L65" s="250" t="e">
        <f t="shared" si="12"/>
        <v>#N/A</v>
      </c>
      <c r="N65" s="2261" t="str">
        <f t="shared" si="6"/>
        <v xml:space="preserve"> </v>
      </c>
    </row>
    <row r="66" spans="1:14" ht="13.5" x14ac:dyDescent="0.25">
      <c r="A66" s="666">
        <v>1503</v>
      </c>
      <c r="B66" s="2987" t="s">
        <v>4841</v>
      </c>
      <c r="C66" s="2987"/>
      <c r="D66" s="2375"/>
      <c r="E66" s="2375"/>
      <c r="F66" s="365">
        <f>'905'!F66</f>
        <v>0</v>
      </c>
      <c r="H66" s="365" t="e">
        <f t="shared" si="10"/>
        <v>#N/A</v>
      </c>
      <c r="J66" s="249" t="e">
        <f t="shared" si="11"/>
        <v>#N/A</v>
      </c>
      <c r="L66" s="250" t="e">
        <f t="shared" si="12"/>
        <v>#N/A</v>
      </c>
      <c r="N66" s="2261" t="str">
        <f t="shared" si="6"/>
        <v xml:space="preserve"> </v>
      </c>
    </row>
    <row r="67" spans="1:14" ht="13.5" x14ac:dyDescent="0.25">
      <c r="A67" s="666">
        <v>1505</v>
      </c>
      <c r="B67" s="2987" t="s">
        <v>4842</v>
      </c>
      <c r="C67" s="2987"/>
      <c r="D67" s="2375"/>
      <c r="E67" s="2375"/>
      <c r="F67" s="365">
        <f>'905'!F67</f>
        <v>0</v>
      </c>
      <c r="H67" s="365" t="e">
        <f t="shared" si="10"/>
        <v>#N/A</v>
      </c>
      <c r="J67" s="249" t="e">
        <f t="shared" si="11"/>
        <v>#N/A</v>
      </c>
      <c r="L67" s="250" t="e">
        <f t="shared" si="12"/>
        <v>#N/A</v>
      </c>
      <c r="N67" s="2261" t="str">
        <f t="shared" si="6"/>
        <v xml:space="preserve"> </v>
      </c>
    </row>
    <row r="68" spans="1:14" ht="13.5" x14ac:dyDescent="0.25">
      <c r="A68" s="666">
        <v>1506</v>
      </c>
      <c r="B68" s="2987" t="s">
        <v>4843</v>
      </c>
      <c r="C68" s="2987"/>
      <c r="D68" s="2375"/>
      <c r="E68" s="2375"/>
      <c r="F68" s="367">
        <f>'905'!F68</f>
        <v>0</v>
      </c>
      <c r="H68" s="365" t="e">
        <f t="shared" si="10"/>
        <v>#N/A</v>
      </c>
      <c r="J68" s="249" t="e">
        <f>F68-H68</f>
        <v>#N/A</v>
      </c>
      <c r="L68" s="250" t="e">
        <f>IF(H68=0,0,J68/H68)</f>
        <v>#N/A</v>
      </c>
      <c r="N68" s="2261" t="str">
        <f t="shared" si="6"/>
        <v xml:space="preserve"> </v>
      </c>
    </row>
    <row r="69" spans="1:14" ht="13.5" x14ac:dyDescent="0.25">
      <c r="A69" s="191"/>
      <c r="B69" s="2881" t="s">
        <v>4844</v>
      </c>
      <c r="C69" s="2881"/>
      <c r="D69" s="2347"/>
      <c r="E69" s="2347"/>
      <c r="F69" s="374">
        <f>SUM(F63:F68)</f>
        <v>0</v>
      </c>
      <c r="H69" s="374" t="e">
        <f>SUM(H63:H68)</f>
        <v>#N/A</v>
      </c>
      <c r="J69" s="249" t="e">
        <f t="shared" si="11"/>
        <v>#N/A</v>
      </c>
      <c r="L69" s="250" t="e">
        <f t="shared" si="12"/>
        <v>#N/A</v>
      </c>
    </row>
    <row r="70" spans="1:14" ht="13.5" x14ac:dyDescent="0.25">
      <c r="A70" s="191"/>
      <c r="B70" s="191" t="s">
        <v>4845</v>
      </c>
      <c r="C70" s="191"/>
      <c r="D70" s="191"/>
      <c r="E70" s="191"/>
      <c r="J70" s="249"/>
      <c r="L70" s="250"/>
    </row>
    <row r="71" spans="1:14" ht="13.5" x14ac:dyDescent="0.25">
      <c r="A71" s="666">
        <v>1520</v>
      </c>
      <c r="B71" s="2987" t="s">
        <v>3156</v>
      </c>
      <c r="C71" s="2987"/>
      <c r="D71" s="2375"/>
      <c r="E71" s="2375"/>
      <c r="F71" s="365">
        <f>'905'!F71</f>
        <v>0</v>
      </c>
      <c r="H71" s="365" t="e">
        <f t="shared" ref="H71:H84" si="13">INDEX(PY905Data,MATCH($A71,PY905Row,0),MATCH($C$5,PY905Col,0))</f>
        <v>#N/A</v>
      </c>
      <c r="J71" s="249" t="e">
        <f t="shared" ref="J71:J86" si="14">F71-H71</f>
        <v>#N/A</v>
      </c>
      <c r="L71" s="250" t="e">
        <f t="shared" ref="L71:L86" si="15">IF(H71=0,0,J71/H71)</f>
        <v>#N/A</v>
      </c>
      <c r="N71" s="2261" t="str">
        <f t="shared" ref="N71:N88" si="16">IF($F$88=0," ",IF(AND(ABS(J71)&gt;$L$3,ABS(L71)&gt;$L$2),"C",IF(AND(ABS(F71+H71)&gt;0,H71=0,ABS(J71)&gt;$L$3),"C"," ")))</f>
        <v xml:space="preserve"> </v>
      </c>
    </row>
    <row r="72" spans="1:14" ht="13.5" x14ac:dyDescent="0.25">
      <c r="A72" s="666">
        <v>1530</v>
      </c>
      <c r="B72" s="2987" t="s">
        <v>3160</v>
      </c>
      <c r="C72" s="2987"/>
      <c r="D72" s="2375"/>
      <c r="E72" s="2375"/>
      <c r="F72" s="365">
        <f>'905'!F72</f>
        <v>0</v>
      </c>
      <c r="H72" s="365" t="e">
        <f t="shared" si="13"/>
        <v>#N/A</v>
      </c>
      <c r="J72" s="249" t="e">
        <f t="shared" si="14"/>
        <v>#N/A</v>
      </c>
      <c r="L72" s="250" t="e">
        <f t="shared" si="15"/>
        <v>#N/A</v>
      </c>
      <c r="N72" s="2261" t="str">
        <f t="shared" si="16"/>
        <v xml:space="preserve"> </v>
      </c>
    </row>
    <row r="73" spans="1:14" ht="13.5" x14ac:dyDescent="0.25">
      <c r="A73" s="666">
        <v>1540</v>
      </c>
      <c r="B73" s="2987" t="s">
        <v>4846</v>
      </c>
      <c r="C73" s="2987"/>
      <c r="D73" s="2375"/>
      <c r="E73" s="2375"/>
      <c r="F73" s="365">
        <f>'905'!F73</f>
        <v>0</v>
      </c>
      <c r="H73" s="365" t="e">
        <f t="shared" si="13"/>
        <v>#N/A</v>
      </c>
      <c r="J73" s="249" t="e">
        <f t="shared" si="14"/>
        <v>#N/A</v>
      </c>
      <c r="L73" s="250" t="e">
        <f t="shared" si="15"/>
        <v>#N/A</v>
      </c>
      <c r="N73" s="2261" t="str">
        <f t="shared" si="16"/>
        <v xml:space="preserve"> </v>
      </c>
    </row>
    <row r="74" spans="1:14" ht="13.5" x14ac:dyDescent="0.25">
      <c r="A74" s="666">
        <v>1550</v>
      </c>
      <c r="B74" s="2987" t="s">
        <v>4847</v>
      </c>
      <c r="C74" s="2987"/>
      <c r="D74" s="2375"/>
      <c r="E74" s="2375"/>
      <c r="F74" s="365">
        <f>'905'!F74</f>
        <v>0</v>
      </c>
      <c r="H74" s="365" t="e">
        <f t="shared" si="13"/>
        <v>#N/A</v>
      </c>
      <c r="J74" s="249" t="e">
        <f t="shared" si="14"/>
        <v>#N/A</v>
      </c>
      <c r="L74" s="250" t="e">
        <f t="shared" si="15"/>
        <v>#N/A</v>
      </c>
      <c r="N74" s="2261" t="str">
        <f t="shared" si="16"/>
        <v xml:space="preserve"> </v>
      </c>
    </row>
    <row r="75" spans="1:14" ht="13.5" x14ac:dyDescent="0.25">
      <c r="A75" s="666">
        <v>1481</v>
      </c>
      <c r="B75" s="2987" t="s">
        <v>4848</v>
      </c>
      <c r="C75" s="2987"/>
      <c r="D75" s="2375"/>
      <c r="E75" s="2375"/>
      <c r="F75" s="365">
        <f>'905'!F75</f>
        <v>0</v>
      </c>
      <c r="H75" s="365" t="e">
        <f t="shared" si="13"/>
        <v>#N/A</v>
      </c>
      <c r="J75" s="249" t="e">
        <f t="shared" si="14"/>
        <v>#N/A</v>
      </c>
      <c r="L75" s="250" t="e">
        <f t="shared" si="15"/>
        <v>#N/A</v>
      </c>
      <c r="N75" s="2261" t="str">
        <f t="shared" si="16"/>
        <v xml:space="preserve"> </v>
      </c>
    </row>
    <row r="76" spans="1:14" ht="13.5" x14ac:dyDescent="0.25">
      <c r="A76" s="666">
        <v>1521</v>
      </c>
      <c r="B76" s="2987" t="s">
        <v>4849</v>
      </c>
      <c r="C76" s="2987"/>
      <c r="D76" s="2375"/>
      <c r="E76" s="2375"/>
      <c r="F76" s="365">
        <f>'905'!F76</f>
        <v>0</v>
      </c>
      <c r="H76" s="365" t="e">
        <f t="shared" si="13"/>
        <v>#N/A</v>
      </c>
      <c r="J76" s="249" t="e">
        <f t="shared" si="14"/>
        <v>#N/A</v>
      </c>
      <c r="L76" s="250" t="e">
        <f t="shared" si="15"/>
        <v>#N/A</v>
      </c>
      <c r="N76" s="2261" t="str">
        <f t="shared" si="16"/>
        <v xml:space="preserve"> </v>
      </c>
    </row>
    <row r="77" spans="1:14" ht="13.5" x14ac:dyDescent="0.25">
      <c r="A77" s="666">
        <v>1531</v>
      </c>
      <c r="B77" s="2992" t="s">
        <v>4850</v>
      </c>
      <c r="C77" s="2992"/>
      <c r="D77" s="2375"/>
      <c r="E77" s="2375"/>
      <c r="F77" s="365">
        <f>'905'!F77</f>
        <v>0</v>
      </c>
      <c r="H77" s="365" t="e">
        <f t="shared" si="13"/>
        <v>#N/A</v>
      </c>
      <c r="J77" s="249" t="e">
        <f t="shared" si="14"/>
        <v>#N/A</v>
      </c>
      <c r="L77" s="250" t="e">
        <f t="shared" si="15"/>
        <v>#N/A</v>
      </c>
      <c r="N77" s="2261" t="str">
        <f t="shared" si="16"/>
        <v xml:space="preserve"> </v>
      </c>
    </row>
    <row r="78" spans="1:14" ht="13.5" x14ac:dyDescent="0.25">
      <c r="A78" s="666">
        <v>1551</v>
      </c>
      <c r="B78" s="2987" t="s">
        <v>4851</v>
      </c>
      <c r="C78" s="2987"/>
      <c r="D78" s="2375"/>
      <c r="E78" s="2375"/>
      <c r="F78" s="365">
        <f>'905'!F78</f>
        <v>0</v>
      </c>
      <c r="H78" s="365" t="e">
        <f t="shared" si="13"/>
        <v>#N/A</v>
      </c>
      <c r="J78" s="249" t="e">
        <f t="shared" si="14"/>
        <v>#N/A</v>
      </c>
      <c r="L78" s="250" t="e">
        <f t="shared" si="15"/>
        <v>#N/A</v>
      </c>
      <c r="N78" s="2261" t="str">
        <f t="shared" si="16"/>
        <v xml:space="preserve"> </v>
      </c>
    </row>
    <row r="79" spans="1:14" ht="13.5" x14ac:dyDescent="0.25">
      <c r="A79" s="666">
        <v>1553</v>
      </c>
      <c r="B79" s="2987" t="s">
        <v>4852</v>
      </c>
      <c r="C79" s="2987"/>
      <c r="D79" s="2375"/>
      <c r="E79" s="2375"/>
      <c r="F79" s="365">
        <f>'905'!F79</f>
        <v>0</v>
      </c>
      <c r="H79" s="365" t="e">
        <f t="shared" si="13"/>
        <v>#N/A</v>
      </c>
      <c r="J79" s="249" t="e">
        <f t="shared" si="14"/>
        <v>#N/A</v>
      </c>
      <c r="L79" s="250" t="e">
        <f t="shared" si="15"/>
        <v>#N/A</v>
      </c>
      <c r="N79" s="2261" t="str">
        <f t="shared" si="16"/>
        <v xml:space="preserve"> </v>
      </c>
    </row>
    <row r="80" spans="1:14" ht="13.5" x14ac:dyDescent="0.25">
      <c r="A80" s="666">
        <v>1555</v>
      </c>
      <c r="B80" s="2987" t="s">
        <v>3183</v>
      </c>
      <c r="C80" s="2987"/>
      <c r="D80" s="2375"/>
      <c r="E80" s="2375"/>
      <c r="F80" s="365">
        <f>'905'!F80</f>
        <v>0</v>
      </c>
      <c r="H80" s="365" t="e">
        <f t="shared" si="13"/>
        <v>#N/A</v>
      </c>
      <c r="J80" s="249" t="e">
        <f t="shared" si="14"/>
        <v>#N/A</v>
      </c>
      <c r="L80" s="250" t="e">
        <f t="shared" si="15"/>
        <v>#N/A</v>
      </c>
      <c r="N80" s="2261" t="str">
        <f t="shared" si="16"/>
        <v xml:space="preserve"> </v>
      </c>
    </row>
    <row r="81" spans="1:15" ht="13.5" x14ac:dyDescent="0.25">
      <c r="A81" s="2075">
        <v>1556</v>
      </c>
      <c r="B81" s="2950" t="s">
        <v>2678</v>
      </c>
      <c r="C81" s="2950"/>
      <c r="D81" s="2950"/>
      <c r="E81" s="2950"/>
      <c r="F81" s="365">
        <f>'905'!F81</f>
        <v>0</v>
      </c>
      <c r="H81" s="365" t="e">
        <f t="shared" si="13"/>
        <v>#N/A</v>
      </c>
      <c r="J81" s="249" t="e">
        <f t="shared" ref="J81:J82" si="17">F81-H81</f>
        <v>#N/A</v>
      </c>
      <c r="L81" s="250" t="e">
        <f t="shared" ref="L81:L82" si="18">IF(H81=0,0,J81/H81)</f>
        <v>#N/A</v>
      </c>
      <c r="N81" s="2261"/>
    </row>
    <row r="82" spans="1:15" ht="13.5" x14ac:dyDescent="0.25">
      <c r="A82" s="2075">
        <v>1556</v>
      </c>
      <c r="B82" s="2950" t="s">
        <v>2679</v>
      </c>
      <c r="C82" s="2950"/>
      <c r="D82" s="2950"/>
      <c r="E82" s="2950"/>
      <c r="F82" s="365">
        <f>'905'!F82</f>
        <v>0</v>
      </c>
      <c r="H82" s="365" t="e">
        <f t="shared" si="13"/>
        <v>#N/A</v>
      </c>
      <c r="J82" s="249" t="e">
        <f t="shared" si="17"/>
        <v>#N/A</v>
      </c>
      <c r="L82" s="250" t="e">
        <f t="shared" si="18"/>
        <v>#N/A</v>
      </c>
      <c r="N82" s="2261"/>
    </row>
    <row r="83" spans="1:15" ht="13.5" x14ac:dyDescent="0.25">
      <c r="A83" s="666">
        <v>1560</v>
      </c>
      <c r="B83" s="2987" t="s">
        <v>4853</v>
      </c>
      <c r="C83" s="2987"/>
      <c r="D83" s="2375"/>
      <c r="E83" s="2375"/>
      <c r="F83" s="365">
        <f>'905'!F83</f>
        <v>0</v>
      </c>
      <c r="H83" s="365" t="e">
        <f t="shared" si="13"/>
        <v>#N/A</v>
      </c>
      <c r="J83" s="249" t="e">
        <f t="shared" si="14"/>
        <v>#N/A</v>
      </c>
      <c r="L83" s="250" t="e">
        <f t="shared" si="15"/>
        <v>#N/A</v>
      </c>
      <c r="N83" s="2261" t="str">
        <f t="shared" si="16"/>
        <v xml:space="preserve"> </v>
      </c>
    </row>
    <row r="84" spans="1:15" ht="13.5" x14ac:dyDescent="0.25">
      <c r="A84" s="666">
        <v>1570</v>
      </c>
      <c r="B84" s="2881" t="s">
        <v>3199</v>
      </c>
      <c r="C84" s="2881"/>
      <c r="D84" s="2347"/>
      <c r="E84" s="2347"/>
      <c r="F84" s="367">
        <f>'905'!F84</f>
        <v>0</v>
      </c>
      <c r="H84" s="367" t="e">
        <f t="shared" si="13"/>
        <v>#N/A</v>
      </c>
      <c r="J84" s="249" t="e">
        <f t="shared" si="14"/>
        <v>#N/A</v>
      </c>
      <c r="L84" s="250" t="e">
        <f t="shared" si="15"/>
        <v>#N/A</v>
      </c>
      <c r="N84" s="2261" t="str">
        <f t="shared" si="16"/>
        <v xml:space="preserve"> </v>
      </c>
    </row>
    <row r="85" spans="1:15" ht="13.5" x14ac:dyDescent="0.25">
      <c r="A85" s="191"/>
      <c r="B85" s="2881" t="s">
        <v>4854</v>
      </c>
      <c r="C85" s="2881"/>
      <c r="D85" s="2347"/>
      <c r="E85" s="2347"/>
      <c r="F85" s="365">
        <f>SUM(F71:F84)</f>
        <v>0</v>
      </c>
      <c r="H85" s="365" t="e">
        <f>SUM(H71:H84)</f>
        <v>#N/A</v>
      </c>
      <c r="J85" s="249" t="e">
        <f t="shared" si="14"/>
        <v>#N/A</v>
      </c>
      <c r="L85" s="250" t="e">
        <f t="shared" si="15"/>
        <v>#N/A</v>
      </c>
      <c r="N85" s="2261" t="str">
        <f t="shared" si="16"/>
        <v xml:space="preserve"> </v>
      </c>
    </row>
    <row r="86" spans="1:15" ht="13.5" x14ac:dyDescent="0.25">
      <c r="A86" s="381"/>
      <c r="B86" s="2881" t="s">
        <v>4855</v>
      </c>
      <c r="C86" s="2881"/>
      <c r="D86" s="2347"/>
      <c r="E86" s="2347"/>
      <c r="F86" s="375">
        <f>SUM(F41:F85)-F69-F85</f>
        <v>0</v>
      </c>
      <c r="H86" s="375" t="e">
        <f>SUM(H41:H85)-H69-H85</f>
        <v>#N/A</v>
      </c>
      <c r="J86" s="249" t="e">
        <f t="shared" si="14"/>
        <v>#N/A</v>
      </c>
      <c r="L86" s="250" t="e">
        <f t="shared" si="15"/>
        <v>#N/A</v>
      </c>
      <c r="N86" s="2261" t="str">
        <f t="shared" si="16"/>
        <v xml:space="preserve"> </v>
      </c>
    </row>
    <row r="87" spans="1:15" ht="6" customHeight="1" x14ac:dyDescent="0.25">
      <c r="B87" s="2347"/>
      <c r="C87" s="2347"/>
      <c r="D87" s="2347"/>
      <c r="E87" s="2347"/>
      <c r="J87" s="249"/>
      <c r="L87" s="250"/>
    </row>
    <row r="88" spans="1:15" ht="13.5" x14ac:dyDescent="0.25">
      <c r="B88" s="2881" t="s">
        <v>1742</v>
      </c>
      <c r="C88" s="2881"/>
      <c r="D88" s="2347"/>
      <c r="E88" s="2347"/>
      <c r="F88" s="237">
        <f>F38+F86</f>
        <v>0</v>
      </c>
      <c r="H88" s="237" t="e">
        <f>H38+H86</f>
        <v>#N/A</v>
      </c>
      <c r="J88" s="249" t="e">
        <f>F88-H88</f>
        <v>#N/A</v>
      </c>
      <c r="L88" s="250" t="e">
        <f>IF(H88=0,0,J88/H88)</f>
        <v>#N/A</v>
      </c>
      <c r="N88" s="2261" t="str">
        <f t="shared" si="16"/>
        <v xml:space="preserve"> </v>
      </c>
    </row>
    <row r="89" spans="1:15" ht="13.5" x14ac:dyDescent="0.25">
      <c r="B89" s="2347"/>
      <c r="C89" s="2347"/>
      <c r="D89" s="2347"/>
      <c r="E89" s="2347"/>
      <c r="F89" s="457"/>
      <c r="H89" s="457"/>
      <c r="J89" s="249"/>
      <c r="L89" s="250"/>
    </row>
    <row r="90" spans="1:15" ht="13.5" x14ac:dyDescent="0.25">
      <c r="B90" s="2377" t="s">
        <v>2685</v>
      </c>
      <c r="F90"/>
      <c r="H90" s="889"/>
      <c r="I90" s="1"/>
      <c r="J90" s="842"/>
      <c r="L90" s="250"/>
    </row>
    <row r="91" spans="1:15" ht="13.5" x14ac:dyDescent="0.25">
      <c r="A91" s="865">
        <v>1234</v>
      </c>
      <c r="B91" s="2881" t="s">
        <v>2686</v>
      </c>
      <c r="C91" s="2881"/>
      <c r="D91" s="2881"/>
      <c r="E91" s="2881"/>
      <c r="F91" s="365">
        <f>'905'!F91</f>
        <v>0</v>
      </c>
      <c r="G91" s="2347"/>
      <c r="H91" s="365" t="e">
        <f t="shared" ref="H91:H97" si="19">INDEX(PY905Data,MATCH($A91,PY905Row,0),MATCH($C$5,PY905Col,0))</f>
        <v>#N/A</v>
      </c>
      <c r="J91" s="249" t="e">
        <f t="shared" ref="J91:J98" si="20">F91-H91</f>
        <v>#N/A</v>
      </c>
      <c r="L91" s="250" t="e">
        <f t="shared" ref="L91:L98" si="21">IF(H91=0,0,J91/H91)</f>
        <v>#N/A</v>
      </c>
      <c r="N91" s="2261" t="str">
        <f t="shared" ref="N91:N97" si="22">IF($F$88=0," ",IF(AND(ABS(J91)&gt;$L$3,ABS(L91)&gt;$L$2),"C",IF(AND(ABS(F91+H91)&gt;0,H91=0,ABS(J91)&gt;$L$3),"C"," ")))</f>
        <v xml:space="preserve"> </v>
      </c>
    </row>
    <row r="92" spans="1:15" ht="13.5" x14ac:dyDescent="0.25">
      <c r="A92" s="865">
        <v>1236</v>
      </c>
      <c r="B92" s="2881" t="s">
        <v>2092</v>
      </c>
      <c r="C92" s="2881"/>
      <c r="D92" s="2881"/>
      <c r="E92" s="2881"/>
      <c r="F92" s="365">
        <f>'905'!F92</f>
        <v>0</v>
      </c>
      <c r="G92" s="2347"/>
      <c r="H92" s="365" t="e">
        <f t="shared" si="19"/>
        <v>#N/A</v>
      </c>
      <c r="J92" s="249" t="e">
        <f t="shared" si="20"/>
        <v>#N/A</v>
      </c>
      <c r="L92" s="250" t="e">
        <f t="shared" si="21"/>
        <v>#N/A</v>
      </c>
      <c r="N92" s="2261" t="str">
        <f t="shared" si="22"/>
        <v xml:space="preserve"> </v>
      </c>
    </row>
    <row r="93" spans="1:15" ht="13.5" x14ac:dyDescent="0.25">
      <c r="A93" s="865">
        <v>1242</v>
      </c>
      <c r="B93" s="2881" t="s">
        <v>2687</v>
      </c>
      <c r="C93" s="2881"/>
      <c r="D93" s="2881"/>
      <c r="E93" s="2881"/>
      <c r="F93" s="365">
        <f>'905'!F93</f>
        <v>0</v>
      </c>
      <c r="G93" s="2347"/>
      <c r="H93" s="365" t="e">
        <f t="shared" si="19"/>
        <v>#N/A</v>
      </c>
      <c r="J93" s="249" t="e">
        <f>F93-H93</f>
        <v>#N/A</v>
      </c>
      <c r="L93" s="250" t="e">
        <f>IF(H93=0,0,J93/H93)</f>
        <v>#N/A</v>
      </c>
      <c r="N93" s="2261" t="str">
        <f>IF($F$88=0," ",IF(AND(ABS(J93)&gt;$L$3,ABS(L93)&gt;$L$2),"C",IF(AND(ABS(F93+H93)&gt;0,H93=0,ABS(J93)&gt;$L$3),"C"," ")))</f>
        <v xml:space="preserve"> </v>
      </c>
    </row>
    <row r="94" spans="1:15" ht="13.5" x14ac:dyDescent="0.25">
      <c r="A94" s="1225">
        <v>1237</v>
      </c>
      <c r="B94" s="2991" t="s">
        <v>2093</v>
      </c>
      <c r="C94" s="2991"/>
      <c r="D94" s="2991"/>
      <c r="E94" s="2991"/>
      <c r="F94" s="365">
        <f>'905'!F94</f>
        <v>0</v>
      </c>
      <c r="G94" s="2347"/>
      <c r="H94" s="365" t="e">
        <f t="shared" si="19"/>
        <v>#N/A</v>
      </c>
      <c r="J94" s="249" t="e">
        <f>F94-H94</f>
        <v>#N/A</v>
      </c>
      <c r="L94" s="250" t="e">
        <f>IF(H94=0,0,J94/H94)</f>
        <v>#N/A</v>
      </c>
      <c r="N94" s="2261" t="str">
        <f t="shared" si="22"/>
        <v xml:space="preserve"> </v>
      </c>
    </row>
    <row r="95" spans="1:15" ht="13.5" x14ac:dyDescent="0.25">
      <c r="A95" s="865">
        <v>1241</v>
      </c>
      <c r="B95" s="2991" t="s">
        <v>2094</v>
      </c>
      <c r="C95" s="2991"/>
      <c r="D95" s="2991"/>
      <c r="E95" s="2991"/>
      <c r="F95" s="365">
        <f>'905'!F95</f>
        <v>0</v>
      </c>
      <c r="G95" s="2347"/>
      <c r="H95" s="365" t="e">
        <f t="shared" si="19"/>
        <v>#N/A</v>
      </c>
      <c r="J95" s="249" t="e">
        <f t="shared" si="20"/>
        <v>#N/A</v>
      </c>
      <c r="L95" s="250" t="e">
        <f t="shared" si="21"/>
        <v>#N/A</v>
      </c>
      <c r="N95" s="2261" t="str">
        <f t="shared" si="22"/>
        <v xml:space="preserve"> </v>
      </c>
      <c r="O95" s="1021"/>
    </row>
    <row r="96" spans="1:15" ht="13.5" x14ac:dyDescent="0.25">
      <c r="A96" s="865">
        <v>1238</v>
      </c>
      <c r="B96" s="2881" t="s">
        <v>2095</v>
      </c>
      <c r="C96" s="2881"/>
      <c r="D96" s="2881"/>
      <c r="E96" s="2881"/>
      <c r="F96" s="365">
        <f>'905'!F96</f>
        <v>0</v>
      </c>
      <c r="G96" s="2347"/>
      <c r="H96" s="365" t="e">
        <f t="shared" si="19"/>
        <v>#N/A</v>
      </c>
      <c r="J96" s="249" t="e">
        <f t="shared" si="20"/>
        <v>#N/A</v>
      </c>
      <c r="L96" s="250" t="e">
        <f t="shared" si="21"/>
        <v>#N/A</v>
      </c>
      <c r="N96" s="2261" t="str">
        <f t="shared" si="22"/>
        <v xml:space="preserve"> </v>
      </c>
    </row>
    <row r="97" spans="1:14" ht="13.5" x14ac:dyDescent="0.25">
      <c r="A97" s="865">
        <v>1239</v>
      </c>
      <c r="B97" s="2881" t="s">
        <v>2096</v>
      </c>
      <c r="C97" s="2881"/>
      <c r="D97" s="2881"/>
      <c r="E97" s="2881"/>
      <c r="F97" s="365">
        <f>'905'!F97</f>
        <v>0</v>
      </c>
      <c r="G97" s="2347"/>
      <c r="H97" s="365" t="e">
        <f t="shared" si="19"/>
        <v>#N/A</v>
      </c>
      <c r="J97" s="249" t="e">
        <f t="shared" si="20"/>
        <v>#N/A</v>
      </c>
      <c r="L97" s="250" t="e">
        <f t="shared" si="21"/>
        <v>#N/A</v>
      </c>
      <c r="N97" s="2261" t="str">
        <f t="shared" si="22"/>
        <v xml:space="preserve"> </v>
      </c>
    </row>
    <row r="98" spans="1:14" ht="13.5" x14ac:dyDescent="0.25">
      <c r="B98" s="2881" t="s">
        <v>4856</v>
      </c>
      <c r="C98" s="2881"/>
      <c r="D98" s="2347"/>
      <c r="E98" s="2347"/>
      <c r="F98" s="237">
        <f>SUM(F91:F97)</f>
        <v>0</v>
      </c>
      <c r="H98" s="237" t="e">
        <f>SUM(H91:H97)</f>
        <v>#N/A</v>
      </c>
      <c r="J98" s="249" t="e">
        <f t="shared" si="20"/>
        <v>#N/A</v>
      </c>
      <c r="L98" s="250" t="e">
        <f t="shared" si="21"/>
        <v>#N/A</v>
      </c>
      <c r="N98" s="2262"/>
    </row>
    <row r="99" spans="1:14" ht="7.5" customHeight="1" x14ac:dyDescent="0.25">
      <c r="B99" s="2347"/>
      <c r="C99" s="2347"/>
      <c r="D99" s="2347"/>
      <c r="E99" s="2347"/>
      <c r="F99" s="457"/>
      <c r="H99" s="457"/>
      <c r="J99" s="249"/>
      <c r="L99" s="250"/>
    </row>
    <row r="100" spans="1:14" x14ac:dyDescent="0.2">
      <c r="B100" s="2377" t="s">
        <v>4857</v>
      </c>
      <c r="C100" s="2377"/>
      <c r="D100" s="2377"/>
      <c r="E100" s="2377"/>
    </row>
    <row r="101" spans="1:14" x14ac:dyDescent="0.2">
      <c r="B101" s="239" t="s">
        <v>2690</v>
      </c>
      <c r="C101" s="239"/>
      <c r="D101" s="239"/>
      <c r="E101" s="239"/>
    </row>
    <row r="102" spans="1:14" x14ac:dyDescent="0.2">
      <c r="A102" s="191"/>
      <c r="B102" s="191" t="s">
        <v>2691</v>
      </c>
      <c r="C102" s="191"/>
      <c r="D102" s="191"/>
      <c r="E102" s="191"/>
    </row>
    <row r="103" spans="1:14" ht="13.5" x14ac:dyDescent="0.25">
      <c r="A103" s="191">
        <v>1640</v>
      </c>
      <c r="B103" s="2987" t="s">
        <v>2729</v>
      </c>
      <c r="C103" s="2987"/>
      <c r="D103" s="2375"/>
      <c r="E103" s="2375"/>
      <c r="F103" s="365">
        <f>'905'!F103</f>
        <v>0</v>
      </c>
      <c r="H103" s="365" t="e">
        <f>INDEX(PY905Data,MATCH($A103,PY905Row,0),MATCH($C$5,PY905Col,0))</f>
        <v>#N/A</v>
      </c>
      <c r="J103" s="249" t="e">
        <f>F103-H103</f>
        <v>#N/A</v>
      </c>
      <c r="L103" s="250" t="e">
        <f>IF(H103=0,0,J103/H103)</f>
        <v>#N/A</v>
      </c>
      <c r="N103" s="2261" t="str">
        <f t="shared" ref="N103:N136" si="23">IF($F$88=0," ",IF(AND(ABS(J103)&gt;$L$3,ABS(L103)&gt;$L$2),"C",IF(AND(ABS(F103+H103)&gt;0,H103=0,ABS(J103)&gt;$L$3),"C"," ")))</f>
        <v xml:space="preserve"> </v>
      </c>
    </row>
    <row r="104" spans="1:14" ht="13.5" x14ac:dyDescent="0.25">
      <c r="A104" s="191">
        <v>1650</v>
      </c>
      <c r="B104" s="2987" t="s">
        <v>2693</v>
      </c>
      <c r="C104" s="2987"/>
      <c r="D104" s="2375"/>
      <c r="E104" s="2375"/>
      <c r="F104" s="365">
        <f>'905'!F104</f>
        <v>0</v>
      </c>
      <c r="H104" s="365" t="e">
        <f>INDEX(PY905Data,MATCH($A104,PY905Row,0),MATCH($C$5,PY905Col,0))</f>
        <v>#N/A</v>
      </c>
      <c r="J104" s="249" t="e">
        <f>F104-H104</f>
        <v>#N/A</v>
      </c>
      <c r="L104" s="250" t="e">
        <f>IF(H104=0,0,J104/H104)</f>
        <v>#N/A</v>
      </c>
      <c r="N104" s="2261" t="str">
        <f t="shared" si="23"/>
        <v xml:space="preserve"> </v>
      </c>
    </row>
    <row r="105" spans="1:14" ht="13.5" x14ac:dyDescent="0.25">
      <c r="A105" s="191">
        <v>1660</v>
      </c>
      <c r="B105" s="2987" t="s">
        <v>2694</v>
      </c>
      <c r="C105" s="2987"/>
      <c r="D105" s="2375"/>
      <c r="E105" s="2375"/>
      <c r="F105" s="365">
        <f>'905'!F105</f>
        <v>0</v>
      </c>
      <c r="H105" s="365" t="e">
        <f>INDEX(PY905Data,MATCH($A105,PY905Row,0),MATCH($C$5,PY905Col,0))</f>
        <v>#N/A</v>
      </c>
      <c r="J105" s="249" t="e">
        <f>F105-H105</f>
        <v>#N/A</v>
      </c>
      <c r="L105" s="250" t="e">
        <f>IF(H105=0,0,J105/H105)</f>
        <v>#N/A</v>
      </c>
      <c r="N105" s="2261" t="str">
        <f t="shared" si="23"/>
        <v xml:space="preserve"> </v>
      </c>
    </row>
    <row r="106" spans="1:14" ht="13.5" x14ac:dyDescent="0.25">
      <c r="A106" s="191">
        <v>1670</v>
      </c>
      <c r="B106" s="2987" t="s">
        <v>2695</v>
      </c>
      <c r="C106" s="2987"/>
      <c r="D106" s="2375"/>
      <c r="E106" s="2375"/>
      <c r="F106" s="365">
        <f>'905'!F106</f>
        <v>0</v>
      </c>
      <c r="H106" s="365" t="e">
        <f>INDEX(PY905Data,MATCH($A106,PY905Row,0),MATCH($C$5,PY905Col,0))</f>
        <v>#N/A</v>
      </c>
      <c r="J106" s="249" t="e">
        <f>F106-H106</f>
        <v>#N/A</v>
      </c>
      <c r="L106" s="250" t="e">
        <f>IF(H106=0,0,J106/H106)</f>
        <v>#N/A</v>
      </c>
      <c r="N106" s="2261" t="str">
        <f t="shared" si="23"/>
        <v xml:space="preserve"> </v>
      </c>
    </row>
    <row r="107" spans="1:14" ht="13.5" x14ac:dyDescent="0.25">
      <c r="A107" s="191">
        <v>1840</v>
      </c>
      <c r="B107" s="2881" t="s">
        <v>2696</v>
      </c>
      <c r="C107" s="2881"/>
      <c r="D107" s="2347"/>
      <c r="E107" s="2347"/>
      <c r="F107" s="365">
        <f>'905'!F107</f>
        <v>0</v>
      </c>
      <c r="H107" s="365" t="e">
        <f>INDEX(PY905Data,MATCH($A107,PY905Row,0),MATCH($C$5,PY905Col,0))</f>
        <v>#N/A</v>
      </c>
      <c r="J107" s="249" t="e">
        <f>F107-H107</f>
        <v>#N/A</v>
      </c>
      <c r="L107" s="250" t="e">
        <f>IF(H107=0,0,J107/H107)</f>
        <v>#N/A</v>
      </c>
      <c r="N107" s="2261" t="str">
        <f t="shared" si="23"/>
        <v xml:space="preserve"> </v>
      </c>
    </row>
    <row r="108" spans="1:14" ht="13.5" x14ac:dyDescent="0.25">
      <c r="A108" s="191"/>
      <c r="B108" s="191" t="s">
        <v>2697</v>
      </c>
      <c r="C108" s="191"/>
      <c r="D108" s="191"/>
      <c r="E108" s="191"/>
      <c r="J108" s="249"/>
      <c r="L108" s="250"/>
      <c r="N108" s="2261" t="str">
        <f t="shared" si="23"/>
        <v xml:space="preserve"> </v>
      </c>
    </row>
    <row r="109" spans="1:14" ht="13.5" x14ac:dyDescent="0.25">
      <c r="A109" s="666">
        <v>1788</v>
      </c>
      <c r="B109" s="2987" t="s">
        <v>4858</v>
      </c>
      <c r="C109" s="2987"/>
      <c r="D109" s="2375"/>
      <c r="E109" s="2375"/>
      <c r="F109" s="365">
        <f>'905'!F109</f>
        <v>0</v>
      </c>
      <c r="H109" s="365" t="e">
        <f t="shared" ref="H109:H136" si="24">INDEX(PY905Data,MATCH($A109,PY905Row,0),MATCH($C$5,PY905Col,0))</f>
        <v>#N/A</v>
      </c>
      <c r="J109" s="249" t="e">
        <f t="shared" ref="J109:J127" si="25">F109-H109</f>
        <v>#N/A</v>
      </c>
      <c r="L109" s="250" t="e">
        <f t="shared" ref="L109:L127" si="26">IF(H109=0,0,J109/H109)</f>
        <v>#N/A</v>
      </c>
      <c r="N109" s="2261" t="str">
        <f t="shared" si="23"/>
        <v xml:space="preserve"> </v>
      </c>
    </row>
    <row r="110" spans="1:14" ht="13.5" x14ac:dyDescent="0.25">
      <c r="A110" s="666">
        <v>1785</v>
      </c>
      <c r="B110" s="2987" t="s">
        <v>3427</v>
      </c>
      <c r="C110" s="2987"/>
      <c r="D110" s="2375"/>
      <c r="E110" s="2375"/>
      <c r="F110" s="365">
        <f>'905'!F110</f>
        <v>0</v>
      </c>
      <c r="H110" s="365" t="e">
        <f t="shared" si="24"/>
        <v>#N/A</v>
      </c>
      <c r="J110" s="249" t="e">
        <f t="shared" si="25"/>
        <v>#N/A</v>
      </c>
      <c r="L110" s="250" t="e">
        <f t="shared" si="26"/>
        <v>#N/A</v>
      </c>
      <c r="N110" s="2261" t="str">
        <f t="shared" si="23"/>
        <v xml:space="preserve"> </v>
      </c>
    </row>
    <row r="111" spans="1:14" ht="13.5" x14ac:dyDescent="0.25">
      <c r="A111" s="666">
        <v>1790</v>
      </c>
      <c r="B111" s="2987" t="s">
        <v>1024</v>
      </c>
      <c r="C111" s="2987"/>
      <c r="D111" s="2375"/>
      <c r="E111" s="2375"/>
      <c r="F111" s="365">
        <f>'905'!F111</f>
        <v>0</v>
      </c>
      <c r="H111" s="365" t="e">
        <f t="shared" si="24"/>
        <v>#N/A</v>
      </c>
      <c r="J111" s="249" t="e">
        <f t="shared" si="25"/>
        <v>#N/A</v>
      </c>
      <c r="L111" s="250" t="e">
        <f t="shared" si="26"/>
        <v>#N/A</v>
      </c>
      <c r="N111" s="2261" t="str">
        <f t="shared" si="23"/>
        <v xml:space="preserve"> </v>
      </c>
    </row>
    <row r="112" spans="1:14" ht="13.5" x14ac:dyDescent="0.25">
      <c r="A112" s="666">
        <v>1791</v>
      </c>
      <c r="B112" s="2987" t="s">
        <v>1016</v>
      </c>
      <c r="C112" s="2987"/>
      <c r="D112" s="2375"/>
      <c r="E112" s="2375"/>
      <c r="F112" s="365">
        <f>'905'!F112</f>
        <v>0</v>
      </c>
      <c r="H112" s="365" t="e">
        <f t="shared" si="24"/>
        <v>#N/A</v>
      </c>
      <c r="J112" s="249" t="e">
        <f t="shared" si="25"/>
        <v>#N/A</v>
      </c>
      <c r="L112" s="250" t="e">
        <f t="shared" si="26"/>
        <v>#N/A</v>
      </c>
      <c r="N112" s="2261" t="str">
        <f t="shared" si="23"/>
        <v xml:space="preserve"> </v>
      </c>
    </row>
    <row r="113" spans="1:14" ht="13.5" x14ac:dyDescent="0.25">
      <c r="A113" s="666">
        <v>1787</v>
      </c>
      <c r="B113" s="2987" t="s">
        <v>3429</v>
      </c>
      <c r="C113" s="2987"/>
      <c r="D113" s="2375"/>
      <c r="E113" s="2375"/>
      <c r="F113" s="365">
        <f>'905'!F113</f>
        <v>0</v>
      </c>
      <c r="H113" s="365" t="e">
        <f t="shared" si="24"/>
        <v>#N/A</v>
      </c>
      <c r="J113" s="249" t="e">
        <f t="shared" si="25"/>
        <v>#N/A</v>
      </c>
      <c r="L113" s="250" t="e">
        <f t="shared" si="26"/>
        <v>#N/A</v>
      </c>
      <c r="N113" s="2261" t="str">
        <f t="shared" si="23"/>
        <v xml:space="preserve"> </v>
      </c>
    </row>
    <row r="114" spans="1:14" ht="13.5" x14ac:dyDescent="0.25">
      <c r="A114" s="666">
        <v>1730</v>
      </c>
      <c r="B114" s="2881" t="s">
        <v>4859</v>
      </c>
      <c r="C114" s="2881"/>
      <c r="D114" s="2347"/>
      <c r="E114" s="2347"/>
      <c r="F114" s="365">
        <f>'905'!F114</f>
        <v>0</v>
      </c>
      <c r="H114" s="365" t="e">
        <f t="shared" si="24"/>
        <v>#N/A</v>
      </c>
      <c r="J114" s="249" t="e">
        <f t="shared" si="25"/>
        <v>#N/A</v>
      </c>
      <c r="L114" s="250" t="e">
        <f t="shared" si="26"/>
        <v>#N/A</v>
      </c>
      <c r="N114" s="2261" t="str">
        <f t="shared" si="23"/>
        <v xml:space="preserve"> </v>
      </c>
    </row>
    <row r="115" spans="1:14" ht="13.5" x14ac:dyDescent="0.25">
      <c r="A115" s="191">
        <v>1735</v>
      </c>
      <c r="B115" s="2881" t="s">
        <v>3402</v>
      </c>
      <c r="C115" s="2881"/>
      <c r="D115" s="2347"/>
      <c r="E115" s="2347"/>
      <c r="F115" s="365">
        <f>'905'!F115</f>
        <v>0</v>
      </c>
      <c r="H115" s="365" t="e">
        <f t="shared" si="24"/>
        <v>#N/A</v>
      </c>
      <c r="J115" s="249" t="e">
        <f t="shared" si="25"/>
        <v>#N/A</v>
      </c>
      <c r="L115" s="250" t="e">
        <f t="shared" si="26"/>
        <v>#N/A</v>
      </c>
      <c r="N115" s="2261" t="str">
        <f t="shared" si="23"/>
        <v xml:space="preserve"> </v>
      </c>
    </row>
    <row r="116" spans="1:14" ht="13.5" x14ac:dyDescent="0.25">
      <c r="A116" s="666">
        <v>1740</v>
      </c>
      <c r="B116" s="2881" t="s">
        <v>3404</v>
      </c>
      <c r="C116" s="2881"/>
      <c r="D116" s="2347"/>
      <c r="E116" s="2347"/>
      <c r="F116" s="365">
        <f>'905'!F116</f>
        <v>0</v>
      </c>
      <c r="H116" s="365" t="e">
        <f t="shared" si="24"/>
        <v>#N/A</v>
      </c>
      <c r="J116" s="249" t="e">
        <f t="shared" si="25"/>
        <v>#N/A</v>
      </c>
      <c r="L116" s="250" t="e">
        <f t="shared" si="26"/>
        <v>#N/A</v>
      </c>
      <c r="N116" s="2261" t="str">
        <f t="shared" si="23"/>
        <v xml:space="preserve"> </v>
      </c>
    </row>
    <row r="117" spans="1:14" ht="13.5" x14ac:dyDescent="0.25">
      <c r="A117" s="191">
        <v>1890</v>
      </c>
      <c r="B117" s="2881" t="s">
        <v>2706</v>
      </c>
      <c r="C117" s="2881"/>
      <c r="D117" s="2347"/>
      <c r="E117" s="2347"/>
      <c r="F117" s="365">
        <f>'905'!F117</f>
        <v>0</v>
      </c>
      <c r="H117" s="365" t="e">
        <f t="shared" si="24"/>
        <v>#N/A</v>
      </c>
      <c r="J117" s="249" t="e">
        <f t="shared" si="25"/>
        <v>#N/A</v>
      </c>
      <c r="L117" s="250" t="e">
        <f t="shared" si="26"/>
        <v>#N/A</v>
      </c>
      <c r="N117" s="2261" t="str">
        <f t="shared" si="23"/>
        <v xml:space="preserve"> </v>
      </c>
    </row>
    <row r="118" spans="1:14" ht="13.5" x14ac:dyDescent="0.25">
      <c r="A118" s="191">
        <v>1750</v>
      </c>
      <c r="B118" s="2881" t="s">
        <v>2707</v>
      </c>
      <c r="C118" s="2881"/>
      <c r="D118" s="2347"/>
      <c r="E118" s="2347"/>
      <c r="F118" s="365">
        <f>'905'!F118</f>
        <v>0</v>
      </c>
      <c r="H118" s="365" t="e">
        <f t="shared" si="24"/>
        <v>#N/A</v>
      </c>
      <c r="J118" s="249" t="e">
        <f t="shared" si="25"/>
        <v>#N/A</v>
      </c>
      <c r="L118" s="250" t="e">
        <f t="shared" si="26"/>
        <v>#N/A</v>
      </c>
      <c r="N118" s="2261" t="str">
        <f t="shared" si="23"/>
        <v xml:space="preserve"> </v>
      </c>
    </row>
    <row r="119" spans="1:14" ht="13.5" x14ac:dyDescent="0.25">
      <c r="A119" s="191">
        <v>1760</v>
      </c>
      <c r="B119" s="2881" t="s">
        <v>2708</v>
      </c>
      <c r="C119" s="2881"/>
      <c r="D119" s="2347"/>
      <c r="E119" s="2347"/>
      <c r="F119" s="365">
        <f>'905'!F119</f>
        <v>0</v>
      </c>
      <c r="H119" s="365" t="e">
        <f t="shared" si="24"/>
        <v>#N/A</v>
      </c>
      <c r="J119" s="249" t="e">
        <f t="shared" si="25"/>
        <v>#N/A</v>
      </c>
      <c r="L119" s="250" t="e">
        <f t="shared" si="26"/>
        <v>#N/A</v>
      </c>
      <c r="N119" s="2261" t="str">
        <f t="shared" si="23"/>
        <v xml:space="preserve"> </v>
      </c>
    </row>
    <row r="120" spans="1:14" ht="13.5" x14ac:dyDescent="0.25">
      <c r="A120" s="191">
        <v>1870</v>
      </c>
      <c r="B120" s="2881" t="s">
        <v>2709</v>
      </c>
      <c r="C120" s="2881"/>
      <c r="D120" s="2347"/>
      <c r="E120" s="2347"/>
      <c r="F120" s="365">
        <f>'905'!F120</f>
        <v>0</v>
      </c>
      <c r="H120" s="365" t="e">
        <f t="shared" si="24"/>
        <v>#N/A</v>
      </c>
      <c r="J120" s="249" t="e">
        <f t="shared" si="25"/>
        <v>#N/A</v>
      </c>
      <c r="L120" s="250" t="e">
        <f t="shared" si="26"/>
        <v>#N/A</v>
      </c>
      <c r="N120" s="2261" t="str">
        <f t="shared" si="23"/>
        <v xml:space="preserve"> </v>
      </c>
    </row>
    <row r="121" spans="1:14" ht="13.5" x14ac:dyDescent="0.25">
      <c r="A121" s="191">
        <v>1880</v>
      </c>
      <c r="B121" s="2881" t="s">
        <v>2710</v>
      </c>
      <c r="C121" s="2881"/>
      <c r="D121" s="2347"/>
      <c r="E121" s="2347"/>
      <c r="F121" s="365">
        <f>'905'!F121</f>
        <v>0</v>
      </c>
      <c r="H121" s="365" t="e">
        <f t="shared" si="24"/>
        <v>#N/A</v>
      </c>
      <c r="J121" s="249" t="e">
        <f t="shared" si="25"/>
        <v>#N/A</v>
      </c>
      <c r="L121" s="250" t="e">
        <f t="shared" si="26"/>
        <v>#N/A</v>
      </c>
      <c r="N121" s="2261" t="str">
        <f t="shared" si="23"/>
        <v xml:space="preserve"> </v>
      </c>
    </row>
    <row r="122" spans="1:14" ht="13.5" x14ac:dyDescent="0.25">
      <c r="A122" s="191">
        <v>1762</v>
      </c>
      <c r="B122" s="2881" t="s">
        <v>2711</v>
      </c>
      <c r="C122" s="2881"/>
      <c r="D122" s="2347"/>
      <c r="E122" s="2347"/>
      <c r="F122" s="365">
        <f>'905'!F122</f>
        <v>0</v>
      </c>
      <c r="H122" s="365" t="e">
        <f t="shared" si="24"/>
        <v>#N/A</v>
      </c>
      <c r="J122" s="249" t="e">
        <f t="shared" si="25"/>
        <v>#N/A</v>
      </c>
      <c r="L122" s="250" t="e">
        <f t="shared" si="26"/>
        <v>#N/A</v>
      </c>
      <c r="N122" s="2261" t="str">
        <f t="shared" si="23"/>
        <v xml:space="preserve"> </v>
      </c>
    </row>
    <row r="123" spans="1:14" ht="13.5" x14ac:dyDescent="0.25">
      <c r="A123" s="666">
        <v>1775</v>
      </c>
      <c r="B123" s="2881" t="s">
        <v>4860</v>
      </c>
      <c r="C123" s="2881"/>
      <c r="D123" s="2347"/>
      <c r="E123" s="2347"/>
      <c r="F123" s="365">
        <f>'905'!F123</f>
        <v>0</v>
      </c>
      <c r="H123" s="365" t="e">
        <f t="shared" si="24"/>
        <v>#N/A</v>
      </c>
      <c r="J123" s="249" t="e">
        <f t="shared" si="25"/>
        <v>#N/A</v>
      </c>
      <c r="L123" s="250" t="e">
        <f t="shared" si="26"/>
        <v>#N/A</v>
      </c>
      <c r="N123" s="2261" t="str">
        <f t="shared" si="23"/>
        <v xml:space="preserve"> </v>
      </c>
    </row>
    <row r="124" spans="1:14" ht="13.5" x14ac:dyDescent="0.25">
      <c r="A124" s="2075">
        <v>1780</v>
      </c>
      <c r="B124" s="2946" t="s">
        <v>4861</v>
      </c>
      <c r="C124" s="2946"/>
      <c r="D124" s="2347"/>
      <c r="E124" s="2347"/>
      <c r="F124" s="365">
        <f>'905'!F124</f>
        <v>0</v>
      </c>
      <c r="H124" s="365" t="e">
        <f t="shared" si="24"/>
        <v>#N/A</v>
      </c>
      <c r="J124" s="249" t="e">
        <f t="shared" si="25"/>
        <v>#N/A</v>
      </c>
      <c r="L124" s="250" t="e">
        <f t="shared" si="26"/>
        <v>#N/A</v>
      </c>
      <c r="N124" s="2261" t="str">
        <f t="shared" si="23"/>
        <v xml:space="preserve"> </v>
      </c>
    </row>
    <row r="125" spans="1:14" ht="13.5" x14ac:dyDescent="0.25">
      <c r="A125" s="2075">
        <v>1785</v>
      </c>
      <c r="B125" s="2945" t="s">
        <v>4862</v>
      </c>
      <c r="C125" s="2945"/>
      <c r="D125" s="2347"/>
      <c r="E125" s="2347"/>
      <c r="F125" s="365">
        <f>'905'!F125</f>
        <v>0</v>
      </c>
      <c r="H125" s="365" t="e">
        <f t="shared" si="24"/>
        <v>#N/A</v>
      </c>
      <c r="J125" s="249" t="e">
        <f t="shared" ref="J125" si="27">F125-H125</f>
        <v>#N/A</v>
      </c>
      <c r="L125" s="250" t="e">
        <f t="shared" ref="L125" si="28">IF(H125=0,0,J125/H125)</f>
        <v>#N/A</v>
      </c>
      <c r="N125" s="2261"/>
    </row>
    <row r="126" spans="1:14" ht="13.5" x14ac:dyDescent="0.25">
      <c r="A126" s="666">
        <v>1800</v>
      </c>
      <c r="B126" s="2881" t="s">
        <v>4863</v>
      </c>
      <c r="C126" s="2881"/>
      <c r="D126" s="2347"/>
      <c r="E126" s="2347"/>
      <c r="F126" s="365">
        <f>'905'!F126</f>
        <v>0</v>
      </c>
      <c r="H126" s="365" t="e">
        <f t="shared" si="24"/>
        <v>#N/A</v>
      </c>
      <c r="J126" s="249" t="e">
        <f t="shared" si="25"/>
        <v>#N/A</v>
      </c>
      <c r="L126" s="250" t="e">
        <f t="shared" si="26"/>
        <v>#N/A</v>
      </c>
      <c r="N126" s="2261" t="str">
        <f t="shared" si="23"/>
        <v xml:space="preserve"> </v>
      </c>
    </row>
    <row r="127" spans="1:14" ht="13.5" x14ac:dyDescent="0.25">
      <c r="A127" s="666">
        <v>1850</v>
      </c>
      <c r="B127" s="2881" t="s">
        <v>4864</v>
      </c>
      <c r="C127" s="2881"/>
      <c r="D127" s="2347"/>
      <c r="E127" s="2347"/>
      <c r="F127" s="365">
        <f>'905'!F127</f>
        <v>0</v>
      </c>
      <c r="H127" s="365" t="e">
        <f t="shared" si="24"/>
        <v>#N/A</v>
      </c>
      <c r="J127" s="249" t="e">
        <f t="shared" si="25"/>
        <v>#N/A</v>
      </c>
      <c r="L127" s="250" t="e">
        <f t="shared" si="26"/>
        <v>#N/A</v>
      </c>
      <c r="N127" s="2261" t="str">
        <f t="shared" si="23"/>
        <v xml:space="preserve"> </v>
      </c>
    </row>
    <row r="128" spans="1:14" ht="13.5" x14ac:dyDescent="0.25">
      <c r="A128" s="666">
        <v>1851</v>
      </c>
      <c r="B128" s="2881" t="s">
        <v>4865</v>
      </c>
      <c r="C128" s="2881"/>
      <c r="D128" s="2347"/>
      <c r="E128" s="2347"/>
      <c r="F128" s="365">
        <f>'905'!F128</f>
        <v>0</v>
      </c>
      <c r="H128" s="365" t="e">
        <f t="shared" si="24"/>
        <v>#N/A</v>
      </c>
      <c r="J128" s="249" t="e">
        <f t="shared" ref="J128:J136" si="29">F128-H128</f>
        <v>#N/A</v>
      </c>
      <c r="L128" s="250" t="e">
        <f t="shared" ref="L128:L136" si="30">IF(H128=0,0,J128/H128)</f>
        <v>#N/A</v>
      </c>
      <c r="N128" s="2261" t="str">
        <f t="shared" si="23"/>
        <v xml:space="preserve"> </v>
      </c>
    </row>
    <row r="129" spans="1:15" ht="13.5" x14ac:dyDescent="0.25">
      <c r="A129" s="666">
        <v>1786</v>
      </c>
      <c r="B129" s="2881" t="s">
        <v>4866</v>
      </c>
      <c r="C129" s="2881"/>
      <c r="D129" s="2347"/>
      <c r="E129" s="2347"/>
      <c r="F129" s="365">
        <f>'905'!F129</f>
        <v>0</v>
      </c>
      <c r="H129" s="365" t="e">
        <f t="shared" si="24"/>
        <v>#N/A</v>
      </c>
      <c r="J129" s="249" t="e">
        <f t="shared" si="29"/>
        <v>#N/A</v>
      </c>
      <c r="L129" s="250" t="e">
        <f t="shared" si="30"/>
        <v>#N/A</v>
      </c>
      <c r="N129" s="2261" t="str">
        <f t="shared" si="23"/>
        <v xml:space="preserve"> </v>
      </c>
    </row>
    <row r="130" spans="1:15" ht="13.5" x14ac:dyDescent="0.25">
      <c r="A130" s="666">
        <v>1855</v>
      </c>
      <c r="B130" s="2881" t="s">
        <v>4867</v>
      </c>
      <c r="C130" s="2881"/>
      <c r="D130" s="2347"/>
      <c r="E130" s="2347"/>
      <c r="F130" s="365">
        <f>'905'!F130</f>
        <v>0</v>
      </c>
      <c r="H130" s="365" t="e">
        <f t="shared" si="24"/>
        <v>#N/A</v>
      </c>
      <c r="J130" s="249" t="e">
        <f t="shared" si="29"/>
        <v>#N/A</v>
      </c>
      <c r="L130" s="250" t="e">
        <f t="shared" si="30"/>
        <v>#N/A</v>
      </c>
      <c r="N130" s="2261" t="str">
        <f t="shared" si="23"/>
        <v xml:space="preserve"> </v>
      </c>
    </row>
    <row r="131" spans="1:15" ht="13.5" x14ac:dyDescent="0.25">
      <c r="A131" s="666">
        <v>1857</v>
      </c>
      <c r="B131" s="2881" t="s">
        <v>4868</v>
      </c>
      <c r="C131" s="2881"/>
      <c r="D131" s="2347"/>
      <c r="E131" s="2347"/>
      <c r="F131" s="365">
        <f>'905'!F131</f>
        <v>0</v>
      </c>
      <c r="H131" s="365" t="e">
        <f t="shared" si="24"/>
        <v>#N/A</v>
      </c>
      <c r="J131" s="249" t="e">
        <f>F131-H131</f>
        <v>#N/A</v>
      </c>
      <c r="L131" s="250" t="e">
        <f>IF(H131=0,0,J131/H131)</f>
        <v>#N/A</v>
      </c>
      <c r="N131" s="2261" t="str">
        <f>IF($F$88=0," ",IF(AND(ABS(J131)&gt;$L$3,ABS(L131)&gt;$L$2),"C",IF(AND(ABS(F131+H131)&gt;0,H131=0,ABS(J131)&gt;$L$3),"C"," ")))</f>
        <v xml:space="preserve"> </v>
      </c>
    </row>
    <row r="132" spans="1:15" ht="13.5" x14ac:dyDescent="0.25">
      <c r="A132" s="666">
        <v>1860</v>
      </c>
      <c r="B132" s="2881" t="s">
        <v>4869</v>
      </c>
      <c r="C132" s="2881"/>
      <c r="D132" s="2881"/>
      <c r="E132" s="2881"/>
      <c r="F132" s="365">
        <f>'905'!F132</f>
        <v>0</v>
      </c>
      <c r="H132" s="365" t="e">
        <f t="shared" si="24"/>
        <v>#N/A</v>
      </c>
      <c r="J132" s="249" t="e">
        <f t="shared" si="29"/>
        <v>#N/A</v>
      </c>
      <c r="L132" s="250" t="e">
        <f t="shared" si="30"/>
        <v>#N/A</v>
      </c>
      <c r="N132" s="2261" t="str">
        <f t="shared" si="23"/>
        <v xml:space="preserve"> </v>
      </c>
    </row>
    <row r="133" spans="1:15" ht="13.5" x14ac:dyDescent="0.25">
      <c r="A133" s="666">
        <v>1868</v>
      </c>
      <c r="B133" s="2881" t="s">
        <v>4870</v>
      </c>
      <c r="C133" s="2881"/>
      <c r="D133" s="2881"/>
      <c r="E133" s="2881"/>
      <c r="F133" s="365">
        <f>'905'!F133</f>
        <v>0</v>
      </c>
      <c r="H133" s="365" t="e">
        <f t="shared" si="24"/>
        <v>#N/A</v>
      </c>
      <c r="J133" s="249" t="e">
        <f>F133-H133</f>
        <v>#N/A</v>
      </c>
      <c r="L133" s="250" t="e">
        <f>IF(H133=0,0,J133/H133)</f>
        <v>#N/A</v>
      </c>
      <c r="N133" s="2261" t="str">
        <f>IF($F$88=0," ",IF(AND(ABS(J133)&gt;$L$3,ABS(L133)&gt;$L$2),"C",IF(AND(ABS(F133+H133)&gt;0,H133=0,ABS(J133)&gt;$L$3),"C"," ")))</f>
        <v xml:space="preserve"> </v>
      </c>
    </row>
    <row r="134" spans="1:15" ht="13.5" x14ac:dyDescent="0.25">
      <c r="A134" s="666">
        <v>1869</v>
      </c>
      <c r="B134" s="2991" t="s">
        <v>4871</v>
      </c>
      <c r="C134" s="2991"/>
      <c r="D134" s="2991"/>
      <c r="E134" s="2991"/>
      <c r="F134" s="365">
        <f>'905'!F134</f>
        <v>0</v>
      </c>
      <c r="H134" s="365" t="e">
        <f t="shared" si="24"/>
        <v>#N/A</v>
      </c>
      <c r="J134" s="249" t="e">
        <f>F134-H134</f>
        <v>#N/A</v>
      </c>
      <c r="L134" s="250" t="e">
        <f>IF(H134=0,0,J134/H134)</f>
        <v>#N/A</v>
      </c>
      <c r="N134" s="2261" t="str">
        <f t="shared" si="23"/>
        <v xml:space="preserve"> </v>
      </c>
      <c r="O134" s="1021"/>
    </row>
    <row r="135" spans="1:15" ht="13.5" x14ac:dyDescent="0.25">
      <c r="A135" s="666">
        <v>1865</v>
      </c>
      <c r="B135" s="2881" t="s">
        <v>4872</v>
      </c>
      <c r="C135" s="2881"/>
      <c r="D135" s="2347"/>
      <c r="E135" s="2347"/>
      <c r="F135" s="365">
        <f>'905'!F135</f>
        <v>0</v>
      </c>
      <c r="H135" s="365" t="e">
        <f t="shared" si="24"/>
        <v>#N/A</v>
      </c>
      <c r="J135" s="249" t="e">
        <f t="shared" si="29"/>
        <v>#N/A</v>
      </c>
      <c r="L135" s="250" t="e">
        <f t="shared" si="30"/>
        <v>#N/A</v>
      </c>
      <c r="N135" s="2261" t="str">
        <f t="shared" si="23"/>
        <v xml:space="preserve"> </v>
      </c>
    </row>
    <row r="136" spans="1:15" ht="13.5" x14ac:dyDescent="0.25">
      <c r="A136" s="666">
        <v>1866</v>
      </c>
      <c r="B136" s="2881" t="s">
        <v>4873</v>
      </c>
      <c r="C136" s="2881"/>
      <c r="D136" s="2347"/>
      <c r="E136" s="2347"/>
      <c r="F136" s="365">
        <f>'905'!F136</f>
        <v>0</v>
      </c>
      <c r="H136" s="365" t="e">
        <f t="shared" si="24"/>
        <v>#N/A</v>
      </c>
      <c r="J136" s="249" t="e">
        <f t="shared" si="29"/>
        <v>#N/A</v>
      </c>
      <c r="L136" s="250" t="e">
        <f t="shared" si="30"/>
        <v>#N/A</v>
      </c>
      <c r="N136" s="2261" t="str">
        <f t="shared" si="23"/>
        <v xml:space="preserve"> </v>
      </c>
    </row>
    <row r="137" spans="1:15" ht="13.5" x14ac:dyDescent="0.25">
      <c r="B137" s="2881" t="s">
        <v>3479</v>
      </c>
      <c r="C137" s="2881"/>
      <c r="D137" s="2347"/>
      <c r="E137" s="2347"/>
      <c r="F137" s="238">
        <f>SUM(F102:F136)</f>
        <v>0</v>
      </c>
      <c r="H137" s="238" t="e">
        <f>SUM(H102:H136)</f>
        <v>#N/A</v>
      </c>
      <c r="J137" s="249" t="e">
        <f>F137-H137</f>
        <v>#N/A</v>
      </c>
      <c r="L137" s="250" t="e">
        <f>IF(H137=0,0,J137/H137)</f>
        <v>#N/A</v>
      </c>
      <c r="N137" s="2262"/>
    </row>
    <row r="138" spans="1:15" ht="9.75" customHeight="1" x14ac:dyDescent="0.25">
      <c r="B138" s="2347"/>
      <c r="C138" s="2347"/>
      <c r="D138" s="2347"/>
      <c r="E138" s="2347"/>
      <c r="J138" s="249"/>
      <c r="L138" s="250"/>
    </row>
    <row r="139" spans="1:15" ht="13.5" x14ac:dyDescent="0.25">
      <c r="B139" s="239" t="s">
        <v>2728</v>
      </c>
      <c r="C139" s="239"/>
      <c r="D139" s="239"/>
      <c r="E139" s="239"/>
      <c r="J139" s="249"/>
      <c r="L139" s="250"/>
    </row>
    <row r="140" spans="1:15" x14ac:dyDescent="0.2">
      <c r="A140" s="191"/>
      <c r="B140" s="191" t="s">
        <v>2691</v>
      </c>
      <c r="C140" s="191"/>
      <c r="D140" s="191"/>
      <c r="E140" s="191"/>
    </row>
    <row r="141" spans="1:15" ht="13.5" x14ac:dyDescent="0.25">
      <c r="A141" s="191">
        <v>1940</v>
      </c>
      <c r="B141" s="2987" t="s">
        <v>2729</v>
      </c>
      <c r="C141" s="2987"/>
      <c r="D141" s="2375"/>
      <c r="E141" s="2375"/>
      <c r="F141" s="365">
        <f>'905'!F141</f>
        <v>0</v>
      </c>
      <c r="H141" s="365" t="e">
        <f t="shared" ref="H141:H162" si="31">INDEX(PY905Data,MATCH($A141,PY905Row,0),MATCH($C$5,PY905Col,0))</f>
        <v>#N/A</v>
      </c>
      <c r="J141" s="249" t="e">
        <f>F141-H141</f>
        <v>#N/A</v>
      </c>
      <c r="L141" s="250" t="e">
        <f>IF(H141=0,0,J141/H141)</f>
        <v>#N/A</v>
      </c>
      <c r="N141" s="2261" t="str">
        <f t="shared" ref="N141:N162" si="32">IF($F$88=0," ",IF(AND(ABS(J141)&gt;$L$3,ABS(L141)&gt;$L$2),"C",IF(AND(ABS(F141+H141)&gt;0,H141=0,ABS(J141)&gt;$L$3),"C"," ")))</f>
        <v xml:space="preserve"> </v>
      </c>
    </row>
    <row r="142" spans="1:15" ht="13.5" x14ac:dyDescent="0.25">
      <c r="A142" s="191">
        <v>1950</v>
      </c>
      <c r="B142" s="2987" t="s">
        <v>2694</v>
      </c>
      <c r="C142" s="2987"/>
      <c r="D142" s="2375"/>
      <c r="E142" s="2375"/>
      <c r="F142" s="365">
        <f>'905'!F142</f>
        <v>0</v>
      </c>
      <c r="H142" s="365" t="e">
        <f t="shared" si="31"/>
        <v>#N/A</v>
      </c>
      <c r="J142" s="249" t="e">
        <f t="shared" ref="J142:J165" si="33">F142-H142</f>
        <v>#N/A</v>
      </c>
      <c r="L142" s="250" t="e">
        <f t="shared" ref="L142:L165" si="34">IF(H142=0,0,J142/H142)</f>
        <v>#N/A</v>
      </c>
      <c r="N142" s="2261" t="str">
        <f t="shared" si="32"/>
        <v xml:space="preserve"> </v>
      </c>
    </row>
    <row r="143" spans="1:15" ht="13.5" x14ac:dyDescent="0.25">
      <c r="A143" s="191">
        <v>1960</v>
      </c>
      <c r="B143" s="2987" t="s">
        <v>2695</v>
      </c>
      <c r="C143" s="2987"/>
      <c r="D143" s="2375"/>
      <c r="E143" s="2375"/>
      <c r="F143" s="365">
        <f>'905'!F143</f>
        <v>0</v>
      </c>
      <c r="H143" s="365" t="e">
        <f t="shared" si="31"/>
        <v>#N/A</v>
      </c>
      <c r="J143" s="249" t="e">
        <f t="shared" si="33"/>
        <v>#N/A</v>
      </c>
      <c r="L143" s="250" t="e">
        <f t="shared" si="34"/>
        <v>#N/A</v>
      </c>
      <c r="N143" s="2261" t="str">
        <f t="shared" si="32"/>
        <v xml:space="preserve"> </v>
      </c>
    </row>
    <row r="144" spans="1:15" ht="13.5" x14ac:dyDescent="0.25">
      <c r="A144" s="666">
        <v>2020</v>
      </c>
      <c r="B144" s="2881" t="s">
        <v>4874</v>
      </c>
      <c r="C144" s="2881"/>
      <c r="D144" s="2347"/>
      <c r="E144" s="2347"/>
      <c r="F144" s="365">
        <f>'905'!F144</f>
        <v>0</v>
      </c>
      <c r="H144" s="365" t="e">
        <f t="shared" si="31"/>
        <v>#N/A</v>
      </c>
      <c r="J144" s="249" t="e">
        <f t="shared" si="33"/>
        <v>#N/A</v>
      </c>
      <c r="L144" s="250" t="e">
        <f t="shared" si="34"/>
        <v>#N/A</v>
      </c>
      <c r="N144" s="2261" t="str">
        <f t="shared" si="32"/>
        <v xml:space="preserve"> </v>
      </c>
    </row>
    <row r="145" spans="1:15" ht="13.5" x14ac:dyDescent="0.25">
      <c r="A145" s="191">
        <v>2097</v>
      </c>
      <c r="B145" s="2881" t="s">
        <v>2706</v>
      </c>
      <c r="C145" s="2881"/>
      <c r="D145" s="2347"/>
      <c r="E145" s="2347"/>
      <c r="F145" s="365">
        <f>'905'!F145</f>
        <v>0</v>
      </c>
      <c r="H145" s="365" t="e">
        <f t="shared" si="31"/>
        <v>#N/A</v>
      </c>
      <c r="J145" s="249" t="e">
        <f>F145-H145</f>
        <v>#N/A</v>
      </c>
      <c r="L145" s="250" t="e">
        <f>IF(H145=0,0,J145/H145)</f>
        <v>#N/A</v>
      </c>
      <c r="N145" s="2261" t="str">
        <f t="shared" si="32"/>
        <v xml:space="preserve"> </v>
      </c>
    </row>
    <row r="146" spans="1:15" ht="13.5" x14ac:dyDescent="0.25">
      <c r="A146" s="191">
        <v>2070</v>
      </c>
      <c r="B146" s="2881" t="s">
        <v>2709</v>
      </c>
      <c r="C146" s="2881"/>
      <c r="D146" s="2347"/>
      <c r="E146" s="2347"/>
      <c r="F146" s="365">
        <f>'905'!F146</f>
        <v>0</v>
      </c>
      <c r="H146" s="365" t="e">
        <f t="shared" si="31"/>
        <v>#N/A</v>
      </c>
      <c r="J146" s="249" t="e">
        <f t="shared" si="33"/>
        <v>#N/A</v>
      </c>
      <c r="L146" s="250" t="e">
        <f t="shared" si="34"/>
        <v>#N/A</v>
      </c>
      <c r="N146" s="2261" t="str">
        <f t="shared" si="32"/>
        <v xml:space="preserve"> </v>
      </c>
    </row>
    <row r="147" spans="1:15" ht="13.5" x14ac:dyDescent="0.25">
      <c r="A147" s="191">
        <v>2080</v>
      </c>
      <c r="B147" s="2881" t="s">
        <v>2710</v>
      </c>
      <c r="C147" s="2881"/>
      <c r="D147" s="2347"/>
      <c r="E147" s="2347"/>
      <c r="F147" s="365">
        <f>'905'!F147</f>
        <v>0</v>
      </c>
      <c r="H147" s="365" t="e">
        <f t="shared" si="31"/>
        <v>#N/A</v>
      </c>
      <c r="J147" s="249" t="e">
        <f t="shared" si="33"/>
        <v>#N/A</v>
      </c>
      <c r="L147" s="250" t="e">
        <f t="shared" si="34"/>
        <v>#N/A</v>
      </c>
      <c r="N147" s="2261" t="str">
        <f t="shared" si="32"/>
        <v xml:space="preserve"> </v>
      </c>
    </row>
    <row r="148" spans="1:15" ht="13.5" x14ac:dyDescent="0.25">
      <c r="A148" s="191">
        <v>2024</v>
      </c>
      <c r="B148" s="2881" t="s">
        <v>2711</v>
      </c>
      <c r="C148" s="2881"/>
      <c r="D148" s="2347"/>
      <c r="E148" s="2347"/>
      <c r="F148" s="365">
        <f>'905'!F148</f>
        <v>0</v>
      </c>
      <c r="H148" s="365" t="e">
        <f t="shared" si="31"/>
        <v>#N/A</v>
      </c>
      <c r="J148" s="249" t="e">
        <f>F148-H148</f>
        <v>#N/A</v>
      </c>
      <c r="L148" s="250" t="e">
        <f>IF(H148=0,0,J148/H148)</f>
        <v>#N/A</v>
      </c>
      <c r="N148" s="2261" t="str">
        <f t="shared" si="32"/>
        <v xml:space="preserve"> </v>
      </c>
    </row>
    <row r="149" spans="1:15" ht="13.5" x14ac:dyDescent="0.25">
      <c r="A149" s="666">
        <v>2035</v>
      </c>
      <c r="B149" s="2881" t="s">
        <v>1024</v>
      </c>
      <c r="C149" s="2881"/>
      <c r="D149" s="2347"/>
      <c r="E149" s="2347"/>
      <c r="F149" s="365">
        <f>'905'!F149</f>
        <v>0</v>
      </c>
      <c r="H149" s="365" t="e">
        <f t="shared" si="31"/>
        <v>#N/A</v>
      </c>
      <c r="J149" s="249" t="e">
        <f t="shared" si="33"/>
        <v>#N/A</v>
      </c>
      <c r="L149" s="250" t="e">
        <f t="shared" si="34"/>
        <v>#N/A</v>
      </c>
      <c r="N149" s="2261" t="str">
        <f t="shared" si="32"/>
        <v xml:space="preserve"> </v>
      </c>
    </row>
    <row r="150" spans="1:15" ht="13.5" x14ac:dyDescent="0.25">
      <c r="A150" s="2075">
        <v>2040</v>
      </c>
      <c r="B150" s="2946" t="s">
        <v>4875</v>
      </c>
      <c r="C150" s="2946"/>
      <c r="D150" s="2347"/>
      <c r="E150" s="2347"/>
      <c r="F150" s="365">
        <f>'905'!F150</f>
        <v>0</v>
      </c>
      <c r="H150" s="365" t="e">
        <f t="shared" si="31"/>
        <v>#N/A</v>
      </c>
      <c r="J150" s="249" t="e">
        <f t="shared" si="33"/>
        <v>#N/A</v>
      </c>
      <c r="L150" s="250" t="e">
        <f t="shared" si="34"/>
        <v>#N/A</v>
      </c>
      <c r="N150" s="2261" t="str">
        <f t="shared" si="32"/>
        <v xml:space="preserve"> </v>
      </c>
    </row>
    <row r="151" spans="1:15" ht="13.5" x14ac:dyDescent="0.25">
      <c r="A151" s="2075">
        <v>2046</v>
      </c>
      <c r="B151" s="2989" t="s">
        <v>2733</v>
      </c>
      <c r="C151" s="2989"/>
      <c r="D151" s="191"/>
      <c r="E151" s="191"/>
      <c r="F151" s="365">
        <f>'905'!F151</f>
        <v>0</v>
      </c>
      <c r="H151" s="365" t="e">
        <f>INDEX(PY905Data,MATCH($A151,PY905Row,0),MATCH($C$5,PY905Col,0))</f>
        <v>#N/A</v>
      </c>
      <c r="J151" s="249" t="e">
        <f t="shared" ref="J151" si="35">F151-H151</f>
        <v>#N/A</v>
      </c>
      <c r="L151" s="250" t="e">
        <f t="shared" ref="L151" si="36">IF(H151=0,0,J151/H151)</f>
        <v>#N/A</v>
      </c>
      <c r="N151" s="2261"/>
    </row>
    <row r="152" spans="1:15" ht="13.5" x14ac:dyDescent="0.25">
      <c r="A152" s="666">
        <v>2050</v>
      </c>
      <c r="B152" s="2881" t="s">
        <v>4876</v>
      </c>
      <c r="C152" s="2881"/>
      <c r="D152" s="2347"/>
      <c r="E152" s="2347"/>
      <c r="F152" s="365">
        <f>'905'!F152</f>
        <v>0</v>
      </c>
      <c r="H152" s="365" t="e">
        <f t="shared" si="31"/>
        <v>#N/A</v>
      </c>
      <c r="J152" s="249" t="e">
        <f t="shared" si="33"/>
        <v>#N/A</v>
      </c>
      <c r="L152" s="250" t="e">
        <f t="shared" si="34"/>
        <v>#N/A</v>
      </c>
      <c r="N152" s="2261" t="str">
        <f t="shared" si="32"/>
        <v xml:space="preserve"> </v>
      </c>
    </row>
    <row r="153" spans="1:15" ht="13.5" x14ac:dyDescent="0.25">
      <c r="A153" s="666">
        <v>2060</v>
      </c>
      <c r="B153" s="2881" t="s">
        <v>1021</v>
      </c>
      <c r="C153" s="2881"/>
      <c r="D153" s="2347"/>
      <c r="E153" s="2347"/>
      <c r="F153" s="365">
        <f>'905'!F153</f>
        <v>0</v>
      </c>
      <c r="H153" s="365" t="e">
        <f t="shared" si="31"/>
        <v>#N/A</v>
      </c>
      <c r="J153" s="249" t="e">
        <f t="shared" si="33"/>
        <v>#N/A</v>
      </c>
      <c r="L153" s="250" t="e">
        <f t="shared" si="34"/>
        <v>#N/A</v>
      </c>
      <c r="N153" s="2261" t="str">
        <f t="shared" si="32"/>
        <v xml:space="preserve"> </v>
      </c>
    </row>
    <row r="154" spans="1:15" ht="13.5" x14ac:dyDescent="0.25">
      <c r="A154" s="666">
        <v>2061</v>
      </c>
      <c r="B154" s="2881" t="s">
        <v>1023</v>
      </c>
      <c r="C154" s="2881"/>
      <c r="D154" s="2347"/>
      <c r="E154" s="2347"/>
      <c r="F154" s="365">
        <f>'905'!F154</f>
        <v>0</v>
      </c>
      <c r="H154" s="365" t="e">
        <f t="shared" si="31"/>
        <v>#N/A</v>
      </c>
      <c r="J154" s="249" t="e">
        <f t="shared" ref="J154:J162" si="37">F154-H154</f>
        <v>#N/A</v>
      </c>
      <c r="L154" s="250" t="e">
        <f t="shared" ref="L154:L162" si="38">IF(H154=0,0,J154/H154)</f>
        <v>#N/A</v>
      </c>
      <c r="N154" s="2261" t="str">
        <f t="shared" si="32"/>
        <v xml:space="preserve"> </v>
      </c>
    </row>
    <row r="155" spans="1:15" ht="13.5" x14ac:dyDescent="0.25">
      <c r="A155" s="666">
        <v>2045</v>
      </c>
      <c r="B155" s="2881" t="s">
        <v>1047</v>
      </c>
      <c r="C155" s="2881"/>
      <c r="D155" s="2347"/>
      <c r="E155" s="2347"/>
      <c r="F155" s="365">
        <f>'905'!F155</f>
        <v>0</v>
      </c>
      <c r="H155" s="365" t="e">
        <f t="shared" si="31"/>
        <v>#N/A</v>
      </c>
      <c r="J155" s="249" t="e">
        <f t="shared" si="37"/>
        <v>#N/A</v>
      </c>
      <c r="L155" s="250" t="e">
        <f t="shared" si="38"/>
        <v>#N/A</v>
      </c>
      <c r="N155" s="2261" t="str">
        <f t="shared" si="32"/>
        <v xml:space="preserve"> </v>
      </c>
    </row>
    <row r="156" spans="1:15" ht="13.5" x14ac:dyDescent="0.25">
      <c r="A156" s="666">
        <v>2085</v>
      </c>
      <c r="B156" s="2881" t="s">
        <v>1027</v>
      </c>
      <c r="C156" s="2881"/>
      <c r="D156" s="2347"/>
      <c r="E156" s="2347"/>
      <c r="F156" s="365">
        <f>'905'!F156</f>
        <v>0</v>
      </c>
      <c r="H156" s="365" t="e">
        <f t="shared" si="31"/>
        <v>#N/A</v>
      </c>
      <c r="J156" s="249" t="e">
        <f t="shared" si="37"/>
        <v>#N/A</v>
      </c>
      <c r="L156" s="250" t="e">
        <f t="shared" si="38"/>
        <v>#N/A</v>
      </c>
      <c r="N156" s="2261" t="str">
        <f t="shared" si="32"/>
        <v xml:space="preserve"> </v>
      </c>
    </row>
    <row r="157" spans="1:15" ht="13.5" x14ac:dyDescent="0.25">
      <c r="A157" s="666">
        <v>2087</v>
      </c>
      <c r="B157" s="2881" t="s">
        <v>1028</v>
      </c>
      <c r="C157" s="2881"/>
      <c r="D157" s="2347"/>
      <c r="E157" s="2347"/>
      <c r="F157" s="365">
        <f>'905'!F157</f>
        <v>0</v>
      </c>
      <c r="H157" s="365" t="e">
        <f t="shared" si="31"/>
        <v>#N/A</v>
      </c>
      <c r="J157" s="249" t="e">
        <f>F157-H157</f>
        <v>#N/A</v>
      </c>
      <c r="L157" s="250" t="e">
        <f>IF(H157=0,0,J157/H157)</f>
        <v>#N/A</v>
      </c>
      <c r="N157" s="2261" t="str">
        <f>IF($F$88=0," ",IF(AND(ABS(J157)&gt;$L$3,ABS(L157)&gt;$L$2),"C",IF(AND(ABS(F157+H157)&gt;0,H157=0,ABS(J157)&gt;$L$3),"C"," ")))</f>
        <v xml:space="preserve"> </v>
      </c>
    </row>
    <row r="158" spans="1:15" ht="13.5" x14ac:dyDescent="0.25">
      <c r="A158" s="666">
        <v>2090</v>
      </c>
      <c r="B158" s="2881" t="s">
        <v>4877</v>
      </c>
      <c r="C158" s="2881"/>
      <c r="D158" s="2881"/>
      <c r="E158" s="2881"/>
      <c r="F158" s="365">
        <f>'905'!F158</f>
        <v>0</v>
      </c>
      <c r="H158" s="365" t="e">
        <f t="shared" si="31"/>
        <v>#N/A</v>
      </c>
      <c r="J158" s="249" t="e">
        <f t="shared" si="37"/>
        <v>#N/A</v>
      </c>
      <c r="L158" s="250" t="e">
        <f t="shared" si="38"/>
        <v>#N/A</v>
      </c>
      <c r="N158" s="2261" t="str">
        <f t="shared" si="32"/>
        <v xml:space="preserve"> </v>
      </c>
    </row>
    <row r="159" spans="1:15" ht="13.5" x14ac:dyDescent="0.25">
      <c r="A159" s="666">
        <v>2098</v>
      </c>
      <c r="B159" s="2881" t="s">
        <v>4878</v>
      </c>
      <c r="C159" s="2881"/>
      <c r="D159" s="2881"/>
      <c r="E159" s="2881"/>
      <c r="F159" s="365">
        <f>'905'!F159</f>
        <v>0</v>
      </c>
      <c r="H159" s="365" t="e">
        <f t="shared" si="31"/>
        <v>#N/A</v>
      </c>
      <c r="J159" s="249" t="e">
        <f>F159-H159</f>
        <v>#N/A</v>
      </c>
      <c r="L159" s="250" t="e">
        <f>IF(H159=0,0,J159/H159)</f>
        <v>#N/A</v>
      </c>
      <c r="N159" s="2261" t="str">
        <f t="shared" si="32"/>
        <v xml:space="preserve"> </v>
      </c>
    </row>
    <row r="160" spans="1:15" ht="13.5" x14ac:dyDescent="0.25">
      <c r="A160" s="666">
        <v>2099</v>
      </c>
      <c r="B160" s="2881" t="s">
        <v>1051</v>
      </c>
      <c r="C160" s="2881"/>
      <c r="D160" s="2347"/>
      <c r="E160" s="2347"/>
      <c r="F160" s="365">
        <f>'905'!F160</f>
        <v>0</v>
      </c>
      <c r="H160" s="365" t="e">
        <f t="shared" si="31"/>
        <v>#N/A</v>
      </c>
      <c r="J160" s="249" t="e">
        <f>F160-H160</f>
        <v>#N/A</v>
      </c>
      <c r="L160" s="250" t="e">
        <f>IF(H160=0,0,J160/H160)</f>
        <v>#N/A</v>
      </c>
      <c r="N160" s="2261" t="str">
        <f>IF($F$88=0," ",IF(AND(ABS(J160)&gt;$L$3,ABS(L160)&gt;$L$2),"C",IF(AND(ABS(F160+H160)&gt;0,H160=0,ABS(J160)&gt;$L$3),"C"," ")))</f>
        <v xml:space="preserve"> </v>
      </c>
      <c r="O160" s="1021"/>
    </row>
    <row r="161" spans="1:15" ht="13.5" x14ac:dyDescent="0.25">
      <c r="A161" s="666">
        <v>2095</v>
      </c>
      <c r="B161" s="2881" t="s">
        <v>1052</v>
      </c>
      <c r="C161" s="2881"/>
      <c r="D161" s="2347"/>
      <c r="E161" s="2347"/>
      <c r="F161" s="365">
        <f>'905'!F161</f>
        <v>0</v>
      </c>
      <c r="H161" s="365" t="e">
        <f t="shared" si="31"/>
        <v>#N/A</v>
      </c>
      <c r="J161" s="249" t="e">
        <f t="shared" si="37"/>
        <v>#N/A</v>
      </c>
      <c r="L161" s="250" t="e">
        <f t="shared" si="38"/>
        <v>#N/A</v>
      </c>
      <c r="N161" s="2261" t="str">
        <f t="shared" si="32"/>
        <v xml:space="preserve"> </v>
      </c>
    </row>
    <row r="162" spans="1:15" ht="13.5" x14ac:dyDescent="0.25">
      <c r="A162" s="666">
        <v>2096</v>
      </c>
      <c r="B162" s="2881" t="s">
        <v>4879</v>
      </c>
      <c r="C162" s="2881"/>
      <c r="D162" s="2347"/>
      <c r="E162" s="2347"/>
      <c r="F162" s="365">
        <f>'905'!F162</f>
        <v>0</v>
      </c>
      <c r="H162" s="365" t="e">
        <f t="shared" si="31"/>
        <v>#N/A</v>
      </c>
      <c r="J162" s="249" t="e">
        <f t="shared" si="37"/>
        <v>#N/A</v>
      </c>
      <c r="L162" s="250" t="e">
        <f t="shared" si="38"/>
        <v>#N/A</v>
      </c>
      <c r="N162" s="2261" t="str">
        <f t="shared" si="32"/>
        <v xml:space="preserve"> </v>
      </c>
    </row>
    <row r="163" spans="1:15" ht="13.5" x14ac:dyDescent="0.25">
      <c r="B163" s="2881" t="s">
        <v>4880</v>
      </c>
      <c r="C163" s="2881"/>
      <c r="D163" s="2347"/>
      <c r="E163" s="2347"/>
      <c r="F163" s="238">
        <f>SUM(F140:F162)</f>
        <v>0</v>
      </c>
      <c r="H163" s="238" t="e">
        <f>SUM(H140:H162)</f>
        <v>#N/A</v>
      </c>
      <c r="J163" s="249" t="e">
        <f t="shared" si="33"/>
        <v>#N/A</v>
      </c>
      <c r="L163" s="250" t="e">
        <f t="shared" si="34"/>
        <v>#N/A</v>
      </c>
      <c r="N163" s="2262"/>
    </row>
    <row r="164" spans="1:15" ht="5.25" customHeight="1" x14ac:dyDescent="0.25">
      <c r="B164" s="2347"/>
      <c r="C164" s="2347"/>
      <c r="D164" s="2347"/>
      <c r="E164" s="2347"/>
      <c r="F164" s="240"/>
      <c r="H164" s="240"/>
      <c r="J164" s="249"/>
      <c r="L164" s="250"/>
    </row>
    <row r="165" spans="1:15" ht="13.5" x14ac:dyDescent="0.25">
      <c r="B165" s="2881" t="s">
        <v>1746</v>
      </c>
      <c r="C165" s="2881"/>
      <c r="D165" s="2347"/>
      <c r="E165" s="2347"/>
      <c r="F165" s="240">
        <f>F137+F163</f>
        <v>0</v>
      </c>
      <c r="H165" s="240" t="e">
        <f>H137+H163</f>
        <v>#N/A</v>
      </c>
      <c r="J165" s="249" t="e">
        <f t="shared" si="33"/>
        <v>#N/A</v>
      </c>
      <c r="L165" s="250" t="e">
        <f t="shared" si="34"/>
        <v>#N/A</v>
      </c>
      <c r="N165" s="2252"/>
    </row>
    <row r="166" spans="1:15" ht="5.25" customHeight="1" x14ac:dyDescent="0.25">
      <c r="B166" s="2347"/>
      <c r="C166" s="2347"/>
      <c r="D166" s="2347"/>
      <c r="E166" s="2347"/>
      <c r="F166" s="370"/>
      <c r="H166" s="370"/>
      <c r="J166" s="249"/>
      <c r="L166" s="250"/>
    </row>
    <row r="167" spans="1:15" ht="12.75" customHeight="1" x14ac:dyDescent="0.25">
      <c r="B167" s="2377" t="s">
        <v>2747</v>
      </c>
      <c r="F167"/>
      <c r="H167" s="370"/>
      <c r="J167" s="249"/>
      <c r="L167" s="250"/>
    </row>
    <row r="168" spans="1:15" ht="13.5" x14ac:dyDescent="0.25">
      <c r="A168" s="191">
        <v>1764</v>
      </c>
      <c r="B168" s="2881" t="s">
        <v>2748</v>
      </c>
      <c r="C168" s="2881"/>
      <c r="D168" s="2881"/>
      <c r="E168" s="2881"/>
      <c r="F168" s="365">
        <f>'905'!F168</f>
        <v>0</v>
      </c>
      <c r="G168" s="2347"/>
      <c r="H168" s="365" t="e">
        <f t="shared" ref="H168:H177" si="39">INDEX(PY905Data,MATCH($A168,PY905Row,0),MATCH($C$5,PY905Col,0))</f>
        <v>#N/A</v>
      </c>
      <c r="J168" s="249" t="e">
        <f t="shared" ref="J168:J178" si="40">F168-H168</f>
        <v>#N/A</v>
      </c>
      <c r="L168" s="250" t="e">
        <f t="shared" ref="L168:L178" si="41">IF(H168=0,0,J168/H168)</f>
        <v>#N/A</v>
      </c>
      <c r="N168" s="2261" t="str">
        <f t="shared" ref="N168:N177" si="42">IF($F$88=0," ",IF(AND(ABS(J168)&gt;$L$3,ABS(L168)&gt;$L$2),"C",IF(AND(ABS(F168+H168)&gt;0,H168=0,ABS(J168)&gt;$L$3),"C"," ")))</f>
        <v xml:space="preserve"> </v>
      </c>
    </row>
    <row r="169" spans="1:15" ht="13.5" x14ac:dyDescent="0.25">
      <c r="A169" s="191">
        <v>2026</v>
      </c>
      <c r="B169" s="2946" t="s">
        <v>4881</v>
      </c>
      <c r="C169" s="2946"/>
      <c r="D169" s="2946"/>
      <c r="E169" s="2946"/>
      <c r="F169" s="365">
        <f>'905'!F169</f>
        <v>0</v>
      </c>
      <c r="G169" s="2347"/>
      <c r="H169" s="365" t="e">
        <f t="shared" si="39"/>
        <v>#N/A</v>
      </c>
      <c r="J169" s="249" t="e">
        <f t="shared" si="40"/>
        <v>#N/A</v>
      </c>
      <c r="L169" s="250" t="e">
        <f t="shared" si="41"/>
        <v>#N/A</v>
      </c>
      <c r="N169" s="2261" t="str">
        <f t="shared" si="42"/>
        <v xml:space="preserve"> </v>
      </c>
    </row>
    <row r="170" spans="1:15" ht="13.5" x14ac:dyDescent="0.25">
      <c r="A170" s="191">
        <v>1766</v>
      </c>
      <c r="B170" s="2881" t="s">
        <v>2750</v>
      </c>
      <c r="C170" s="2881"/>
      <c r="D170" s="2881"/>
      <c r="E170" s="2881"/>
      <c r="F170" s="365">
        <f>'905'!F170</f>
        <v>0</v>
      </c>
      <c r="G170" s="2347"/>
      <c r="H170" s="365" t="e">
        <f t="shared" si="39"/>
        <v>#N/A</v>
      </c>
      <c r="J170" s="249" t="e">
        <f t="shared" si="40"/>
        <v>#N/A</v>
      </c>
      <c r="L170" s="250" t="e">
        <f t="shared" si="41"/>
        <v>#N/A</v>
      </c>
      <c r="N170" s="2261" t="str">
        <f t="shared" si="42"/>
        <v xml:space="preserve"> </v>
      </c>
    </row>
    <row r="171" spans="1:15" ht="13.5" x14ac:dyDescent="0.25">
      <c r="A171" s="191">
        <v>1768</v>
      </c>
      <c r="B171" s="2881" t="s">
        <v>2107</v>
      </c>
      <c r="C171" s="2881"/>
      <c r="D171" s="2881"/>
      <c r="E171" s="2881"/>
      <c r="F171" s="365">
        <f>'905'!F171</f>
        <v>0</v>
      </c>
      <c r="G171" s="2347"/>
      <c r="H171" s="365" t="e">
        <f t="shared" si="39"/>
        <v>#N/A</v>
      </c>
      <c r="J171" s="249" t="e">
        <f>F171-H171</f>
        <v>#N/A</v>
      </c>
      <c r="L171" s="250" t="e">
        <f>IF(H171=0,0,J171/H171)</f>
        <v>#N/A</v>
      </c>
      <c r="N171" s="2261" t="str">
        <f t="shared" si="42"/>
        <v xml:space="preserve"> </v>
      </c>
    </row>
    <row r="172" spans="1:15" ht="13.5" x14ac:dyDescent="0.25">
      <c r="A172" s="191">
        <v>1765</v>
      </c>
      <c r="B172" s="2881" t="s">
        <v>2108</v>
      </c>
      <c r="C172" s="2881"/>
      <c r="D172" s="2881"/>
      <c r="E172" s="2881"/>
      <c r="F172" s="365">
        <f>'905'!F172</f>
        <v>0</v>
      </c>
      <c r="G172" s="2347"/>
      <c r="H172" s="365" t="e">
        <f t="shared" si="39"/>
        <v>#N/A</v>
      </c>
      <c r="J172" s="249" t="e">
        <f>F172-H172</f>
        <v>#N/A</v>
      </c>
      <c r="L172" s="250" t="e">
        <f>IF(H172=0,0,J172/H172)</f>
        <v>#N/A</v>
      </c>
      <c r="N172" s="2261" t="str">
        <f t="shared" si="42"/>
        <v xml:space="preserve"> </v>
      </c>
    </row>
    <row r="173" spans="1:15" ht="13.5" x14ac:dyDescent="0.25">
      <c r="A173" s="191">
        <v>1772</v>
      </c>
      <c r="B173" s="2881" t="s">
        <v>2751</v>
      </c>
      <c r="C173" s="2881"/>
      <c r="D173" s="2881"/>
      <c r="E173" s="2881"/>
      <c r="F173" s="365">
        <f>'905'!F173</f>
        <v>0</v>
      </c>
      <c r="G173" s="2347"/>
      <c r="H173" s="365" t="e">
        <f t="shared" si="39"/>
        <v>#N/A</v>
      </c>
      <c r="J173" s="249" t="e">
        <f>F173-H173</f>
        <v>#N/A</v>
      </c>
      <c r="L173" s="250" t="e">
        <f>IF(H173=0,0,J173/H173)</f>
        <v>#N/A</v>
      </c>
      <c r="N173" s="2261" t="str">
        <f>IF($F$88=0," ",IF(AND(ABS(J173)&gt;$L$3,ABS(L173)&gt;$L$2),"C",IF(AND(ABS(F173+H173)&gt;0,H173=0,ABS(J173)&gt;$L$3),"C"," ")))</f>
        <v xml:space="preserve"> </v>
      </c>
      <c r="O173" s="1021"/>
    </row>
    <row r="174" spans="1:15" ht="13.5" x14ac:dyDescent="0.25">
      <c r="A174" s="191">
        <v>1767</v>
      </c>
      <c r="B174" s="2881" t="s">
        <v>2109</v>
      </c>
      <c r="C174" s="2881"/>
      <c r="D174" s="2881"/>
      <c r="E174" s="2881"/>
      <c r="F174" s="365">
        <f>'905'!F174</f>
        <v>0</v>
      </c>
      <c r="G174" s="2347"/>
      <c r="H174" s="365" t="e">
        <f t="shared" si="39"/>
        <v>#N/A</v>
      </c>
      <c r="J174" s="249" t="e">
        <f>F174-H174</f>
        <v>#N/A</v>
      </c>
      <c r="L174" s="250" t="e">
        <f>IF(H174=0,0,J174/H174)</f>
        <v>#N/A</v>
      </c>
      <c r="N174" s="2261" t="str">
        <f>IF($F$88=0," ",IF(AND(ABS(J174)&gt;$L$3,ABS(L174)&gt;$L$2),"C",IF(AND(ABS(F174+H174)&gt;0,H174=0,ABS(J174)&gt;$L$3),"C"," ")))</f>
        <v xml:space="preserve"> </v>
      </c>
    </row>
    <row r="175" spans="1:15" ht="13.5" x14ac:dyDescent="0.25">
      <c r="A175" s="191">
        <v>1771</v>
      </c>
      <c r="B175" s="2881" t="s">
        <v>2110</v>
      </c>
      <c r="C175" s="2881"/>
      <c r="D175" s="2881"/>
      <c r="E175" s="2881"/>
      <c r="F175" s="365">
        <f>'905'!F175</f>
        <v>0</v>
      </c>
      <c r="G175" s="2347"/>
      <c r="H175" s="365" t="e">
        <f t="shared" si="39"/>
        <v>#N/A</v>
      </c>
      <c r="J175" s="249" t="e">
        <f t="shared" si="40"/>
        <v>#N/A</v>
      </c>
      <c r="L175" s="250" t="e">
        <f t="shared" si="41"/>
        <v>#N/A</v>
      </c>
      <c r="N175" s="2261" t="str">
        <f t="shared" si="42"/>
        <v xml:space="preserve"> </v>
      </c>
      <c r="O175" s="1021"/>
    </row>
    <row r="176" spans="1:15" ht="13.5" x14ac:dyDescent="0.25">
      <c r="A176" s="191">
        <v>1773</v>
      </c>
      <c r="B176" s="2881" t="s">
        <v>2752</v>
      </c>
      <c r="C176" s="2881"/>
      <c r="D176" s="2881"/>
      <c r="E176" s="2881"/>
      <c r="F176" s="365">
        <f>'905'!F176</f>
        <v>0</v>
      </c>
      <c r="G176" s="2347"/>
      <c r="H176" s="365" t="e">
        <f t="shared" si="39"/>
        <v>#N/A</v>
      </c>
      <c r="J176" s="249" t="e">
        <f t="shared" si="40"/>
        <v>#N/A</v>
      </c>
      <c r="L176" s="250" t="e">
        <f t="shared" si="41"/>
        <v>#N/A</v>
      </c>
      <c r="N176" s="2261" t="str">
        <f t="shared" si="42"/>
        <v xml:space="preserve"> </v>
      </c>
      <c r="O176" s="1021"/>
    </row>
    <row r="177" spans="1:14" ht="13.5" x14ac:dyDescent="0.25">
      <c r="A177" s="191">
        <v>1769</v>
      </c>
      <c r="B177" s="2881" t="s">
        <v>2112</v>
      </c>
      <c r="C177" s="2881"/>
      <c r="D177" s="2881"/>
      <c r="E177" s="2881"/>
      <c r="F177" s="367">
        <f>'905'!F177</f>
        <v>0</v>
      </c>
      <c r="G177" s="2347"/>
      <c r="H177" s="367" t="e">
        <f t="shared" si="39"/>
        <v>#N/A</v>
      </c>
      <c r="J177" s="249" t="e">
        <f t="shared" si="40"/>
        <v>#N/A</v>
      </c>
      <c r="L177" s="250" t="e">
        <f t="shared" si="41"/>
        <v>#N/A</v>
      </c>
      <c r="N177" s="2261" t="str">
        <f t="shared" si="42"/>
        <v xml:space="preserve"> </v>
      </c>
    </row>
    <row r="178" spans="1:14" ht="13.5" x14ac:dyDescent="0.25">
      <c r="B178" s="2881" t="s">
        <v>2753</v>
      </c>
      <c r="C178" s="2881"/>
      <c r="D178" s="2347"/>
      <c r="E178" s="2347"/>
      <c r="F178" s="240">
        <f>SUM(F168:F177)</f>
        <v>0</v>
      </c>
      <c r="G178" s="2347"/>
      <c r="H178" s="240" t="e">
        <f>SUM(H168:H177)</f>
        <v>#N/A</v>
      </c>
      <c r="J178" s="249" t="e">
        <f t="shared" si="40"/>
        <v>#N/A</v>
      </c>
      <c r="L178" s="250" t="e">
        <f t="shared" si="41"/>
        <v>#N/A</v>
      </c>
    </row>
    <row r="179" spans="1:14" ht="8.25" customHeight="1" thickBot="1" x14ac:dyDescent="0.3">
      <c r="B179" s="2367"/>
      <c r="C179" s="2367"/>
      <c r="D179" s="2367"/>
      <c r="E179" s="2367"/>
      <c r="F179" s="2367"/>
      <c r="G179" s="2367"/>
      <c r="J179" s="249"/>
      <c r="L179" s="250"/>
    </row>
    <row r="180" spans="1:14" ht="13.5" thickBot="1" x14ac:dyDescent="0.25">
      <c r="B180" s="234" t="s">
        <v>1666</v>
      </c>
      <c r="F180" s="982" t="s">
        <v>4882</v>
      </c>
      <c r="G180" s="983"/>
      <c r="H180" s="984"/>
      <c r="I180" s="983"/>
      <c r="J180" s="983"/>
      <c r="K180" s="983"/>
      <c r="L180" s="985"/>
    </row>
    <row r="181" spans="1:14" ht="13.5" x14ac:dyDescent="0.25">
      <c r="A181" s="191">
        <v>2130</v>
      </c>
      <c r="B181" s="2881" t="s">
        <v>4883</v>
      </c>
      <c r="C181" s="2881"/>
      <c r="D181" s="2347"/>
      <c r="E181" s="2347"/>
      <c r="F181" s="365">
        <f>'905'!F181</f>
        <v>0</v>
      </c>
      <c r="H181" s="365" t="e">
        <f>INDEX(PY905Data,MATCH($A181,PY905Row,0),MATCH($C$5,PY905Col,0))</f>
        <v>#N/A</v>
      </c>
      <c r="J181" s="249" t="e">
        <f>F181-H181</f>
        <v>#N/A</v>
      </c>
      <c r="L181" s="250" t="e">
        <f>IF(H181=0,0,J181/H181)</f>
        <v>#N/A</v>
      </c>
    </row>
    <row r="182" spans="1:14" ht="13.5" x14ac:dyDescent="0.25">
      <c r="A182" s="187"/>
      <c r="B182" s="191" t="s">
        <v>4884</v>
      </c>
      <c r="C182" s="191"/>
      <c r="D182" s="191"/>
      <c r="E182" s="191"/>
      <c r="J182" s="249"/>
      <c r="L182" s="250"/>
    </row>
    <row r="183" spans="1:14" ht="13.5" x14ac:dyDescent="0.25">
      <c r="A183" s="191">
        <v>2140</v>
      </c>
      <c r="B183" s="2881" t="s">
        <v>4885</v>
      </c>
      <c r="C183" s="2881"/>
      <c r="D183" s="2347"/>
      <c r="E183" s="2347"/>
      <c r="F183" s="365">
        <f>'905'!F183</f>
        <v>0</v>
      </c>
      <c r="H183" s="365" t="e">
        <f>INDEX(PY905Data,MATCH($A183,PY905Row,0),MATCH($C$5,PY905Col,0))</f>
        <v>#N/A</v>
      </c>
      <c r="J183" s="249" t="e">
        <f>F183-H183</f>
        <v>#N/A</v>
      </c>
      <c r="L183" s="250" t="e">
        <f>IF(H183=0,0,J183/H183)</f>
        <v>#N/A</v>
      </c>
    </row>
    <row r="184" spans="1:14" ht="13.5" x14ac:dyDescent="0.25">
      <c r="A184" s="191">
        <v>2141</v>
      </c>
      <c r="B184" s="2881" t="s">
        <v>4886</v>
      </c>
      <c r="C184" s="2881"/>
      <c r="D184" s="2347"/>
      <c r="E184" s="2347"/>
      <c r="F184" s="365">
        <f>'905'!F184</f>
        <v>0</v>
      </c>
      <c r="H184" s="365" t="e">
        <f>INDEX(PY905Data,MATCH($A184,PY905Row,0),MATCH($C$5,PY905Col,0))</f>
        <v>#N/A</v>
      </c>
      <c r="J184" s="249" t="e">
        <f>F184-H184</f>
        <v>#N/A</v>
      </c>
      <c r="L184" s="250" t="e">
        <f>IF(H184=0,0,J184/H184)</f>
        <v>#N/A</v>
      </c>
    </row>
    <row r="185" spans="1:14" ht="13.5" x14ac:dyDescent="0.25">
      <c r="A185" s="191">
        <v>2142</v>
      </c>
      <c r="B185" s="2881" t="s">
        <v>4887</v>
      </c>
      <c r="C185" s="2881"/>
      <c r="D185" s="2347"/>
      <c r="E185" s="2347"/>
      <c r="F185" s="365">
        <f>'905'!F185</f>
        <v>0</v>
      </c>
      <c r="H185" s="365" t="e">
        <f>INDEX(PY905Data,MATCH($A185,PY905Row,0),MATCH($C$5,PY905Col,0))</f>
        <v>#N/A</v>
      </c>
      <c r="J185" s="249" t="e">
        <f>F185-H185</f>
        <v>#N/A</v>
      </c>
      <c r="L185" s="250" t="e">
        <f>IF(H185=0,0,J185/H185)</f>
        <v>#N/A</v>
      </c>
    </row>
    <row r="186" spans="1:14" ht="13.5" x14ac:dyDescent="0.25">
      <c r="A186" s="187"/>
      <c r="B186" s="191" t="s">
        <v>2759</v>
      </c>
      <c r="C186" s="191"/>
      <c r="D186" s="191"/>
      <c r="E186" s="191"/>
      <c r="J186" s="249"/>
      <c r="L186" s="250"/>
    </row>
    <row r="187" spans="1:14" ht="13.5" x14ac:dyDescent="0.25">
      <c r="A187" s="191">
        <v>2150</v>
      </c>
      <c r="B187" s="2881" t="s">
        <v>4885</v>
      </c>
      <c r="C187" s="2881"/>
      <c r="D187" s="2347"/>
      <c r="E187" s="2347"/>
      <c r="F187" s="365">
        <f>'905'!F187</f>
        <v>0</v>
      </c>
      <c r="H187" s="365" t="e">
        <f>INDEX(PY905Data,MATCH($A187,PY905Row,0),MATCH($C$5,PY905Col,0))</f>
        <v>#N/A</v>
      </c>
      <c r="J187" s="249" t="e">
        <f t="shared" ref="J187:J192" si="43">F187-H187</f>
        <v>#N/A</v>
      </c>
      <c r="L187" s="250" t="e">
        <f t="shared" ref="L187:L192" si="44">IF(H187=0,0,J187/H187)</f>
        <v>#N/A</v>
      </c>
    </row>
    <row r="188" spans="1:14" ht="13.5" x14ac:dyDescent="0.25">
      <c r="A188" s="191">
        <v>2151</v>
      </c>
      <c r="B188" s="2881" t="s">
        <v>4886</v>
      </c>
      <c r="C188" s="2881"/>
      <c r="D188" s="2347"/>
      <c r="E188" s="2347"/>
      <c r="F188" s="365">
        <f>'905'!F188</f>
        <v>0</v>
      </c>
      <c r="H188" s="365" t="e">
        <f>INDEX(PY905Data,MATCH($A188,PY905Row,0),MATCH($C$5,PY905Col,0))</f>
        <v>#N/A</v>
      </c>
      <c r="J188" s="249" t="e">
        <f t="shared" si="43"/>
        <v>#N/A</v>
      </c>
      <c r="L188" s="250" t="e">
        <f t="shared" si="44"/>
        <v>#N/A</v>
      </c>
    </row>
    <row r="189" spans="1:14" ht="13.5" x14ac:dyDescent="0.25">
      <c r="A189" s="191">
        <v>2152</v>
      </c>
      <c r="B189" s="2881" t="s">
        <v>4887</v>
      </c>
      <c r="C189" s="2881"/>
      <c r="D189" s="2347"/>
      <c r="E189" s="2347"/>
      <c r="F189" s="365">
        <f>'905'!F189</f>
        <v>0</v>
      </c>
      <c r="H189" s="365" t="e">
        <f>INDEX(PY905Data,MATCH($A189,PY905Row,0),MATCH($C$5,PY905Col,0))</f>
        <v>#N/A</v>
      </c>
      <c r="J189" s="249" t="e">
        <f t="shared" si="43"/>
        <v>#N/A</v>
      </c>
      <c r="L189" s="250" t="e">
        <f t="shared" si="44"/>
        <v>#N/A</v>
      </c>
    </row>
    <row r="190" spans="1:14" ht="13.5" x14ac:dyDescent="0.25">
      <c r="A190" s="191">
        <v>0</v>
      </c>
      <c r="B190" s="2990" t="s">
        <v>4888</v>
      </c>
      <c r="C190" s="2990"/>
      <c r="D190" s="2347"/>
      <c r="E190" s="2347"/>
      <c r="F190" s="365">
        <f>'905'!F190</f>
        <v>0</v>
      </c>
      <c r="H190" s="365" t="e">
        <f>INDEX(PY905Data,MATCH($A190,PY905Row,0),MATCH($C$5,PY905Col,0))</f>
        <v>#N/A</v>
      </c>
      <c r="J190" s="249" t="e">
        <f t="shared" si="43"/>
        <v>#N/A</v>
      </c>
      <c r="L190" s="250" t="e">
        <f t="shared" si="44"/>
        <v>#N/A</v>
      </c>
    </row>
    <row r="191" spans="1:14" ht="13.5" x14ac:dyDescent="0.25">
      <c r="A191" s="191">
        <v>2180</v>
      </c>
      <c r="B191" s="2881" t="s">
        <v>1629</v>
      </c>
      <c r="C191" s="2881"/>
      <c r="D191" s="2347"/>
      <c r="E191" s="2347"/>
      <c r="F191" s="365">
        <f>'905'!F191</f>
        <v>0</v>
      </c>
      <c r="H191" s="365" t="e">
        <f>INDEX(PY905Data,MATCH($A191,PY905Row,0),MATCH($C$5,PY905Col,0))</f>
        <v>#N/A</v>
      </c>
      <c r="J191" s="249" t="e">
        <f t="shared" si="43"/>
        <v>#N/A</v>
      </c>
      <c r="L191" s="250" t="e">
        <f t="shared" si="44"/>
        <v>#N/A</v>
      </c>
    </row>
    <row r="192" spans="1:14" ht="14.25" thickBot="1" x14ac:dyDescent="0.3">
      <c r="B192" s="2881" t="s">
        <v>1630</v>
      </c>
      <c r="C192" s="2881"/>
      <c r="D192" s="2347"/>
      <c r="E192" s="2347"/>
      <c r="F192" s="241">
        <f>SUM(F181:F191)</f>
        <v>0</v>
      </c>
      <c r="H192" s="241" t="e">
        <f>SUM(H181:H191)</f>
        <v>#N/A</v>
      </c>
      <c r="J192" s="249" t="e">
        <f t="shared" si="43"/>
        <v>#N/A</v>
      </c>
      <c r="L192" s="250" t="e">
        <f t="shared" si="44"/>
        <v>#N/A</v>
      </c>
    </row>
    <row r="193" spans="1:14" ht="12.75" customHeight="1" thickTop="1" x14ac:dyDescent="0.25">
      <c r="B193" s="2347"/>
      <c r="C193" s="2347"/>
      <c r="D193" s="2347"/>
      <c r="E193" s="2347"/>
      <c r="J193" s="249"/>
      <c r="L193" s="250"/>
    </row>
    <row r="194" spans="1:14" x14ac:dyDescent="0.2">
      <c r="B194" s="191" t="s">
        <v>4889</v>
      </c>
      <c r="C194" s="191"/>
      <c r="D194" s="191"/>
      <c r="E194" s="191"/>
      <c r="F194" s="454" t="str">
        <f>IF(ROUND(F88+F98-F165-F178,2)=F192, "In Bal.","Out of Bal.")</f>
        <v>In Bal.</v>
      </c>
      <c r="H194" s="454" t="e">
        <f>IF(ROUND(H88+H98-H165-H178,2)=H192, "In Bal.","Out of Bal.")</f>
        <v>#N/A</v>
      </c>
    </row>
    <row r="195" spans="1:14" x14ac:dyDescent="0.2">
      <c r="B195" s="191" t="s">
        <v>2763</v>
      </c>
      <c r="C195" s="191"/>
      <c r="D195" s="191"/>
      <c r="E195" s="191"/>
    </row>
    <row r="196" spans="1:14" x14ac:dyDescent="0.2">
      <c r="B196" s="764" t="s">
        <v>4890</v>
      </c>
      <c r="C196" s="368"/>
      <c r="D196" s="368"/>
      <c r="E196" s="368"/>
      <c r="F196" s="369"/>
    </row>
    <row r="197" spans="1:14" x14ac:dyDescent="0.2">
      <c r="B197" s="243" t="s">
        <v>4891</v>
      </c>
      <c r="C197" s="243"/>
      <c r="D197" s="243"/>
      <c r="E197" s="243"/>
      <c r="F197" s="763" t="str">
        <f>CONCATENATE("FYE ",+TEXT(Data!$A$2,"mmmm d,yyyy"))</f>
        <v>FYE June 30,2023</v>
      </c>
      <c r="H197" s="763" t="str">
        <f>CONCATENATE("FYE ",+TEXT(Data!$A$4,"mmmm d,yyyy"))</f>
        <v>FYE June 30,2022</v>
      </c>
    </row>
    <row r="198" spans="1:14" ht="13.5" x14ac:dyDescent="0.25">
      <c r="A198" s="191">
        <v>2310</v>
      </c>
      <c r="B198" s="2881" t="s">
        <v>2767</v>
      </c>
      <c r="C198" s="2881"/>
      <c r="D198" s="2347"/>
      <c r="E198" s="2347"/>
      <c r="F198" s="365">
        <f>'905'!F200</f>
        <v>0</v>
      </c>
      <c r="H198" s="365" t="e">
        <f t="shared" ref="H198:H208" si="45">INDEX(PY905Data,MATCH($A198,PY905Row,0),MATCH($C$5,PY905Col,0))</f>
        <v>#N/A</v>
      </c>
      <c r="J198" s="249" t="e">
        <f t="shared" ref="J198:J209" si="46">F198-H198</f>
        <v>#N/A</v>
      </c>
      <c r="L198" s="250" t="e">
        <f t="shared" ref="L198:L209" si="47">IF(H198=0,0,J198/H198)</f>
        <v>#N/A</v>
      </c>
      <c r="N198" s="2261" t="str">
        <f t="shared" ref="N198:N208" si="48">IF($F$88=0," ",IF(AND(ABS(J198)&gt;$L$3,ABS(L198)&gt;$L$2),"C",IF(AND(ABS(F198+H198)&gt;0,H198=0,ABS(J198)&gt;$L$3),"C"," ")))</f>
        <v xml:space="preserve"> </v>
      </c>
    </row>
    <row r="199" spans="1:14" ht="13.5" x14ac:dyDescent="0.25">
      <c r="A199" s="191">
        <v>2320</v>
      </c>
      <c r="B199" s="2881" t="s">
        <v>2768</v>
      </c>
      <c r="C199" s="2881"/>
      <c r="D199" s="2347"/>
      <c r="E199" s="2347"/>
      <c r="F199" s="365">
        <f>'905'!F201</f>
        <v>0</v>
      </c>
      <c r="H199" s="365" t="e">
        <f t="shared" si="45"/>
        <v>#N/A</v>
      </c>
      <c r="J199" s="249" t="e">
        <f t="shared" si="46"/>
        <v>#N/A</v>
      </c>
      <c r="L199" s="250" t="e">
        <f t="shared" si="47"/>
        <v>#N/A</v>
      </c>
      <c r="N199" s="2261" t="str">
        <f t="shared" si="48"/>
        <v xml:space="preserve"> </v>
      </c>
    </row>
    <row r="200" spans="1:14" ht="13.5" x14ac:dyDescent="0.25">
      <c r="A200" s="191">
        <v>2330</v>
      </c>
      <c r="B200" s="2881" t="s">
        <v>2769</v>
      </c>
      <c r="C200" s="2881"/>
      <c r="D200" s="2347"/>
      <c r="E200" s="2347"/>
      <c r="F200" s="365">
        <f>'905'!F202</f>
        <v>0</v>
      </c>
      <c r="H200" s="365" t="e">
        <f t="shared" si="45"/>
        <v>#N/A</v>
      </c>
      <c r="J200" s="249" t="e">
        <f>F200-H200</f>
        <v>#N/A</v>
      </c>
      <c r="L200" s="250" t="e">
        <f>IF(H200=0,0,J200/H200)</f>
        <v>#N/A</v>
      </c>
      <c r="N200" s="2261" t="str">
        <f t="shared" si="48"/>
        <v xml:space="preserve"> </v>
      </c>
    </row>
    <row r="201" spans="1:14" ht="13.5" x14ac:dyDescent="0.25">
      <c r="A201" s="191">
        <v>2350</v>
      </c>
      <c r="B201" s="2881" t="s">
        <v>2770</v>
      </c>
      <c r="C201" s="2881"/>
      <c r="D201" s="2347"/>
      <c r="E201" s="2347"/>
      <c r="F201" s="365">
        <f>'905'!F203</f>
        <v>0</v>
      </c>
      <c r="H201" s="365" t="e">
        <f t="shared" si="45"/>
        <v>#N/A</v>
      </c>
      <c r="J201" s="249" t="e">
        <f>F201-H201</f>
        <v>#N/A</v>
      </c>
      <c r="L201" s="250" t="e">
        <f>IF(H201=0,0,J201/H201)</f>
        <v>#N/A</v>
      </c>
      <c r="N201" s="2261" t="str">
        <f t="shared" si="48"/>
        <v xml:space="preserve"> </v>
      </c>
    </row>
    <row r="202" spans="1:14" ht="13.5" x14ac:dyDescent="0.25">
      <c r="A202" s="191">
        <v>2370</v>
      </c>
      <c r="B202" s="2881" t="s">
        <v>2771</v>
      </c>
      <c r="C202" s="2881"/>
      <c r="D202" s="2347"/>
      <c r="E202" s="2347"/>
      <c r="F202" s="365">
        <f>'905'!F204</f>
        <v>0</v>
      </c>
      <c r="H202" s="365" t="e">
        <f t="shared" si="45"/>
        <v>#N/A</v>
      </c>
      <c r="J202" s="249" t="e">
        <f t="shared" si="46"/>
        <v>#N/A</v>
      </c>
      <c r="L202" s="250" t="e">
        <f t="shared" si="47"/>
        <v>#N/A</v>
      </c>
      <c r="N202" s="2261" t="str">
        <f t="shared" si="48"/>
        <v xml:space="preserve"> </v>
      </c>
    </row>
    <row r="203" spans="1:14" ht="13.5" x14ac:dyDescent="0.25">
      <c r="A203" s="191">
        <v>2390</v>
      </c>
      <c r="B203" s="2881" t="s">
        <v>2773</v>
      </c>
      <c r="C203" s="2881"/>
      <c r="D203" s="2347"/>
      <c r="E203" s="2347"/>
      <c r="F203" s="365">
        <f>'905'!F205</f>
        <v>0</v>
      </c>
      <c r="H203" s="365" t="e">
        <f t="shared" si="45"/>
        <v>#N/A</v>
      </c>
      <c r="J203" s="249" t="e">
        <f t="shared" si="46"/>
        <v>#N/A</v>
      </c>
      <c r="L203" s="250" t="e">
        <f t="shared" si="47"/>
        <v>#N/A</v>
      </c>
      <c r="N203" s="2261" t="str">
        <f t="shared" si="48"/>
        <v xml:space="preserve"> </v>
      </c>
    </row>
    <row r="204" spans="1:14" ht="13.5" x14ac:dyDescent="0.25">
      <c r="A204" s="191">
        <v>2400</v>
      </c>
      <c r="B204" s="2881" t="s">
        <v>2775</v>
      </c>
      <c r="C204" s="2881"/>
      <c r="D204" s="2347"/>
      <c r="E204" s="2347"/>
      <c r="F204" s="365">
        <f>'905'!F206</f>
        <v>0</v>
      </c>
      <c r="H204" s="365" t="e">
        <f t="shared" si="45"/>
        <v>#N/A</v>
      </c>
      <c r="J204" s="249" t="e">
        <f t="shared" si="46"/>
        <v>#N/A</v>
      </c>
      <c r="L204" s="250" t="e">
        <f t="shared" si="47"/>
        <v>#N/A</v>
      </c>
      <c r="N204" s="2261" t="str">
        <f t="shared" si="48"/>
        <v xml:space="preserve"> </v>
      </c>
    </row>
    <row r="205" spans="1:14" ht="13.5" x14ac:dyDescent="0.25">
      <c r="A205" s="191">
        <v>2410</v>
      </c>
      <c r="B205" s="2881" t="s">
        <v>1234</v>
      </c>
      <c r="C205" s="2881"/>
      <c r="D205" s="2347"/>
      <c r="E205" s="2347"/>
      <c r="F205" s="365">
        <f>'905'!F207</f>
        <v>0</v>
      </c>
      <c r="H205" s="365" t="e">
        <f t="shared" si="45"/>
        <v>#N/A</v>
      </c>
      <c r="J205" s="249" t="e">
        <f t="shared" si="46"/>
        <v>#N/A</v>
      </c>
      <c r="L205" s="250" t="e">
        <f t="shared" si="47"/>
        <v>#N/A</v>
      </c>
      <c r="N205" s="2261" t="str">
        <f t="shared" si="48"/>
        <v xml:space="preserve"> </v>
      </c>
    </row>
    <row r="206" spans="1:14" ht="13.5" x14ac:dyDescent="0.25">
      <c r="A206" s="191">
        <v>2420</v>
      </c>
      <c r="B206" s="2881" t="s">
        <v>2777</v>
      </c>
      <c r="C206" s="2881"/>
      <c r="D206" s="2347"/>
      <c r="E206" s="2347"/>
      <c r="F206" s="365">
        <f>'905'!F208</f>
        <v>0</v>
      </c>
      <c r="H206" s="365" t="e">
        <f t="shared" si="45"/>
        <v>#N/A</v>
      </c>
      <c r="J206" s="249" t="e">
        <f t="shared" si="46"/>
        <v>#N/A</v>
      </c>
      <c r="L206" s="250" t="e">
        <f t="shared" si="47"/>
        <v>#N/A</v>
      </c>
      <c r="N206" s="2261" t="str">
        <f t="shared" si="48"/>
        <v xml:space="preserve"> </v>
      </c>
    </row>
    <row r="207" spans="1:14" ht="13.5" x14ac:dyDescent="0.25">
      <c r="A207" s="191">
        <v>2430</v>
      </c>
      <c r="B207" s="2881" t="s">
        <v>1226</v>
      </c>
      <c r="C207" s="2881"/>
      <c r="D207" s="2347"/>
      <c r="E207" s="2347"/>
      <c r="F207" s="365">
        <f>'905'!F209</f>
        <v>0</v>
      </c>
      <c r="H207" s="365" t="e">
        <f t="shared" si="45"/>
        <v>#N/A</v>
      </c>
      <c r="J207" s="249" t="e">
        <f t="shared" si="46"/>
        <v>#N/A</v>
      </c>
      <c r="L207" s="250" t="e">
        <f t="shared" si="47"/>
        <v>#N/A</v>
      </c>
      <c r="N207" s="2261" t="str">
        <f t="shared" si="48"/>
        <v xml:space="preserve"> </v>
      </c>
    </row>
    <row r="208" spans="1:14" ht="13.5" x14ac:dyDescent="0.25">
      <c r="A208" s="191">
        <v>2450</v>
      </c>
      <c r="B208" s="2881" t="s">
        <v>1775</v>
      </c>
      <c r="C208" s="2881"/>
      <c r="D208" s="2347"/>
      <c r="E208" s="2347"/>
      <c r="F208" s="365">
        <f>'905'!F210</f>
        <v>0</v>
      </c>
      <c r="H208" s="365" t="e">
        <f t="shared" si="45"/>
        <v>#N/A</v>
      </c>
      <c r="J208" s="249" t="e">
        <f t="shared" si="46"/>
        <v>#N/A</v>
      </c>
      <c r="L208" s="250" t="e">
        <f t="shared" si="47"/>
        <v>#N/A</v>
      </c>
      <c r="N208" s="2261" t="str">
        <f t="shared" si="48"/>
        <v xml:space="preserve"> </v>
      </c>
    </row>
    <row r="209" spans="1:14" ht="13.5" x14ac:dyDescent="0.25">
      <c r="A209" s="191"/>
      <c r="B209" s="2881" t="s">
        <v>4892</v>
      </c>
      <c r="C209" s="2881"/>
      <c r="D209" s="2347"/>
      <c r="E209" s="2347"/>
      <c r="F209" s="238">
        <f>SUM(F198:F208)</f>
        <v>0</v>
      </c>
      <c r="H209" s="238" t="e">
        <f>SUM(H198:H208)</f>
        <v>#N/A</v>
      </c>
      <c r="J209" s="249" t="e">
        <f t="shared" si="46"/>
        <v>#N/A</v>
      </c>
      <c r="L209" s="250" t="e">
        <f t="shared" si="47"/>
        <v>#N/A</v>
      </c>
    </row>
    <row r="210" spans="1:14" ht="7.5" customHeight="1" x14ac:dyDescent="0.25">
      <c r="B210" s="2347"/>
      <c r="C210" s="2347"/>
      <c r="D210" s="2347"/>
      <c r="E210" s="2347"/>
      <c r="F210" s="370"/>
      <c r="H210" s="370"/>
      <c r="J210" s="249"/>
      <c r="L210" s="250"/>
    </row>
    <row r="211" spans="1:14" ht="13.5" x14ac:dyDescent="0.25">
      <c r="B211" s="243" t="s">
        <v>4893</v>
      </c>
      <c r="C211" s="243"/>
      <c r="D211" s="243"/>
      <c r="E211" s="243"/>
      <c r="J211" s="249"/>
      <c r="L211" s="250"/>
    </row>
    <row r="212" spans="1:14" ht="13.5" x14ac:dyDescent="0.25">
      <c r="A212" s="191">
        <v>2490</v>
      </c>
      <c r="B212" s="2947" t="s">
        <v>2780</v>
      </c>
      <c r="C212" s="2947"/>
      <c r="D212" s="2947"/>
      <c r="E212" s="2947"/>
      <c r="F212" s="365">
        <f>'905'!F214</f>
        <v>0</v>
      </c>
      <c r="H212" s="365" t="e">
        <f t="shared" ref="H212:H219" si="49">INDEX(PY905Data,MATCH($A212,PY905Row,0),MATCH($C$5,PY905Col,0))</f>
        <v>#N/A</v>
      </c>
      <c r="J212" s="249" t="e">
        <f t="shared" ref="J212:J225" si="50">F212-H212</f>
        <v>#N/A</v>
      </c>
      <c r="L212" s="250" t="e">
        <f t="shared" ref="L212:L225" si="51">IF(H212=0,0,J212/H212)</f>
        <v>#N/A</v>
      </c>
      <c r="N212" s="2261" t="str">
        <f t="shared" ref="N212:N223" si="52">IF($F$88=0," ",IF(AND(ABS(J212)&gt;$L$3,ABS(L212)&gt;$L$2),"C",IF(AND(ABS(F212+H212)&gt;0,H212=0,ABS(J212)&gt;$L$3),"C"," ")))</f>
        <v xml:space="preserve"> </v>
      </c>
    </row>
    <row r="213" spans="1:14" ht="13.5" x14ac:dyDescent="0.25">
      <c r="A213" s="191">
        <v>2510</v>
      </c>
      <c r="B213" s="2881" t="s">
        <v>2781</v>
      </c>
      <c r="C213" s="2881"/>
      <c r="D213" s="2347"/>
      <c r="E213" s="2347"/>
      <c r="F213" s="365">
        <f>'905'!F215</f>
        <v>0</v>
      </c>
      <c r="H213" s="365" t="e">
        <f t="shared" si="49"/>
        <v>#N/A</v>
      </c>
      <c r="J213" s="249" t="e">
        <f t="shared" si="50"/>
        <v>#N/A</v>
      </c>
      <c r="L213" s="250" t="e">
        <f t="shared" si="51"/>
        <v>#N/A</v>
      </c>
      <c r="N213" s="2261" t="str">
        <f t="shared" si="52"/>
        <v xml:space="preserve"> </v>
      </c>
    </row>
    <row r="214" spans="1:14" ht="13.5" x14ac:dyDescent="0.25">
      <c r="A214" s="191">
        <v>2520</v>
      </c>
      <c r="B214" s="2881" t="s">
        <v>2782</v>
      </c>
      <c r="C214" s="2881"/>
      <c r="D214" s="2347"/>
      <c r="E214" s="2347"/>
      <c r="F214" s="365">
        <f>'905'!F216</f>
        <v>0</v>
      </c>
      <c r="H214" s="365" t="e">
        <f t="shared" si="49"/>
        <v>#N/A</v>
      </c>
      <c r="J214" s="249" t="e">
        <f t="shared" si="50"/>
        <v>#N/A</v>
      </c>
      <c r="L214" s="250" t="e">
        <f t="shared" si="51"/>
        <v>#N/A</v>
      </c>
      <c r="N214" s="2261" t="str">
        <f t="shared" si="52"/>
        <v xml:space="preserve"> </v>
      </c>
    </row>
    <row r="215" spans="1:14" ht="13.5" x14ac:dyDescent="0.25">
      <c r="A215" s="191">
        <v>2550</v>
      </c>
      <c r="B215" s="2881" t="s">
        <v>2783</v>
      </c>
      <c r="C215" s="2881"/>
      <c r="D215" s="2347"/>
      <c r="E215" s="2347"/>
      <c r="F215" s="365">
        <f>'905'!F217</f>
        <v>0</v>
      </c>
      <c r="H215" s="365" t="e">
        <f t="shared" si="49"/>
        <v>#N/A</v>
      </c>
      <c r="J215" s="249" t="e">
        <f t="shared" si="50"/>
        <v>#N/A</v>
      </c>
      <c r="L215" s="250" t="e">
        <f t="shared" si="51"/>
        <v>#N/A</v>
      </c>
      <c r="N215" s="2261" t="str">
        <f t="shared" si="52"/>
        <v xml:space="preserve"> </v>
      </c>
    </row>
    <row r="216" spans="1:14" ht="13.5" x14ac:dyDescent="0.25">
      <c r="A216" s="191">
        <v>2540</v>
      </c>
      <c r="B216" s="2881" t="s">
        <v>2784</v>
      </c>
      <c r="C216" s="2881"/>
      <c r="D216" s="2347"/>
      <c r="E216" s="2347"/>
      <c r="F216" s="365">
        <f>'905'!F218</f>
        <v>0</v>
      </c>
      <c r="H216" s="365" t="e">
        <f t="shared" si="49"/>
        <v>#N/A</v>
      </c>
      <c r="J216" s="249" t="e">
        <f t="shared" si="50"/>
        <v>#N/A</v>
      </c>
      <c r="L216" s="250" t="e">
        <f t="shared" si="51"/>
        <v>#N/A</v>
      </c>
      <c r="N216" s="2261" t="str">
        <f t="shared" si="52"/>
        <v xml:space="preserve"> </v>
      </c>
    </row>
    <row r="217" spans="1:14" ht="13.5" x14ac:dyDescent="0.25">
      <c r="A217" s="191">
        <v>2560</v>
      </c>
      <c r="B217" s="2881" t="s">
        <v>676</v>
      </c>
      <c r="C217" s="2881"/>
      <c r="D217" s="2347"/>
      <c r="E217" s="2347"/>
      <c r="F217" s="365">
        <f>'905'!F219</f>
        <v>0</v>
      </c>
      <c r="H217" s="365" t="e">
        <f t="shared" si="49"/>
        <v>#N/A</v>
      </c>
      <c r="J217" s="249" t="e">
        <f t="shared" si="50"/>
        <v>#N/A</v>
      </c>
      <c r="L217" s="250" t="e">
        <f t="shared" si="51"/>
        <v>#N/A</v>
      </c>
      <c r="N217" s="2261" t="str">
        <f t="shared" si="52"/>
        <v xml:space="preserve"> </v>
      </c>
    </row>
    <row r="218" spans="1:14" ht="13.5" x14ac:dyDescent="0.25">
      <c r="A218" s="191">
        <v>2570</v>
      </c>
      <c r="B218" s="2881" t="s">
        <v>2785</v>
      </c>
      <c r="C218" s="2881"/>
      <c r="D218" s="2347"/>
      <c r="E218" s="2347"/>
      <c r="F218" s="365">
        <f>'905'!F220</f>
        <v>0</v>
      </c>
      <c r="H218" s="365" t="e">
        <f t="shared" si="49"/>
        <v>#N/A</v>
      </c>
      <c r="J218" s="249" t="e">
        <f t="shared" si="50"/>
        <v>#N/A</v>
      </c>
      <c r="L218" s="250" t="e">
        <f t="shared" si="51"/>
        <v>#N/A</v>
      </c>
      <c r="N218" s="2261" t="str">
        <f t="shared" si="52"/>
        <v xml:space="preserve"> </v>
      </c>
    </row>
    <row r="219" spans="1:14" ht="13.5" x14ac:dyDescent="0.25">
      <c r="A219" s="191">
        <v>2590</v>
      </c>
      <c r="B219" s="2881" t="s">
        <v>2786</v>
      </c>
      <c r="C219" s="2881"/>
      <c r="D219" s="2347"/>
      <c r="E219" s="2347"/>
      <c r="F219" s="365">
        <f>'905'!F221</f>
        <v>0</v>
      </c>
      <c r="H219" s="365" t="e">
        <f t="shared" si="49"/>
        <v>#N/A</v>
      </c>
      <c r="J219" s="249" t="e">
        <f>F219-H219</f>
        <v>#N/A</v>
      </c>
      <c r="L219" s="250" t="e">
        <f>IF(H219=0,0,J219/H219)</f>
        <v>#N/A</v>
      </c>
      <c r="N219" s="2261" t="str">
        <f t="shared" si="52"/>
        <v xml:space="preserve"> </v>
      </c>
    </row>
    <row r="220" spans="1:14" ht="11.25" customHeight="1" x14ac:dyDescent="0.25">
      <c r="A220" s="191"/>
      <c r="B220" s="191" t="s">
        <v>1361</v>
      </c>
      <c r="C220" s="191"/>
      <c r="D220" s="191"/>
      <c r="E220" s="191"/>
      <c r="J220" s="249"/>
      <c r="L220" s="250"/>
    </row>
    <row r="221" spans="1:14" ht="13.5" x14ac:dyDescent="0.25">
      <c r="A221" s="191">
        <v>2610</v>
      </c>
      <c r="B221" s="2987" t="s">
        <v>2787</v>
      </c>
      <c r="C221" s="2987"/>
      <c r="D221" s="2375"/>
      <c r="E221" s="2375"/>
      <c r="F221" s="365">
        <f>'905'!F223</f>
        <v>0</v>
      </c>
      <c r="H221" s="365" t="e">
        <f>INDEX(PY905Data,MATCH($A221,PY905Row,0),MATCH($C$5,PY905Col,0))</f>
        <v>#N/A</v>
      </c>
      <c r="J221" s="249" t="e">
        <f>F221-H221</f>
        <v>#N/A</v>
      </c>
      <c r="L221" s="250" t="e">
        <f>IF(H221=0,0,J221/H221)</f>
        <v>#N/A</v>
      </c>
      <c r="N221" s="2261" t="str">
        <f t="shared" si="52"/>
        <v xml:space="preserve"> </v>
      </c>
    </row>
    <row r="222" spans="1:14" ht="13.5" x14ac:dyDescent="0.25">
      <c r="A222" s="191">
        <v>2625</v>
      </c>
      <c r="B222" s="2987" t="s">
        <v>2788</v>
      </c>
      <c r="C222" s="2987"/>
      <c r="D222" s="2375"/>
      <c r="E222" s="2375"/>
      <c r="F222" s="365">
        <f>'905'!F224</f>
        <v>0</v>
      </c>
      <c r="H222" s="365" t="e">
        <f>INDEX(PY905Data,MATCH($A222,PY905Row,0),MATCH($C$5,PY905Col,0))</f>
        <v>#N/A</v>
      </c>
      <c r="J222" s="249" t="e">
        <f>F222-H222</f>
        <v>#N/A</v>
      </c>
      <c r="L222" s="250" t="e">
        <f>IF(H222=0,0,J222/H222)</f>
        <v>#N/A</v>
      </c>
      <c r="N222" s="2261" t="str">
        <f t="shared" si="52"/>
        <v xml:space="preserve"> </v>
      </c>
    </row>
    <row r="223" spans="1:14" ht="13.5" x14ac:dyDescent="0.25">
      <c r="A223" s="191">
        <v>2630</v>
      </c>
      <c r="B223" s="2987" t="s">
        <v>2789</v>
      </c>
      <c r="C223" s="2987"/>
      <c r="D223" s="2375"/>
      <c r="E223" s="2375"/>
      <c r="F223" s="367">
        <f>'905'!F225</f>
        <v>0</v>
      </c>
      <c r="H223" s="367" t="e">
        <f>INDEX(PY905Data,MATCH($A223,PY905Row,0),MATCH($C$5,PY905Col,0))</f>
        <v>#N/A</v>
      </c>
      <c r="J223" s="249" t="e">
        <f t="shared" si="50"/>
        <v>#N/A</v>
      </c>
      <c r="L223" s="250" t="e">
        <f t="shared" si="51"/>
        <v>#N/A</v>
      </c>
      <c r="N223" s="2261" t="str">
        <f t="shared" si="52"/>
        <v xml:space="preserve"> </v>
      </c>
    </row>
    <row r="224" spans="1:14" ht="13.5" x14ac:dyDescent="0.25">
      <c r="B224" s="2881" t="s">
        <v>4894</v>
      </c>
      <c r="C224" s="2881"/>
      <c r="D224" s="2347"/>
      <c r="E224" s="2347"/>
      <c r="F224" s="240">
        <f>SUM(F212:F223)</f>
        <v>0</v>
      </c>
      <c r="H224" s="240" t="e">
        <f>SUM(H212:H223)</f>
        <v>#N/A</v>
      </c>
      <c r="J224" s="249" t="e">
        <f t="shared" si="50"/>
        <v>#N/A</v>
      </c>
      <c r="L224" s="250" t="e">
        <f t="shared" si="51"/>
        <v>#N/A</v>
      </c>
    </row>
    <row r="225" spans="1:15" ht="13.5" x14ac:dyDescent="0.25">
      <c r="B225" s="2881" t="s">
        <v>4895</v>
      </c>
      <c r="C225" s="2881"/>
      <c r="D225" s="2347"/>
      <c r="E225" s="2347"/>
      <c r="F225" s="238">
        <f>F209-F224</f>
        <v>0</v>
      </c>
      <c r="H225" s="238" t="e">
        <f>H209-H224</f>
        <v>#N/A</v>
      </c>
      <c r="J225" s="249" t="e">
        <f t="shared" si="50"/>
        <v>#N/A</v>
      </c>
      <c r="L225" s="250" t="e">
        <f t="shared" si="51"/>
        <v>#N/A</v>
      </c>
    </row>
    <row r="226" spans="1:15" ht="5.25" customHeight="1" x14ac:dyDescent="0.25">
      <c r="B226" s="2347"/>
      <c r="C226" s="2347"/>
      <c r="D226" s="2347"/>
      <c r="E226" s="2347"/>
      <c r="F226" s="370"/>
      <c r="H226" s="370"/>
      <c r="J226" s="249"/>
      <c r="L226" s="250"/>
    </row>
    <row r="227" spans="1:15" ht="11.25" customHeight="1" x14ac:dyDescent="0.2">
      <c r="B227" s="234" t="s">
        <v>2792</v>
      </c>
    </row>
    <row r="228" spans="1:15" ht="13.5" x14ac:dyDescent="0.25">
      <c r="A228" s="191">
        <v>2690</v>
      </c>
      <c r="B228" s="2881" t="s">
        <v>2793</v>
      </c>
      <c r="C228" s="2881"/>
      <c r="D228" s="2347"/>
      <c r="E228" s="2347"/>
      <c r="F228" s="365">
        <f>'905'!F230</f>
        <v>0</v>
      </c>
      <c r="H228" s="365" t="e">
        <f t="shared" ref="H228:H246" si="53">INDEX(PY905Data,MATCH($A228,PY905Row,0),MATCH($C$5,PY905Col,0))</f>
        <v>#N/A</v>
      </c>
      <c r="J228" s="249" t="e">
        <f>F228-H228</f>
        <v>#N/A</v>
      </c>
      <c r="L228" s="250" t="e">
        <f>IF(H228=0,0,J228/H228)</f>
        <v>#N/A</v>
      </c>
      <c r="N228" s="2261" t="str">
        <f t="shared" ref="N228:N246" si="54">IF($F$88=0," ",IF(AND(ABS(J228)&gt;$L$3,ABS(L228)&gt;$L$2),"C",IF(AND(ABS(F228+H228)&gt;0,H228=0,ABS(J228)&gt;$L$3),"C"," ")))</f>
        <v xml:space="preserve"> </v>
      </c>
    </row>
    <row r="229" spans="1:15" ht="13.5" x14ac:dyDescent="0.25">
      <c r="A229" s="191">
        <v>2691</v>
      </c>
      <c r="B229" s="2881" t="s">
        <v>4896</v>
      </c>
      <c r="C229" s="2881"/>
      <c r="D229" s="2347"/>
      <c r="E229" s="2347"/>
      <c r="F229" s="365">
        <f>'905'!F231</f>
        <v>0</v>
      </c>
      <c r="H229" s="365" t="e">
        <f t="shared" si="53"/>
        <v>#N/A</v>
      </c>
      <c r="J229" s="249" t="e">
        <f>F229-H229</f>
        <v>#N/A</v>
      </c>
      <c r="L229" s="250" t="e">
        <f>IF(H229=0,0,J229/H229)</f>
        <v>#N/A</v>
      </c>
      <c r="N229" s="2261" t="str">
        <f t="shared" si="54"/>
        <v xml:space="preserve"> </v>
      </c>
    </row>
    <row r="230" spans="1:15" ht="13.5" x14ac:dyDescent="0.25">
      <c r="A230" s="191">
        <v>2692</v>
      </c>
      <c r="B230" s="2881" t="s">
        <v>2795</v>
      </c>
      <c r="C230" s="2881"/>
      <c r="D230" s="2347"/>
      <c r="E230" s="2347"/>
      <c r="F230" s="365">
        <f>'905'!F232</f>
        <v>0</v>
      </c>
      <c r="H230" s="365" t="e">
        <f t="shared" si="53"/>
        <v>#N/A</v>
      </c>
      <c r="J230" s="249" t="e">
        <f t="shared" ref="J230:J258" si="55">F230-H230</f>
        <v>#N/A</v>
      </c>
      <c r="L230" s="250" t="e">
        <f t="shared" ref="L230:L258" si="56">IF(H230=0,0,J230/H230)</f>
        <v>#N/A</v>
      </c>
      <c r="N230" s="2261" t="str">
        <f t="shared" si="54"/>
        <v xml:space="preserve"> </v>
      </c>
    </row>
    <row r="231" spans="1:15" ht="13.5" x14ac:dyDescent="0.25">
      <c r="A231" s="191">
        <v>2693</v>
      </c>
      <c r="B231" s="2881" t="s">
        <v>2796</v>
      </c>
      <c r="C231" s="2881"/>
      <c r="D231" s="2347"/>
      <c r="E231" s="2347"/>
      <c r="F231" s="365">
        <f>'905'!F233</f>
        <v>0</v>
      </c>
      <c r="H231" s="365" t="e">
        <f t="shared" si="53"/>
        <v>#N/A</v>
      </c>
      <c r="J231" s="249" t="e">
        <f t="shared" si="55"/>
        <v>#N/A</v>
      </c>
      <c r="L231" s="250" t="e">
        <f t="shared" si="56"/>
        <v>#N/A</v>
      </c>
      <c r="N231" s="2261" t="str">
        <f t="shared" si="54"/>
        <v xml:space="preserve"> </v>
      </c>
    </row>
    <row r="232" spans="1:15" ht="13.5" x14ac:dyDescent="0.25">
      <c r="A232" s="191">
        <v>2700</v>
      </c>
      <c r="B232" s="2881" t="s">
        <v>2798</v>
      </c>
      <c r="C232" s="2881"/>
      <c r="D232" s="2347"/>
      <c r="E232" s="2347"/>
      <c r="F232" s="365">
        <f>'905'!F234</f>
        <v>0</v>
      </c>
      <c r="H232" s="365" t="e">
        <f t="shared" si="53"/>
        <v>#N/A</v>
      </c>
      <c r="J232" s="249" t="e">
        <f>F232-H232</f>
        <v>#N/A</v>
      </c>
      <c r="L232" s="250" t="e">
        <f>IF(H232=0,0,J232/H232)</f>
        <v>#N/A</v>
      </c>
      <c r="N232" s="2261" t="str">
        <f t="shared" si="54"/>
        <v xml:space="preserve"> </v>
      </c>
    </row>
    <row r="233" spans="1:15" ht="13.5" x14ac:dyDescent="0.25">
      <c r="A233" s="191">
        <v>2701</v>
      </c>
      <c r="B233" s="2881" t="s">
        <v>2800</v>
      </c>
      <c r="C233" s="2881"/>
      <c r="D233" s="2347"/>
      <c r="E233" s="2347"/>
      <c r="F233" s="365">
        <f>'905'!F235</f>
        <v>0</v>
      </c>
      <c r="H233" s="365" t="e">
        <f t="shared" si="53"/>
        <v>#N/A</v>
      </c>
      <c r="J233" s="249" t="e">
        <f>F233-H233</f>
        <v>#N/A</v>
      </c>
      <c r="L233" s="250" t="e">
        <f>IF(H233=0,0,J233/H233)</f>
        <v>#N/A</v>
      </c>
      <c r="N233" s="2261" t="str">
        <f t="shared" si="54"/>
        <v xml:space="preserve"> </v>
      </c>
    </row>
    <row r="234" spans="1:15" ht="13.5" x14ac:dyDescent="0.25">
      <c r="A234" s="191">
        <v>2710</v>
      </c>
      <c r="B234" s="2881" t="s">
        <v>2802</v>
      </c>
      <c r="C234" s="2881"/>
      <c r="D234" s="2347"/>
      <c r="E234" s="2347"/>
      <c r="F234" s="365">
        <f>'905'!F236</f>
        <v>0</v>
      </c>
      <c r="H234" s="365" t="e">
        <f t="shared" si="53"/>
        <v>#N/A</v>
      </c>
      <c r="J234" s="249" t="e">
        <f>F234-H234</f>
        <v>#N/A</v>
      </c>
      <c r="L234" s="250" t="e">
        <f>IF(H234=0,0,J234/H234)</f>
        <v>#N/A</v>
      </c>
      <c r="N234" s="2261" t="str">
        <f t="shared" si="54"/>
        <v xml:space="preserve"> </v>
      </c>
    </row>
    <row r="235" spans="1:15" ht="13.5" x14ac:dyDescent="0.25">
      <c r="A235" s="191">
        <v>2711</v>
      </c>
      <c r="B235" s="2881" t="s">
        <v>2803</v>
      </c>
      <c r="C235" s="2881"/>
      <c r="D235" s="2347"/>
      <c r="E235" s="2347"/>
      <c r="F235" s="365">
        <f>'905'!F237</f>
        <v>0</v>
      </c>
      <c r="H235" s="365" t="e">
        <f t="shared" si="53"/>
        <v>#N/A</v>
      </c>
      <c r="J235" s="249" t="e">
        <f>F235-H235</f>
        <v>#N/A</v>
      </c>
      <c r="L235" s="250" t="e">
        <f>IF(H235=0,0,J235/H235)</f>
        <v>#N/A</v>
      </c>
      <c r="N235" s="2261" t="str">
        <f t="shared" si="54"/>
        <v xml:space="preserve"> </v>
      </c>
    </row>
    <row r="236" spans="1:15" ht="13.5" x14ac:dyDescent="0.25">
      <c r="A236" s="191">
        <v>2720</v>
      </c>
      <c r="B236" s="2881" t="s">
        <v>2804</v>
      </c>
      <c r="C236" s="2881"/>
      <c r="D236" s="2347"/>
      <c r="E236" s="2347"/>
      <c r="F236" s="365">
        <f>'905'!F238</f>
        <v>0</v>
      </c>
      <c r="H236" s="365" t="e">
        <f t="shared" si="53"/>
        <v>#N/A</v>
      </c>
      <c r="J236" s="249" t="e">
        <f t="shared" si="55"/>
        <v>#N/A</v>
      </c>
      <c r="L236" s="250" t="e">
        <f t="shared" si="56"/>
        <v>#N/A</v>
      </c>
      <c r="N236" s="2261" t="str">
        <f t="shared" si="54"/>
        <v xml:space="preserve"> </v>
      </c>
    </row>
    <row r="237" spans="1:15" ht="13.5" x14ac:dyDescent="0.25">
      <c r="A237" s="191">
        <v>2740</v>
      </c>
      <c r="B237" s="2881" t="s">
        <v>4897</v>
      </c>
      <c r="C237" s="2881"/>
      <c r="D237" s="2347"/>
      <c r="E237" s="2347"/>
      <c r="F237" s="365">
        <f>'905'!F239</f>
        <v>0</v>
      </c>
      <c r="H237" s="365" t="e">
        <f t="shared" si="53"/>
        <v>#N/A</v>
      </c>
      <c r="J237" s="249" t="e">
        <f t="shared" si="55"/>
        <v>#N/A</v>
      </c>
      <c r="L237" s="250" t="e">
        <f t="shared" si="56"/>
        <v>#N/A</v>
      </c>
      <c r="N237" s="2261" t="str">
        <f t="shared" si="54"/>
        <v xml:space="preserve"> </v>
      </c>
    </row>
    <row r="238" spans="1:15" ht="13.5" x14ac:dyDescent="0.25">
      <c r="A238" s="191">
        <v>2750</v>
      </c>
      <c r="B238" s="2881" t="s">
        <v>4898</v>
      </c>
      <c r="C238" s="2881"/>
      <c r="D238" s="2347"/>
      <c r="E238" s="2347"/>
      <c r="F238" s="365">
        <f>'905'!F240</f>
        <v>0</v>
      </c>
      <c r="H238" s="365" t="e">
        <f t="shared" si="53"/>
        <v>#N/A</v>
      </c>
      <c r="J238" s="249" t="e">
        <f t="shared" si="55"/>
        <v>#N/A</v>
      </c>
      <c r="L238" s="250" t="e">
        <f t="shared" si="56"/>
        <v>#N/A</v>
      </c>
      <c r="N238" s="2261" t="str">
        <f t="shared" si="54"/>
        <v xml:space="preserve"> </v>
      </c>
    </row>
    <row r="239" spans="1:15" ht="13.5" x14ac:dyDescent="0.25">
      <c r="A239" s="191">
        <v>2755</v>
      </c>
      <c r="B239" s="2881" t="s">
        <v>2807</v>
      </c>
      <c r="C239" s="2881"/>
      <c r="D239" s="2347"/>
      <c r="E239" s="2347"/>
      <c r="F239" s="365">
        <f>'905'!F241</f>
        <v>0</v>
      </c>
      <c r="H239" s="365" t="e">
        <f t="shared" si="53"/>
        <v>#N/A</v>
      </c>
      <c r="J239" s="249" t="e">
        <f>F239-H239</f>
        <v>#N/A</v>
      </c>
      <c r="L239" s="250" t="e">
        <f>IF(H239=0,0,J239/H239)</f>
        <v>#N/A</v>
      </c>
      <c r="N239" s="2261" t="str">
        <f>IF($F$88=0," ",IF(AND(ABS(J239)&gt;$L$3,ABS(L239)&gt;$L$2),"C",IF(AND(ABS(F239+H239)&gt;0,H239=0,ABS(J239)&gt;$L$3),"C"," ")))</f>
        <v xml:space="preserve"> </v>
      </c>
      <c r="O239" s="1021"/>
    </row>
    <row r="240" spans="1:15" ht="13.5" x14ac:dyDescent="0.25">
      <c r="A240" s="191">
        <v>2760</v>
      </c>
      <c r="B240" s="2881" t="s">
        <v>1228</v>
      </c>
      <c r="C240" s="2881"/>
      <c r="D240" s="2347"/>
      <c r="E240" s="2347"/>
      <c r="F240" s="365">
        <f>'905'!F242</f>
        <v>0</v>
      </c>
      <c r="H240" s="365" t="e">
        <f t="shared" si="53"/>
        <v>#N/A</v>
      </c>
      <c r="J240" s="249" t="e">
        <f t="shared" si="55"/>
        <v>#N/A</v>
      </c>
      <c r="L240" s="250" t="e">
        <f t="shared" si="56"/>
        <v>#N/A</v>
      </c>
      <c r="N240" s="2261" t="str">
        <f t="shared" si="54"/>
        <v xml:space="preserve"> </v>
      </c>
    </row>
    <row r="241" spans="1:14" ht="13.5" x14ac:dyDescent="0.25">
      <c r="A241" s="191">
        <v>2770</v>
      </c>
      <c r="B241" s="2881" t="s">
        <v>2808</v>
      </c>
      <c r="C241" s="2881"/>
      <c r="D241" s="2347"/>
      <c r="E241" s="2347"/>
      <c r="F241" s="365">
        <f>'905'!F243</f>
        <v>0</v>
      </c>
      <c r="H241" s="365" t="e">
        <f t="shared" si="53"/>
        <v>#N/A</v>
      </c>
      <c r="J241" s="249" t="e">
        <f t="shared" si="55"/>
        <v>#N/A</v>
      </c>
      <c r="L241" s="250" t="e">
        <f t="shared" si="56"/>
        <v>#N/A</v>
      </c>
      <c r="N241" s="2261" t="str">
        <f t="shared" si="54"/>
        <v xml:space="preserve"> </v>
      </c>
    </row>
    <row r="242" spans="1:14" ht="13.5" x14ac:dyDescent="0.25">
      <c r="A242" s="191">
        <v>2780</v>
      </c>
      <c r="B242" s="2881" t="s">
        <v>2809</v>
      </c>
      <c r="C242" s="2881"/>
      <c r="D242" s="2347"/>
      <c r="E242" s="2347"/>
      <c r="F242" s="365">
        <f>'905'!F244</f>
        <v>0</v>
      </c>
      <c r="H242" s="365" t="e">
        <f t="shared" si="53"/>
        <v>#N/A</v>
      </c>
      <c r="J242" s="249" t="e">
        <f t="shared" si="55"/>
        <v>#N/A</v>
      </c>
      <c r="L242" s="250" t="e">
        <f t="shared" si="56"/>
        <v>#N/A</v>
      </c>
      <c r="N242" s="2261" t="str">
        <f t="shared" si="54"/>
        <v xml:space="preserve"> </v>
      </c>
    </row>
    <row r="243" spans="1:14" ht="13.5" x14ac:dyDescent="0.25">
      <c r="A243" s="191">
        <v>2785</v>
      </c>
      <c r="B243" s="2881" t="s">
        <v>4899</v>
      </c>
      <c r="C243" s="2881"/>
      <c r="D243" s="2347"/>
      <c r="E243" s="2347"/>
      <c r="F243" s="365">
        <f>'905'!F245</f>
        <v>0</v>
      </c>
      <c r="H243" s="365" t="e">
        <f t="shared" si="53"/>
        <v>#N/A</v>
      </c>
      <c r="J243" s="249" t="e">
        <f>F243-H243</f>
        <v>#N/A</v>
      </c>
      <c r="L243" s="250" t="e">
        <f>IF(H243=0,0,J243/H243)</f>
        <v>#N/A</v>
      </c>
      <c r="N243" s="2261" t="str">
        <f t="shared" si="54"/>
        <v xml:space="preserve"> </v>
      </c>
    </row>
    <row r="244" spans="1:14" ht="13.5" x14ac:dyDescent="0.25">
      <c r="A244" s="191">
        <v>2786</v>
      </c>
      <c r="B244" s="2881" t="s">
        <v>2811</v>
      </c>
      <c r="C244" s="2881"/>
      <c r="D244" s="2347"/>
      <c r="E244" s="2347"/>
      <c r="F244" s="365">
        <f>'905'!F246</f>
        <v>0</v>
      </c>
      <c r="H244" s="365" t="e">
        <f t="shared" si="53"/>
        <v>#N/A</v>
      </c>
      <c r="J244" s="249" t="e">
        <f>F244-H244</f>
        <v>#N/A</v>
      </c>
      <c r="L244" s="250" t="e">
        <f>IF(H244=0,0,J244/H244)</f>
        <v>#N/A</v>
      </c>
      <c r="N244" s="2261" t="str">
        <f t="shared" si="54"/>
        <v xml:space="preserve"> </v>
      </c>
    </row>
    <row r="245" spans="1:14" ht="13.5" x14ac:dyDescent="0.25">
      <c r="A245" s="191">
        <v>2800</v>
      </c>
      <c r="B245" s="2881" t="s">
        <v>2812</v>
      </c>
      <c r="C245" s="2881"/>
      <c r="D245" s="2347"/>
      <c r="E245" s="2347"/>
      <c r="F245" s="365">
        <f>'905'!F247</f>
        <v>0</v>
      </c>
      <c r="H245" s="365" t="e">
        <f t="shared" si="53"/>
        <v>#N/A</v>
      </c>
      <c r="J245" s="249" t="e">
        <f t="shared" si="55"/>
        <v>#N/A</v>
      </c>
      <c r="L245" s="250" t="e">
        <f t="shared" si="56"/>
        <v>#N/A</v>
      </c>
      <c r="N245" s="2261" t="str">
        <f t="shared" si="54"/>
        <v xml:space="preserve"> </v>
      </c>
    </row>
    <row r="246" spans="1:14" ht="13.5" x14ac:dyDescent="0.25">
      <c r="A246" s="191">
        <v>2810</v>
      </c>
      <c r="B246" s="2881" t="s">
        <v>2813</v>
      </c>
      <c r="C246" s="2881"/>
      <c r="D246" s="2347"/>
      <c r="E246" s="2347"/>
      <c r="F246" s="365">
        <f>'905'!F248</f>
        <v>0</v>
      </c>
      <c r="H246" s="365" t="e">
        <f t="shared" si="53"/>
        <v>#N/A</v>
      </c>
      <c r="J246" s="249" t="e">
        <f t="shared" si="55"/>
        <v>#N/A</v>
      </c>
      <c r="L246" s="250" t="e">
        <f t="shared" si="56"/>
        <v>#N/A</v>
      </c>
      <c r="N246" s="2261" t="str">
        <f t="shared" si="54"/>
        <v xml:space="preserve"> </v>
      </c>
    </row>
    <row r="247" spans="1:14" ht="13.5" x14ac:dyDescent="0.25">
      <c r="B247" s="2881" t="s">
        <v>4900</v>
      </c>
      <c r="C247" s="2881"/>
      <c r="D247" s="2347"/>
      <c r="E247" s="2347"/>
      <c r="F247" s="238">
        <f>SUM(F228:F246)</f>
        <v>0</v>
      </c>
      <c r="H247" s="238" t="e">
        <f>SUM(H228:H246)</f>
        <v>#N/A</v>
      </c>
      <c r="J247" s="249" t="e">
        <f t="shared" si="55"/>
        <v>#N/A</v>
      </c>
      <c r="L247" s="250" t="e">
        <f t="shared" si="56"/>
        <v>#N/A</v>
      </c>
    </row>
    <row r="248" spans="1:14" ht="13.5" x14ac:dyDescent="0.25">
      <c r="B248" s="2881" t="s">
        <v>4901</v>
      </c>
      <c r="C248" s="2881"/>
      <c r="D248" s="2347"/>
      <c r="E248" s="2347"/>
      <c r="F248" s="741">
        <f>F225+F247</f>
        <v>0</v>
      </c>
      <c r="H248" s="741" t="e">
        <f>H225+H247</f>
        <v>#N/A</v>
      </c>
      <c r="J248" s="249" t="e">
        <f t="shared" si="55"/>
        <v>#N/A</v>
      </c>
      <c r="L248" s="250" t="e">
        <f t="shared" si="56"/>
        <v>#N/A</v>
      </c>
    </row>
    <row r="249" spans="1:14" ht="13.5" x14ac:dyDescent="0.25">
      <c r="A249" s="527">
        <v>2870</v>
      </c>
      <c r="B249" s="2881" t="s">
        <v>4902</v>
      </c>
      <c r="C249" s="2881"/>
      <c r="D249" s="2347"/>
      <c r="E249" s="2347"/>
      <c r="F249" s="365">
        <f>'905'!F251</f>
        <v>0</v>
      </c>
      <c r="H249" s="365" t="e">
        <f t="shared" ref="H249:H255" si="57">INDEX(PY905Data,MATCH($A249,PY905Row,0),MATCH($C$5,PY905Col,0))</f>
        <v>#N/A</v>
      </c>
      <c r="J249" s="249" t="e">
        <f t="shared" si="55"/>
        <v>#N/A</v>
      </c>
      <c r="L249" s="250" t="e">
        <f t="shared" si="56"/>
        <v>#N/A</v>
      </c>
      <c r="N249" s="2261" t="str">
        <f t="shared" ref="N249:N255" si="58">IF($F$88=0," ",IF(AND(ABS(J249)&gt;$L$3,ABS(L249)&gt;$L$2),"C",IF(AND(ABS(F249+H249)&gt;0,H249=0,ABS(J249)&gt;$L$3),"C"," ")))</f>
        <v xml:space="preserve"> </v>
      </c>
    </row>
    <row r="250" spans="1:14" ht="13.5" x14ac:dyDescent="0.25">
      <c r="A250" s="191">
        <v>2880</v>
      </c>
      <c r="B250" s="2881" t="s">
        <v>2817</v>
      </c>
      <c r="C250" s="2881"/>
      <c r="D250" s="2347"/>
      <c r="E250" s="2347"/>
      <c r="F250" s="365">
        <f>'905'!F252</f>
        <v>0</v>
      </c>
      <c r="H250" s="365" t="e">
        <f t="shared" si="57"/>
        <v>#N/A</v>
      </c>
      <c r="J250" s="249" t="e">
        <f t="shared" si="55"/>
        <v>#N/A</v>
      </c>
      <c r="L250" s="250" t="e">
        <f t="shared" si="56"/>
        <v>#N/A</v>
      </c>
      <c r="N250" s="2261" t="str">
        <f t="shared" si="58"/>
        <v xml:space="preserve"> </v>
      </c>
    </row>
    <row r="251" spans="1:14" ht="13.5" x14ac:dyDescent="0.25">
      <c r="A251" s="191">
        <v>2890</v>
      </c>
      <c r="B251" s="2881" t="s">
        <v>2819</v>
      </c>
      <c r="C251" s="2881"/>
      <c r="D251" s="2347"/>
      <c r="E251" s="2347"/>
      <c r="F251" s="365">
        <f>'905'!F253</f>
        <v>0</v>
      </c>
      <c r="H251" s="365" t="e">
        <f t="shared" si="57"/>
        <v>#N/A</v>
      </c>
      <c r="J251" s="249" t="e">
        <f t="shared" si="55"/>
        <v>#N/A</v>
      </c>
      <c r="L251" s="250" t="e">
        <f t="shared" si="56"/>
        <v>#N/A</v>
      </c>
      <c r="N251" s="2261" t="str">
        <f t="shared" si="58"/>
        <v xml:space="preserve"> </v>
      </c>
    </row>
    <row r="252" spans="1:14" ht="13.5" x14ac:dyDescent="0.25">
      <c r="A252" s="191">
        <v>2900</v>
      </c>
      <c r="B252" s="2881" t="s">
        <v>2820</v>
      </c>
      <c r="C252" s="2881"/>
      <c r="D252" s="2347"/>
      <c r="E252" s="2347"/>
      <c r="F252" s="365">
        <f>'905'!F254</f>
        <v>0</v>
      </c>
      <c r="H252" s="365" t="e">
        <f t="shared" si="57"/>
        <v>#N/A</v>
      </c>
      <c r="J252" s="249" t="e">
        <f>F252-H252</f>
        <v>#N/A</v>
      </c>
      <c r="L252" s="250" t="e">
        <f>IF(H252=0,0,J252/H252)</f>
        <v>#N/A</v>
      </c>
      <c r="N252" s="2261" t="str">
        <f t="shared" si="58"/>
        <v xml:space="preserve"> </v>
      </c>
    </row>
    <row r="253" spans="1:14" ht="13.5" x14ac:dyDescent="0.25">
      <c r="A253" s="666">
        <v>2940</v>
      </c>
      <c r="B253" s="2881" t="s">
        <v>4569</v>
      </c>
      <c r="C253" s="2881"/>
      <c r="D253" s="2347"/>
      <c r="E253" s="2347"/>
      <c r="F253" s="365">
        <f>'905'!F255</f>
        <v>0</v>
      </c>
      <c r="H253" s="365" t="e">
        <f t="shared" si="57"/>
        <v>#N/A</v>
      </c>
      <c r="J253" s="249" t="e">
        <f>F253-H253</f>
        <v>#N/A</v>
      </c>
      <c r="L253" s="250" t="e">
        <f>IF(H253=0,0,J253/H253)</f>
        <v>#N/A</v>
      </c>
      <c r="N253" s="2261" t="str">
        <f t="shared" si="58"/>
        <v xml:space="preserve"> </v>
      </c>
    </row>
    <row r="254" spans="1:14" ht="13.5" x14ac:dyDescent="0.25">
      <c r="A254" s="191">
        <v>2950</v>
      </c>
      <c r="B254" s="2881" t="s">
        <v>2822</v>
      </c>
      <c r="C254" s="2881"/>
      <c r="D254" s="2347"/>
      <c r="E254" s="2347"/>
      <c r="F254" s="365">
        <f>'905'!F256</f>
        <v>0</v>
      </c>
      <c r="H254" s="365" t="e">
        <f t="shared" si="57"/>
        <v>#N/A</v>
      </c>
      <c r="J254" s="249" t="e">
        <f t="shared" si="55"/>
        <v>#N/A</v>
      </c>
      <c r="L254" s="250" t="e">
        <f t="shared" si="56"/>
        <v>#N/A</v>
      </c>
      <c r="N254" s="2261" t="str">
        <f t="shared" si="58"/>
        <v xml:space="preserve"> </v>
      </c>
    </row>
    <row r="255" spans="1:14" ht="13.5" x14ac:dyDescent="0.25">
      <c r="A255" s="191">
        <v>2960</v>
      </c>
      <c r="B255" s="2881" t="s">
        <v>2823</v>
      </c>
      <c r="C255" s="2881"/>
      <c r="D255" s="2347"/>
      <c r="E255" s="2347"/>
      <c r="F255" s="367">
        <f>'905'!F257</f>
        <v>0</v>
      </c>
      <c r="H255" s="365" t="e">
        <f t="shared" si="57"/>
        <v>#N/A</v>
      </c>
      <c r="J255" s="249" t="e">
        <f t="shared" si="55"/>
        <v>#N/A</v>
      </c>
      <c r="L255" s="250" t="e">
        <f t="shared" si="56"/>
        <v>#N/A</v>
      </c>
      <c r="N255" s="2261" t="str">
        <f t="shared" si="58"/>
        <v xml:space="preserve"> </v>
      </c>
    </row>
    <row r="256" spans="1:14" ht="13.5" x14ac:dyDescent="0.25">
      <c r="B256" s="2881" t="s">
        <v>4903</v>
      </c>
      <c r="C256" s="2881"/>
      <c r="D256" s="2347"/>
      <c r="E256" s="2347"/>
      <c r="F256" s="741">
        <f>SUM(F248:F255)</f>
        <v>0</v>
      </c>
      <c r="H256" s="741" t="e">
        <f>SUM(H248:H255)</f>
        <v>#N/A</v>
      </c>
      <c r="J256" s="249" t="e">
        <f t="shared" si="55"/>
        <v>#N/A</v>
      </c>
      <c r="L256" s="250" t="e">
        <f t="shared" si="56"/>
        <v>#N/A</v>
      </c>
      <c r="N256" s="986" t="s">
        <v>4904</v>
      </c>
    </row>
    <row r="257" spans="1:14" ht="13.5" x14ac:dyDescent="0.25">
      <c r="A257" s="191">
        <v>2980</v>
      </c>
      <c r="B257" s="2881" t="s">
        <v>4905</v>
      </c>
      <c r="C257" s="2881"/>
      <c r="D257" s="2347"/>
      <c r="E257" s="2347"/>
      <c r="F257" s="365" t="e">
        <f>'905'!F259</f>
        <v>#N/A</v>
      </c>
      <c r="H257" s="365" t="e">
        <f>INDEX(PY905Data,MATCH($A257,PY905Row,0),MATCH($C$5,PY905Col,0))</f>
        <v>#N/A</v>
      </c>
      <c r="J257" s="249" t="e">
        <f t="shared" si="55"/>
        <v>#N/A</v>
      </c>
      <c r="L257" s="250" t="e">
        <f t="shared" si="56"/>
        <v>#N/A</v>
      </c>
      <c r="N257" s="987" t="s">
        <v>4906</v>
      </c>
    </row>
    <row r="258" spans="1:14" ht="13.5" x14ac:dyDescent="0.25">
      <c r="A258" s="191">
        <v>2990</v>
      </c>
      <c r="B258" s="2881" t="s">
        <v>1737</v>
      </c>
      <c r="C258" s="2881"/>
      <c r="D258" s="2347"/>
      <c r="E258" s="2347"/>
      <c r="F258" s="365">
        <f>'905'!F260</f>
        <v>0</v>
      </c>
      <c r="H258" s="365" t="e">
        <f>INDEX(PY905Data,MATCH($A258,PY905Row,0),MATCH($C$5,PY905Col,0))</f>
        <v>#N/A</v>
      </c>
      <c r="J258" s="249" t="e">
        <f t="shared" si="55"/>
        <v>#N/A</v>
      </c>
      <c r="L258" s="250" t="e">
        <f t="shared" si="56"/>
        <v>#N/A</v>
      </c>
      <c r="N258" s="988" t="s">
        <v>4907</v>
      </c>
    </row>
    <row r="259" spans="1:14" ht="13.5" thickBot="1" x14ac:dyDescent="0.25">
      <c r="B259" s="2881" t="s">
        <v>4908</v>
      </c>
      <c r="C259" s="2881"/>
      <c r="D259" s="2347"/>
      <c r="E259" s="2347"/>
      <c r="F259" s="241" t="e">
        <f>SUM(F256:F258)</f>
        <v>#N/A</v>
      </c>
      <c r="H259" s="241" t="e">
        <f>SUM(H256:H258)</f>
        <v>#N/A</v>
      </c>
    </row>
    <row r="260" spans="1:14" ht="4.5" customHeight="1" thickTop="1" x14ac:dyDescent="0.2"/>
    <row r="261" spans="1:14" x14ac:dyDescent="0.2">
      <c r="B261" s="203" t="s">
        <v>4909</v>
      </c>
      <c r="C261" s="203"/>
      <c r="D261" s="203"/>
      <c r="E261" s="203"/>
      <c r="F261" s="242" t="e">
        <f>IF(ROUND(F192-F259,2)=0,"In Bal.","Error")</f>
        <v>#N/A</v>
      </c>
      <c r="H261" s="242" t="e">
        <f>IF(ROUND(H192-H259,2)=0,"In Bal.","Error")</f>
        <v>#N/A</v>
      </c>
    </row>
    <row r="262" spans="1:14" x14ac:dyDescent="0.2">
      <c r="B262" s="2347"/>
      <c r="C262" s="2347"/>
      <c r="D262" s="2347"/>
      <c r="E262" s="2347"/>
    </row>
    <row r="263" spans="1:14" x14ac:dyDescent="0.2">
      <c r="B263" s="2347"/>
      <c r="C263" s="2347"/>
      <c r="D263" s="2347"/>
      <c r="E263" s="2347"/>
    </row>
  </sheetData>
  <sheetProtection algorithmName="SHA-512" hashValue="7CXj3ng2VxbnLtk4OEFEZSBa0cO9Pu2RdhrgunZVt10dz8z2RW6rN2NaEc9Yclas+TbEJX2CIz1NDsdptMVS/w==" saltValue="gNp9hZknPzV/UyoSknjcdA==" spinCount="100000" sheet="1" objects="1" scenarios="1" autoFilter="0"/>
  <customSheetViews>
    <customSheetView guid="{9FCFC836-1CA5-48BF-958D-24D2EA94B219}" showGridLines="0" fitToPage="1">
      <selection activeCell="E9" sqref="E9"/>
      <pageMargins left="0" right="0" top="0" bottom="0" header="0" footer="0"/>
      <pageSetup scale="66" fitToHeight="3" orientation="portrait" r:id="rId1"/>
      <headerFooter alignWithMargins="0">
        <oddFooter>&amp;R&amp;A (&amp;P of &amp;N)</oddFooter>
      </headerFooter>
    </customSheetView>
    <customSheetView guid="{B08879A4-635B-4C39-9937-AC7883D562FC}" showGridLines="0" fitToPage="1">
      <selection activeCell="E9" sqref="E9"/>
      <pageMargins left="0" right="0" top="0" bottom="0" header="0" footer="0"/>
      <pageSetup scale="66" fitToHeight="3" orientation="portrait" r:id="rId2"/>
      <headerFooter alignWithMargins="0">
        <oddFooter>&amp;R&amp;A (&amp;P of &amp;N)</oddFooter>
      </headerFooter>
    </customSheetView>
  </customSheetViews>
  <mergeCells count="221">
    <mergeCell ref="B244:C244"/>
    <mergeCell ref="B231:C231"/>
    <mergeCell ref="B152:C152"/>
    <mergeCell ref="B119:C119"/>
    <mergeCell ref="B142:C142"/>
    <mergeCell ref="B120:C120"/>
    <mergeCell ref="B153:C153"/>
    <mergeCell ref="B155:C155"/>
    <mergeCell ref="B159:E159"/>
    <mergeCell ref="B157:C157"/>
    <mergeCell ref="B165:C165"/>
    <mergeCell ref="B168:E168"/>
    <mergeCell ref="B202:C202"/>
    <mergeCell ref="B228:C228"/>
    <mergeCell ref="B200:C200"/>
    <mergeCell ref="B132:E132"/>
    <mergeCell ref="B136:C136"/>
    <mergeCell ref="B242:C242"/>
    <mergeCell ref="B204:C204"/>
    <mergeCell ref="B237:C237"/>
    <mergeCell ref="B229:C229"/>
    <mergeCell ref="B232:C232"/>
    <mergeCell ref="B236:C236"/>
    <mergeCell ref="B221:C221"/>
    <mergeCell ref="B245:C245"/>
    <mergeCell ref="B247:C247"/>
    <mergeCell ref="B249:C249"/>
    <mergeCell ref="B248:C248"/>
    <mergeCell ref="B240:C240"/>
    <mergeCell ref="B241:C241"/>
    <mergeCell ref="B243:C243"/>
    <mergeCell ref="B175:E175"/>
    <mergeCell ref="B134:E134"/>
    <mergeCell ref="B172:E172"/>
    <mergeCell ref="B147:C147"/>
    <mergeCell ref="B198:C198"/>
    <mergeCell ref="B150:C150"/>
    <mergeCell ref="B149:C149"/>
    <mergeCell ref="B148:C148"/>
    <mergeCell ref="B146:C146"/>
    <mergeCell ref="B171:E171"/>
    <mergeCell ref="B238:C238"/>
    <mergeCell ref="B203:C203"/>
    <mergeCell ref="B218:C218"/>
    <mergeCell ref="B214:C214"/>
    <mergeCell ref="B234:C234"/>
    <mergeCell ref="B209:C209"/>
    <mergeCell ref="B224:C224"/>
    <mergeCell ref="B259:C259"/>
    <mergeCell ref="B256:C256"/>
    <mergeCell ref="B257:C257"/>
    <mergeCell ref="B250:C250"/>
    <mergeCell ref="B251:C251"/>
    <mergeCell ref="B254:C254"/>
    <mergeCell ref="B255:C255"/>
    <mergeCell ref="B258:C258"/>
    <mergeCell ref="B252:C252"/>
    <mergeCell ref="B253:C253"/>
    <mergeCell ref="B246:C246"/>
    <mergeCell ref="N1:N3"/>
    <mergeCell ref="B13:C13"/>
    <mergeCell ref="C6:F6"/>
    <mergeCell ref="I5:L5"/>
    <mergeCell ref="B29:C29"/>
    <mergeCell ref="B113:C113"/>
    <mergeCell ref="B58:C58"/>
    <mergeCell ref="B92:E92"/>
    <mergeCell ref="B51:C51"/>
    <mergeCell ref="B80:C80"/>
    <mergeCell ref="B107:C107"/>
    <mergeCell ref="B63:C63"/>
    <mergeCell ref="B61:C61"/>
    <mergeCell ref="B97:E97"/>
    <mergeCell ref="B96:E96"/>
    <mergeCell ref="J6:L6"/>
    <mergeCell ref="B15:C15"/>
    <mergeCell ref="B106:C106"/>
    <mergeCell ref="B41:C41"/>
    <mergeCell ref="B27:C27"/>
    <mergeCell ref="B22:C22"/>
    <mergeCell ref="B32:C32"/>
    <mergeCell ref="B205:C205"/>
    <mergeCell ref="B208:C208"/>
    <mergeCell ref="B199:C199"/>
    <mergeCell ref="B235:C235"/>
    <mergeCell ref="B233:C233"/>
    <mergeCell ref="B225:C225"/>
    <mergeCell ref="B230:C230"/>
    <mergeCell ref="B213:C213"/>
    <mergeCell ref="B217:C217"/>
    <mergeCell ref="B223:C223"/>
    <mergeCell ref="B219:C219"/>
    <mergeCell ref="B212:E212"/>
    <mergeCell ref="B206:C206"/>
    <mergeCell ref="B207:C207"/>
    <mergeCell ref="B109:C109"/>
    <mergeCell ref="B110:C110"/>
    <mergeCell ref="B111:C111"/>
    <mergeCell ref="B103:C103"/>
    <mergeCell ref="B71:C71"/>
    <mergeCell ref="B104:C104"/>
    <mergeCell ref="B126:C126"/>
    <mergeCell ref="B143:C143"/>
    <mergeCell ref="B122:C122"/>
    <mergeCell ref="B105:C105"/>
    <mergeCell ref="B115:C115"/>
    <mergeCell ref="B127:C127"/>
    <mergeCell ref="B130:C130"/>
    <mergeCell ref="B84:C84"/>
    <mergeCell ref="B79:C79"/>
    <mergeCell ref="B123:C123"/>
    <mergeCell ref="B93:E93"/>
    <mergeCell ref="B128:C128"/>
    <mergeCell ref="B129:C129"/>
    <mergeCell ref="B86:C86"/>
    <mergeCell ref="B75:C75"/>
    <mergeCell ref="B76:C76"/>
    <mergeCell ref="B77:C77"/>
    <mergeCell ref="B78:C78"/>
    <mergeCell ref="B95:E95"/>
    <mergeCell ref="B91:E91"/>
    <mergeCell ref="B55:C55"/>
    <mergeCell ref="B57:C57"/>
    <mergeCell ref="B83:C83"/>
    <mergeCell ref="B68:C68"/>
    <mergeCell ref="B72:C72"/>
    <mergeCell ref="B73:C73"/>
    <mergeCell ref="B74:C74"/>
    <mergeCell ref="B67:C67"/>
    <mergeCell ref="B88:C88"/>
    <mergeCell ref="B64:C64"/>
    <mergeCell ref="B65:C65"/>
    <mergeCell ref="B66:C66"/>
    <mergeCell ref="B69:C69"/>
    <mergeCell ref="B94:E94"/>
    <mergeCell ref="B191:C191"/>
    <mergeCell ref="B161:C161"/>
    <mergeCell ref="B156:C156"/>
    <mergeCell ref="B141:C141"/>
    <mergeCell ref="B145:C145"/>
    <mergeCell ref="B117:C117"/>
    <mergeCell ref="B114:C114"/>
    <mergeCell ref="B124:C124"/>
    <mergeCell ref="B178:C178"/>
    <mergeCell ref="B181:C181"/>
    <mergeCell ref="B154:C154"/>
    <mergeCell ref="B187:C187"/>
    <mergeCell ref="B125:C125"/>
    <mergeCell ref="B151:C151"/>
    <mergeCell ref="B190:C190"/>
    <mergeCell ref="B121:C121"/>
    <mergeCell ref="B131:C131"/>
    <mergeCell ref="B176:E176"/>
    <mergeCell ref="B133:E133"/>
    <mergeCell ref="B160:C160"/>
    <mergeCell ref="B173:E173"/>
    <mergeCell ref="B174:E174"/>
    <mergeCell ref="B48:C48"/>
    <mergeCell ref="B44:C44"/>
    <mergeCell ref="B47:C47"/>
    <mergeCell ref="B85:C85"/>
    <mergeCell ref="B59:C59"/>
    <mergeCell ref="B60:C60"/>
    <mergeCell ref="B54:C54"/>
    <mergeCell ref="B46:C46"/>
    <mergeCell ref="B45:C45"/>
    <mergeCell ref="B52:C52"/>
    <mergeCell ref="B53:C53"/>
    <mergeCell ref="B56:C56"/>
    <mergeCell ref="B81:E81"/>
    <mergeCell ref="B82:E82"/>
    <mergeCell ref="B49:C49"/>
    <mergeCell ref="B50:E50"/>
    <mergeCell ref="A1:G1"/>
    <mergeCell ref="A2:G2"/>
    <mergeCell ref="B3:G3"/>
    <mergeCell ref="A4:G4"/>
    <mergeCell ref="B33:C33"/>
    <mergeCell ref="B34:C34"/>
    <mergeCell ref="B21:C21"/>
    <mergeCell ref="B37:C37"/>
    <mergeCell ref="B38:C38"/>
    <mergeCell ref="B28:C28"/>
    <mergeCell ref="B25:C25"/>
    <mergeCell ref="B26:C26"/>
    <mergeCell ref="B23:C23"/>
    <mergeCell ref="B30:C30"/>
    <mergeCell ref="B42:C42"/>
    <mergeCell ref="B35:C35"/>
    <mergeCell ref="B36:C36"/>
    <mergeCell ref="B14:C14"/>
    <mergeCell ref="B16:C16"/>
    <mergeCell ref="B24:C24"/>
    <mergeCell ref="B19:C19"/>
    <mergeCell ref="B20:C20"/>
    <mergeCell ref="B17:C17"/>
    <mergeCell ref="B31:E31"/>
    <mergeCell ref="B239:C239"/>
    <mergeCell ref="B98:C98"/>
    <mergeCell ref="B222:C222"/>
    <mergeCell ref="B201:C201"/>
    <mergeCell ref="B216:C216"/>
    <mergeCell ref="B158:E158"/>
    <mergeCell ref="B185:C185"/>
    <mergeCell ref="B169:E169"/>
    <mergeCell ref="B215:C215"/>
    <mergeCell ref="B192:C192"/>
    <mergeCell ref="B163:C163"/>
    <mergeCell ref="B184:C184"/>
    <mergeCell ref="B162:C162"/>
    <mergeCell ref="B188:C188"/>
    <mergeCell ref="B170:E170"/>
    <mergeCell ref="B177:E177"/>
    <mergeCell ref="B189:C189"/>
    <mergeCell ref="B183:C183"/>
    <mergeCell ref="B112:C112"/>
    <mergeCell ref="B116:C116"/>
    <mergeCell ref="B118:C118"/>
    <mergeCell ref="B144:C144"/>
    <mergeCell ref="B135:C135"/>
    <mergeCell ref="B137:C137"/>
  </mergeCells>
  <phoneticPr fontId="16" type="noConversion"/>
  <conditionalFormatting sqref="N1:N3">
    <cfRule type="cellIs" dxfId="8" priority="2" stopIfTrue="1" operator="equal">
      <formula>"na"</formula>
    </cfRule>
  </conditionalFormatting>
  <conditionalFormatting sqref="N1:N1048576">
    <cfRule type="containsText" dxfId="7" priority="1" operator="containsText" text="C">
      <formula>NOT(ISERROR(SEARCH("C",N1)))</formula>
    </cfRule>
  </conditionalFormatting>
  <dataValidations disablePrompts="1" count="1">
    <dataValidation type="textLength" operator="equal" allowBlank="1" showInputMessage="1" showErrorMessage="1" errorTitle="Invalid data!" error="GASB number must be 4 digits." sqref="G7" xr:uid="{00000000-0002-0000-5100-000000000000}">
      <formula1>4</formula1>
    </dataValidation>
  </dataValidations>
  <hyperlinks>
    <hyperlink ref="B1:L1" location="Index!A1" display="Index!A1" xr:uid="{00000000-0004-0000-5100-000000000000}"/>
  </hyperlinks>
  <printOptions headings="1"/>
  <pageMargins left="0.75" right="0.5" top="0.5" bottom="0.5" header="0.5" footer="0.25"/>
  <pageSetup scale="72" fitToHeight="5" orientation="portrait" r:id="rId3"/>
  <headerFooter alignWithMargins="0">
    <oddFooter>&amp;L&amp;D &amp;T&amp;R&amp;A (&amp;P of &amp;N)</oddFooter>
  </headerFooter>
  <rowBreaks count="3" manualBreakCount="3">
    <brk id="69" max="13" man="1"/>
    <brk id="138" max="13" man="1"/>
    <brk id="210" max="13" man="1"/>
  </rowBreaks>
  <legacyDrawing r:id="rId4"/>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0">
    <pageSetUpPr fitToPage="1"/>
  </sheetPr>
  <dimension ref="A1:Y261"/>
  <sheetViews>
    <sheetView showGridLines="0" zoomScaleNormal="100" zoomScaleSheetLayoutView="100" workbookViewId="0">
      <selection activeCell="P144" sqref="P144"/>
    </sheetView>
  </sheetViews>
  <sheetFormatPr defaultColWidth="9.42578125" defaultRowHeight="12.75" x14ac:dyDescent="0.2"/>
  <cols>
    <col min="1" max="1" width="4.42578125" bestFit="1" customWidth="1"/>
    <col min="2" max="2" width="15.42578125" customWidth="1"/>
    <col min="3" max="3" width="23.5703125" customWidth="1"/>
    <col min="4" max="4" width="2.42578125" customWidth="1"/>
    <col min="5" max="5" width="1.5703125" customWidth="1"/>
    <col min="6" max="6" width="18.5703125" style="365" customWidth="1"/>
    <col min="7" max="7" width="1.5703125" customWidth="1"/>
    <col min="8" max="8" width="18.5703125" style="365" customWidth="1"/>
    <col min="9" max="9" width="1.42578125" customWidth="1"/>
    <col min="10" max="10" width="14" customWidth="1"/>
    <col min="11" max="11" width="1.42578125" customWidth="1"/>
    <col min="12" max="12" width="12" customWidth="1"/>
    <col min="13" max="13" width="1.42578125" customWidth="1"/>
    <col min="14" max="14" width="10.42578125" customWidth="1"/>
  </cols>
  <sheetData>
    <row r="1" spans="1:25" ht="15.75" x14ac:dyDescent="0.25">
      <c r="A1" s="2455" t="str">
        <f>+Index!$A$1</f>
        <v xml:space="preserve">                                                               Office of the State Controller                                                                </v>
      </c>
      <c r="B1" s="2455"/>
      <c r="C1" s="2455"/>
      <c r="D1" s="2455"/>
      <c r="E1" s="2455"/>
      <c r="F1" s="2455"/>
      <c r="G1" s="2455"/>
      <c r="H1" s="2214"/>
      <c r="I1" s="2214"/>
      <c r="J1" s="992"/>
      <c r="K1" s="993" t="s">
        <v>4819</v>
      </c>
      <c r="L1" s="992"/>
      <c r="M1" s="2214"/>
      <c r="N1" s="2456" t="str">
        <f>IF(Index!$B$113="na", "NA", "")</f>
        <v/>
      </c>
      <c r="O1" s="2214"/>
      <c r="Q1" s="2214"/>
      <c r="R1" s="2214"/>
      <c r="S1" s="2214"/>
      <c r="T1" s="2214"/>
      <c r="U1" s="2214"/>
      <c r="V1" s="2214"/>
      <c r="W1" s="2214"/>
      <c r="X1" s="2214"/>
    </row>
    <row r="2" spans="1:25" ht="16.5" x14ac:dyDescent="0.3">
      <c r="A2" s="2988" t="str">
        <f>+Index!$A$2</f>
        <v>2023 ACFR Worksheets</v>
      </c>
      <c r="B2" s="2988"/>
      <c r="C2" s="2988"/>
      <c r="D2" s="2988"/>
      <c r="E2" s="2988"/>
      <c r="F2" s="2988"/>
      <c r="G2" s="2988"/>
      <c r="H2" s="2214"/>
      <c r="I2" s="2208"/>
      <c r="J2" s="994"/>
      <c r="K2" s="991" t="s">
        <v>4820</v>
      </c>
      <c r="L2" s="995">
        <v>0.15</v>
      </c>
      <c r="M2" s="2208"/>
      <c r="N2" s="2456"/>
      <c r="O2" s="2208"/>
      <c r="Q2" s="353"/>
      <c r="R2" s="353"/>
      <c r="S2" s="353"/>
      <c r="T2" s="353"/>
      <c r="U2" s="353"/>
      <c r="V2" s="353"/>
      <c r="W2" s="353"/>
      <c r="X2" s="353"/>
    </row>
    <row r="3" spans="1:25" ht="27.75" customHeight="1" x14ac:dyDescent="0.3">
      <c r="B3" s="2995" t="s">
        <v>4910</v>
      </c>
      <c r="C3" s="2995"/>
      <c r="D3" s="2995"/>
      <c r="E3" s="2995"/>
      <c r="F3" s="2995"/>
      <c r="G3" s="2995"/>
      <c r="H3" s="2372"/>
      <c r="I3" s="2372"/>
      <c r="J3" s="996"/>
      <c r="K3" s="991" t="s">
        <v>4822</v>
      </c>
      <c r="L3" s="997">
        <v>40000000</v>
      </c>
      <c r="M3" s="2372"/>
      <c r="N3" s="2456"/>
      <c r="O3" s="2372"/>
      <c r="Q3" s="353"/>
      <c r="R3" s="353"/>
      <c r="S3" s="353"/>
      <c r="T3" s="353"/>
      <c r="U3" s="353"/>
      <c r="V3" s="353"/>
      <c r="W3" s="353"/>
      <c r="X3" s="353"/>
    </row>
    <row r="4" spans="1:25" ht="12.75" customHeight="1" x14ac:dyDescent="0.25">
      <c r="A4" s="2503"/>
      <c r="B4" s="2503"/>
      <c r="C4" s="2503"/>
      <c r="D4" s="2503"/>
      <c r="E4" s="2503"/>
      <c r="F4" s="2503"/>
      <c r="G4" s="2503"/>
      <c r="H4" s="2231"/>
      <c r="I4" s="2231"/>
      <c r="J4" s="998"/>
      <c r="K4" s="991" t="s">
        <v>4824</v>
      </c>
      <c r="L4" s="999">
        <f>COUNTIF(N6:N258,"=C")</f>
        <v>0</v>
      </c>
      <c r="M4" s="27"/>
    </row>
    <row r="5" spans="1:25" s="124" customFormat="1" ht="13.5" customHeight="1" x14ac:dyDescent="0.2">
      <c r="B5" s="124" t="s">
        <v>317</v>
      </c>
      <c r="C5" s="359" t="str">
        <f>+Index!$E$10</f>
        <v>01</v>
      </c>
      <c r="D5" s="356"/>
      <c r="E5" s="356"/>
      <c r="H5" s="455" t="s">
        <v>319</v>
      </c>
      <c r="I5" s="2979" t="str">
        <f>+CONCATENATE(Index!$E$12," ",Index!$E$14)</f>
        <v xml:space="preserve"> </v>
      </c>
      <c r="J5" s="2979"/>
      <c r="K5" s="2979"/>
      <c r="L5" s="2979"/>
      <c r="M5"/>
      <c r="N5"/>
      <c r="O5"/>
      <c r="Q5" s="354"/>
      <c r="Y5" s="123"/>
    </row>
    <row r="6" spans="1:25" s="124" customFormat="1" ht="15" customHeight="1" x14ac:dyDescent="0.2">
      <c r="B6" s="124" t="s">
        <v>318</v>
      </c>
      <c r="C6" s="2993" t="str">
        <f>+Index!$E$11</f>
        <v>North Carolina General Assembly</v>
      </c>
      <c r="D6" s="2993"/>
      <c r="E6" s="2993"/>
      <c r="F6" s="2993"/>
      <c r="H6" s="449" t="s">
        <v>71</v>
      </c>
      <c r="I6" s="385"/>
      <c r="J6" s="2994">
        <f>+Index!$E$13</f>
        <v>0</v>
      </c>
      <c r="K6" s="2994"/>
      <c r="L6" s="2994"/>
      <c r="Q6" s="355"/>
      <c r="R6" s="355"/>
      <c r="S6" s="355"/>
      <c r="T6" s="355"/>
      <c r="U6" s="355"/>
      <c r="V6" s="355"/>
      <c r="W6" s="355"/>
      <c r="X6" s="125"/>
      <c r="Y6" s="123"/>
    </row>
    <row r="7" spans="1:25" s="124" customFormat="1" ht="15" customHeight="1" x14ac:dyDescent="0.2">
      <c r="B7" s="124" t="s">
        <v>568</v>
      </c>
      <c r="C7" s="620" t="e">
        <f>INDEX(NetAssetsData,MATCH('905'!$C$5,NetAssetsDataRow,0),4)</f>
        <v>#N/A</v>
      </c>
      <c r="D7" s="598"/>
      <c r="E7" s="598"/>
      <c r="G7" s="354"/>
      <c r="Y7" s="123"/>
    </row>
    <row r="8" spans="1:25" s="27" customFormat="1" ht="11.25" customHeight="1" x14ac:dyDescent="0.2">
      <c r="B8" s="835" t="s">
        <v>4911</v>
      </c>
      <c r="C8" s="836"/>
      <c r="D8" s="836"/>
      <c r="E8" s="836"/>
      <c r="F8" s="836"/>
      <c r="G8" s="836"/>
      <c r="H8" s="836"/>
      <c r="I8" s="837"/>
      <c r="J8" s="836"/>
      <c r="K8" s="989"/>
      <c r="L8" s="838"/>
    </row>
    <row r="9" spans="1:25" x14ac:dyDescent="0.2">
      <c r="F9" s="742" t="s">
        <v>4912</v>
      </c>
      <c r="H9" s="742" t="s">
        <v>4827</v>
      </c>
      <c r="N9" s="981" t="s">
        <v>4828</v>
      </c>
    </row>
    <row r="10" spans="1:25" ht="12.75" customHeight="1" x14ac:dyDescent="0.25">
      <c r="B10" s="77"/>
      <c r="C10" s="232"/>
      <c r="D10" s="232"/>
      <c r="E10" s="232"/>
      <c r="F10" s="244" t="str">
        <f>CONCATENATE("FY",YEAR(Data!$A$3),"-",YEAR(Data!$A$2))</f>
        <v>FY2022-2023</v>
      </c>
      <c r="G10" s="245"/>
      <c r="H10" s="244" t="str">
        <f>CONCATENATE("FY",YEAR(Data!$A$3)-1,"-",YEAR(Data!$A$2)-1)</f>
        <v>FY2021-2022</v>
      </c>
      <c r="I10" s="246"/>
      <c r="J10" s="244" t="s">
        <v>2299</v>
      </c>
      <c r="K10" s="247"/>
      <c r="L10" s="248" t="s">
        <v>4829</v>
      </c>
      <c r="M10" s="247"/>
      <c r="N10" s="248" t="s">
        <v>4830</v>
      </c>
    </row>
    <row r="11" spans="1:25" ht="10.5" customHeight="1" x14ac:dyDescent="0.2">
      <c r="B11" s="2377" t="s">
        <v>4831</v>
      </c>
      <c r="C11" s="456"/>
      <c r="D11" s="456"/>
      <c r="E11" s="456"/>
      <c r="F11" s="456"/>
      <c r="G11" s="456"/>
    </row>
    <row r="12" spans="1:25" ht="12" customHeight="1" x14ac:dyDescent="0.2">
      <c r="B12" s="234" t="s">
        <v>2623</v>
      </c>
      <c r="C12" s="234"/>
      <c r="D12" s="234"/>
      <c r="E12" s="234"/>
    </row>
    <row r="13" spans="1:25" ht="14.25" customHeight="1" x14ac:dyDescent="0.25">
      <c r="A13" s="191">
        <v>1000</v>
      </c>
      <c r="B13" s="2881" t="s">
        <v>2624</v>
      </c>
      <c r="C13" s="2881"/>
      <c r="D13" s="2347"/>
      <c r="E13" s="2347"/>
      <c r="F13" s="366">
        <f>'905Hosp'!F14</f>
        <v>0</v>
      </c>
      <c r="H13" s="366" t="e">
        <f>INDEX(PY905Data,MATCH($A13,PY905Row,0),MATCH($C$5,PY905Col,0))</f>
        <v>#N/A</v>
      </c>
      <c r="J13" s="249" t="e">
        <f t="shared" ref="J13:J38" si="0">F13-H13</f>
        <v>#N/A</v>
      </c>
      <c r="L13" s="250" t="e">
        <f t="shared" ref="L13:L38" si="1">IF(H13=0,0,J13/H13)</f>
        <v>#N/A</v>
      </c>
      <c r="N13" s="2261" t="str">
        <f>IF($F$88=0," ",IF(AND(ABS(J13)&gt;$L$3,ABS(L13)&gt;$L$2),"C",IF(AND(ABS(F13+H13)&gt;0,H13=0,ABS(J13)&gt;$L$3),"C"," ")))</f>
        <v xml:space="preserve"> </v>
      </c>
    </row>
    <row r="14" spans="1:25" ht="13.5" x14ac:dyDescent="0.25">
      <c r="A14" s="191">
        <v>1010</v>
      </c>
      <c r="B14" s="2881" t="s">
        <v>1527</v>
      </c>
      <c r="C14" s="2881"/>
      <c r="D14" s="2347"/>
      <c r="E14" s="2347"/>
      <c r="F14" s="365">
        <f>'905Hosp'!F15</f>
        <v>0</v>
      </c>
      <c r="H14" s="365" t="e">
        <f>INDEX(PY905Data,MATCH($A14,PY905Row,0),MATCH($C$5,PY905Col,0))</f>
        <v>#N/A</v>
      </c>
      <c r="J14" s="249" t="e">
        <f>F14-H14</f>
        <v>#N/A</v>
      </c>
      <c r="L14" s="250" t="e">
        <f>IF(H14=0,0,J14/H14)</f>
        <v>#N/A</v>
      </c>
      <c r="N14" s="2261" t="str">
        <f t="shared" ref="N14:N37" si="2">IF($F$88=0," ",IF(AND(ABS(J14)&gt;$L$3,ABS(L14)&gt;$L$2),"C",IF(AND(ABS(F14+H14)&gt;0,H14=0,ABS(J14)&gt;$L$3),"C"," ")))</f>
        <v xml:space="preserve"> </v>
      </c>
    </row>
    <row r="15" spans="1:25" ht="13.5" x14ac:dyDescent="0.25">
      <c r="A15" s="191">
        <v>1050</v>
      </c>
      <c r="B15" s="2881" t="s">
        <v>2626</v>
      </c>
      <c r="C15" s="2881"/>
      <c r="D15" s="2347"/>
      <c r="E15" s="2347"/>
      <c r="F15" s="365">
        <f>'905Hosp'!F16</f>
        <v>0</v>
      </c>
      <c r="H15" s="365" t="e">
        <f>INDEX(PY905Data,MATCH($A15,PY905Row,0),MATCH($C$5,PY905Col,0))</f>
        <v>#N/A</v>
      </c>
      <c r="J15" s="249" t="e">
        <f t="shared" si="0"/>
        <v>#N/A</v>
      </c>
      <c r="L15" s="250" t="e">
        <f t="shared" si="1"/>
        <v>#N/A</v>
      </c>
      <c r="N15" s="2261" t="str">
        <f t="shared" si="2"/>
        <v xml:space="preserve"> </v>
      </c>
    </row>
    <row r="16" spans="1:25" ht="12.75" customHeight="1" x14ac:dyDescent="0.25">
      <c r="A16" s="191">
        <v>1060</v>
      </c>
      <c r="B16" s="2881" t="s">
        <v>2627</v>
      </c>
      <c r="C16" s="2881"/>
      <c r="D16" s="2347"/>
      <c r="E16" s="2347"/>
      <c r="F16" s="365">
        <f>'905Hosp'!F17</f>
        <v>0</v>
      </c>
      <c r="H16" s="365" t="e">
        <f>INDEX(PY905Data,MATCH($A16,PY905Row,0),MATCH($C$5,PY905Col,0))</f>
        <v>#N/A</v>
      </c>
      <c r="J16" s="249" t="e">
        <f>F16-H16</f>
        <v>#N/A</v>
      </c>
      <c r="L16" s="250" t="e">
        <f>IF(H16=0,0,J16/H16)</f>
        <v>#N/A</v>
      </c>
      <c r="N16" s="2261" t="str">
        <f t="shared" si="2"/>
        <v xml:space="preserve"> </v>
      </c>
    </row>
    <row r="17" spans="1:14" ht="13.5" x14ac:dyDescent="0.25">
      <c r="A17" s="191">
        <v>1090</v>
      </c>
      <c r="B17" s="2881" t="s">
        <v>2930</v>
      </c>
      <c r="C17" s="2881"/>
      <c r="D17" s="2347"/>
      <c r="E17" s="2347"/>
      <c r="F17" s="365">
        <f>'905Hosp'!F18</f>
        <v>0</v>
      </c>
      <c r="H17" s="365" t="e">
        <f>INDEX(PY905Data,MATCH($A17,PY905Row,0),MATCH($C$5,PY905Col,0))</f>
        <v>#N/A</v>
      </c>
      <c r="J17" s="249" t="e">
        <f>F17-H17</f>
        <v>#N/A</v>
      </c>
      <c r="L17" s="250" t="e">
        <f>IF(H17=0,0,J17/H17)</f>
        <v>#N/A</v>
      </c>
      <c r="N17" s="2261" t="str">
        <f t="shared" si="2"/>
        <v xml:space="preserve"> </v>
      </c>
    </row>
    <row r="18" spans="1:14" ht="12.75" customHeight="1" x14ac:dyDescent="0.25">
      <c r="A18" s="191"/>
      <c r="B18" s="191" t="s">
        <v>2629</v>
      </c>
      <c r="C18" s="191"/>
      <c r="D18" s="191"/>
      <c r="E18" s="191"/>
      <c r="J18" s="249"/>
      <c r="L18" s="250"/>
    </row>
    <row r="19" spans="1:14" ht="12.75" customHeight="1" x14ac:dyDescent="0.25">
      <c r="A19" s="191">
        <v>1110</v>
      </c>
      <c r="B19" s="2987" t="s">
        <v>2630</v>
      </c>
      <c r="C19" s="2987"/>
      <c r="D19" s="2375"/>
      <c r="E19" s="2375"/>
      <c r="F19" s="365">
        <f>'905Hosp'!F20</f>
        <v>0</v>
      </c>
      <c r="H19" s="365" t="e">
        <f t="shared" ref="H19:H37" si="3">INDEX(PY905Data,MATCH($A19,PY905Row,0),MATCH($C$5,PY905Col,0))</f>
        <v>#N/A</v>
      </c>
      <c r="J19" s="249" t="e">
        <f t="shared" si="0"/>
        <v>#N/A</v>
      </c>
      <c r="L19" s="250" t="e">
        <f t="shared" si="1"/>
        <v>#N/A</v>
      </c>
      <c r="N19" s="2261" t="str">
        <f t="shared" si="2"/>
        <v xml:space="preserve"> </v>
      </c>
    </row>
    <row r="20" spans="1:14" ht="13.5" x14ac:dyDescent="0.25">
      <c r="A20" s="191">
        <v>1120</v>
      </c>
      <c r="B20" s="2987" t="s">
        <v>2631</v>
      </c>
      <c r="C20" s="2987"/>
      <c r="D20" s="2375"/>
      <c r="E20" s="2375"/>
      <c r="F20" s="365">
        <f>'905Hosp'!F21</f>
        <v>0</v>
      </c>
      <c r="H20" s="365" t="e">
        <f t="shared" si="3"/>
        <v>#N/A</v>
      </c>
      <c r="J20" s="249" t="e">
        <f t="shared" si="0"/>
        <v>#N/A</v>
      </c>
      <c r="L20" s="250" t="e">
        <f t="shared" si="1"/>
        <v>#N/A</v>
      </c>
      <c r="N20" s="2261" t="str">
        <f t="shared" si="2"/>
        <v xml:space="preserve"> </v>
      </c>
    </row>
    <row r="21" spans="1:14" ht="13.5" x14ac:dyDescent="0.25">
      <c r="A21" s="191">
        <v>1130</v>
      </c>
      <c r="B21" s="2987" t="s">
        <v>2632</v>
      </c>
      <c r="C21" s="2987"/>
      <c r="D21" s="2375"/>
      <c r="E21" s="2375"/>
      <c r="F21" s="365">
        <f>'905Hosp'!F22</f>
        <v>0</v>
      </c>
      <c r="H21" s="365" t="e">
        <f t="shared" si="3"/>
        <v>#N/A</v>
      </c>
      <c r="J21" s="249" t="e">
        <f t="shared" si="0"/>
        <v>#N/A</v>
      </c>
      <c r="L21" s="250" t="e">
        <f t="shared" si="1"/>
        <v>#N/A</v>
      </c>
      <c r="N21" s="2261" t="str">
        <f t="shared" si="2"/>
        <v xml:space="preserve"> </v>
      </c>
    </row>
    <row r="22" spans="1:14" ht="13.5" x14ac:dyDescent="0.25">
      <c r="A22" s="191">
        <v>1160</v>
      </c>
      <c r="B22" s="2987" t="s">
        <v>2633</v>
      </c>
      <c r="C22" s="2987"/>
      <c r="D22" s="2375"/>
      <c r="E22" s="2375"/>
      <c r="F22" s="365">
        <f>'905Hosp'!F23</f>
        <v>0</v>
      </c>
      <c r="H22" s="365" t="e">
        <f t="shared" si="3"/>
        <v>#N/A</v>
      </c>
      <c r="J22" s="249" t="e">
        <f t="shared" si="0"/>
        <v>#N/A</v>
      </c>
      <c r="L22" s="250" t="e">
        <f t="shared" si="1"/>
        <v>#N/A</v>
      </c>
      <c r="N22" s="2261" t="str">
        <f t="shared" si="2"/>
        <v xml:space="preserve"> </v>
      </c>
    </row>
    <row r="23" spans="1:14" ht="13.5" x14ac:dyDescent="0.25">
      <c r="A23" s="191">
        <v>1175</v>
      </c>
      <c r="B23" s="2881" t="s">
        <v>2984</v>
      </c>
      <c r="C23" s="2881"/>
      <c r="D23" s="2375"/>
      <c r="E23" s="2375"/>
      <c r="F23" s="365">
        <f>'905Hosp'!F24</f>
        <v>0</v>
      </c>
      <c r="H23" s="365" t="e">
        <f t="shared" si="3"/>
        <v>#N/A</v>
      </c>
      <c r="J23" s="249" t="e">
        <f t="shared" si="0"/>
        <v>#N/A</v>
      </c>
      <c r="L23" s="250" t="e">
        <f t="shared" si="1"/>
        <v>#N/A</v>
      </c>
      <c r="N23" s="2261" t="str">
        <f t="shared" si="2"/>
        <v xml:space="preserve"> </v>
      </c>
    </row>
    <row r="24" spans="1:14" ht="13.5" x14ac:dyDescent="0.25">
      <c r="A24" s="666">
        <v>1190</v>
      </c>
      <c r="B24" s="2881" t="s">
        <v>4832</v>
      </c>
      <c r="C24" s="2881"/>
      <c r="D24" s="2347"/>
      <c r="E24" s="2347"/>
      <c r="F24" s="365">
        <f>'905Hosp'!F25</f>
        <v>0</v>
      </c>
      <c r="H24" s="365" t="e">
        <f t="shared" si="3"/>
        <v>#N/A</v>
      </c>
      <c r="J24" s="249" t="e">
        <f t="shared" si="0"/>
        <v>#N/A</v>
      </c>
      <c r="L24" s="250" t="e">
        <f t="shared" si="1"/>
        <v>#N/A</v>
      </c>
      <c r="N24" s="2261" t="str">
        <f t="shared" si="2"/>
        <v xml:space="preserve"> </v>
      </c>
    </row>
    <row r="25" spans="1:14" ht="13.5" x14ac:dyDescent="0.25">
      <c r="A25" s="666">
        <v>1195</v>
      </c>
      <c r="B25" s="2881" t="s">
        <v>2989</v>
      </c>
      <c r="C25" s="2881"/>
      <c r="D25" s="2347"/>
      <c r="E25" s="2347"/>
      <c r="F25" s="365">
        <f>'905Hosp'!F26</f>
        <v>0</v>
      </c>
      <c r="H25" s="365" t="e">
        <f t="shared" si="3"/>
        <v>#N/A</v>
      </c>
      <c r="J25" s="249" t="e">
        <f>F25-H25</f>
        <v>#N/A</v>
      </c>
      <c r="L25" s="250" t="e">
        <f>IF(H25=0,0,J25/H25)</f>
        <v>#N/A</v>
      </c>
      <c r="N25" s="2261" t="str">
        <f t="shared" si="2"/>
        <v xml:space="preserve"> </v>
      </c>
    </row>
    <row r="26" spans="1:14" ht="13.5" x14ac:dyDescent="0.25">
      <c r="A26" s="666">
        <v>1200</v>
      </c>
      <c r="B26" s="2881" t="s">
        <v>2992</v>
      </c>
      <c r="C26" s="2881"/>
      <c r="D26" s="2347"/>
      <c r="E26" s="2347"/>
      <c r="F26" s="365">
        <f>'905Hosp'!F27</f>
        <v>0</v>
      </c>
      <c r="H26" s="365" t="e">
        <f t="shared" si="3"/>
        <v>#N/A</v>
      </c>
      <c r="J26" s="249" t="e">
        <f t="shared" si="0"/>
        <v>#N/A</v>
      </c>
      <c r="L26" s="250" t="e">
        <f t="shared" si="1"/>
        <v>#N/A</v>
      </c>
      <c r="N26" s="2261" t="str">
        <f t="shared" si="2"/>
        <v xml:space="preserve"> </v>
      </c>
    </row>
    <row r="27" spans="1:14" ht="13.5" x14ac:dyDescent="0.25">
      <c r="A27" s="191">
        <v>1220</v>
      </c>
      <c r="B27" s="2881" t="s">
        <v>2638</v>
      </c>
      <c r="C27" s="2881"/>
      <c r="D27" s="2347"/>
      <c r="E27" s="2347"/>
      <c r="F27" s="365">
        <f>'905Hosp'!F28</f>
        <v>0</v>
      </c>
      <c r="H27" s="365" t="e">
        <f t="shared" si="3"/>
        <v>#N/A</v>
      </c>
      <c r="J27" s="249" t="e">
        <f t="shared" si="0"/>
        <v>#N/A</v>
      </c>
      <c r="L27" s="250" t="e">
        <f t="shared" si="1"/>
        <v>#N/A</v>
      </c>
      <c r="N27" s="2261" t="str">
        <f t="shared" si="2"/>
        <v xml:space="preserve"> </v>
      </c>
    </row>
    <row r="28" spans="1:14" ht="13.5" x14ac:dyDescent="0.25">
      <c r="A28" s="191">
        <v>1230</v>
      </c>
      <c r="B28" s="2881" t="s">
        <v>2639</v>
      </c>
      <c r="C28" s="2881"/>
      <c r="D28" s="2347"/>
      <c r="E28" s="2347"/>
      <c r="F28" s="365">
        <f>'905Hosp'!F29</f>
        <v>0</v>
      </c>
      <c r="H28" s="365" t="e">
        <f t="shared" si="3"/>
        <v>#N/A</v>
      </c>
      <c r="J28" s="249" t="e">
        <f t="shared" si="0"/>
        <v>#N/A</v>
      </c>
      <c r="L28" s="250" t="e">
        <f t="shared" si="1"/>
        <v>#N/A</v>
      </c>
      <c r="N28" s="2261" t="str">
        <f t="shared" si="2"/>
        <v xml:space="preserve"> </v>
      </c>
    </row>
    <row r="29" spans="1:14" ht="12.75" customHeight="1" x14ac:dyDescent="0.25">
      <c r="A29" s="191">
        <v>1210</v>
      </c>
      <c r="B29" s="2881" t="s">
        <v>2640</v>
      </c>
      <c r="C29" s="2881"/>
      <c r="D29" s="2347"/>
      <c r="E29" s="2347"/>
      <c r="F29" s="365">
        <f>'905Hosp'!F30</f>
        <v>0</v>
      </c>
      <c r="H29" s="365" t="e">
        <f t="shared" si="3"/>
        <v>#N/A</v>
      </c>
      <c r="J29" s="249" t="e">
        <f t="shared" si="0"/>
        <v>#N/A</v>
      </c>
      <c r="L29" s="250" t="e">
        <f t="shared" si="1"/>
        <v>#N/A</v>
      </c>
      <c r="N29" s="2261" t="str">
        <f t="shared" si="2"/>
        <v xml:space="preserve"> </v>
      </c>
    </row>
    <row r="30" spans="1:14" ht="12.75" customHeight="1" x14ac:dyDescent="0.25">
      <c r="A30" s="191">
        <v>1211</v>
      </c>
      <c r="B30" s="2881" t="s">
        <v>4623</v>
      </c>
      <c r="C30" s="2881"/>
      <c r="D30" s="2347"/>
      <c r="E30" s="2347"/>
      <c r="F30" s="365">
        <f>'905Hosp'!F31</f>
        <v>0</v>
      </c>
      <c r="H30" s="365" t="e">
        <f t="shared" si="3"/>
        <v>#N/A</v>
      </c>
      <c r="J30" s="249" t="e">
        <f t="shared" si="0"/>
        <v>#N/A</v>
      </c>
      <c r="L30" s="250" t="e">
        <f t="shared" si="1"/>
        <v>#N/A</v>
      </c>
      <c r="N30" s="2261" t="str">
        <f t="shared" si="2"/>
        <v xml:space="preserve"> </v>
      </c>
    </row>
    <row r="31" spans="1:14" ht="12.75" customHeight="1" x14ac:dyDescent="0.25">
      <c r="A31" s="2366">
        <v>1214</v>
      </c>
      <c r="B31" s="2946" t="s">
        <v>4624</v>
      </c>
      <c r="C31" s="2946"/>
      <c r="D31" s="2946"/>
      <c r="E31" s="2946"/>
      <c r="F31" s="365">
        <f>'905Hosp'!F32</f>
        <v>0</v>
      </c>
      <c r="H31" s="365" t="e">
        <f>INDEX(PY905Data,MATCH($A31,PY905Row,0),MATCH($C$5,PY905Col,0))</f>
        <v>#N/A</v>
      </c>
      <c r="J31" s="249" t="e">
        <f>F31-H31</f>
        <v>#N/A</v>
      </c>
      <c r="L31" s="250" t="e">
        <f>IF(H31=0,0,J31/H31)</f>
        <v>#N/A</v>
      </c>
      <c r="N31" s="2261"/>
    </row>
    <row r="32" spans="1:14" ht="13.5" x14ac:dyDescent="0.25">
      <c r="A32" s="191">
        <v>1020</v>
      </c>
      <c r="B32" s="2881" t="s">
        <v>2644</v>
      </c>
      <c r="C32" s="2881"/>
      <c r="D32" s="2347"/>
      <c r="E32" s="2347"/>
      <c r="F32" s="365">
        <f>'905Hosp'!F33</f>
        <v>0</v>
      </c>
      <c r="H32" s="365" t="e">
        <f t="shared" si="3"/>
        <v>#N/A</v>
      </c>
      <c r="J32" s="249" t="e">
        <f t="shared" si="0"/>
        <v>#N/A</v>
      </c>
      <c r="L32" s="250" t="e">
        <f t="shared" si="1"/>
        <v>#N/A</v>
      </c>
      <c r="N32" s="2261" t="str">
        <f t="shared" si="2"/>
        <v xml:space="preserve"> </v>
      </c>
    </row>
    <row r="33" spans="1:15" ht="13.5" x14ac:dyDescent="0.25">
      <c r="A33" s="191">
        <v>1030</v>
      </c>
      <c r="B33" s="2881" t="s">
        <v>4833</v>
      </c>
      <c r="C33" s="2881"/>
      <c r="D33" s="2347"/>
      <c r="E33" s="2347"/>
      <c r="F33" s="365">
        <f>'905Hosp'!F34</f>
        <v>0</v>
      </c>
      <c r="H33" s="365" t="e">
        <f t="shared" si="3"/>
        <v>#N/A</v>
      </c>
      <c r="J33" s="249" t="e">
        <f>F33-H33</f>
        <v>#N/A</v>
      </c>
      <c r="L33" s="250" t="e">
        <f>IF(H33=0,0,J33/H33)</f>
        <v>#N/A</v>
      </c>
      <c r="N33" s="2261" t="str">
        <f t="shared" si="2"/>
        <v xml:space="preserve"> </v>
      </c>
    </row>
    <row r="34" spans="1:15" ht="13.5" x14ac:dyDescent="0.25">
      <c r="A34" s="191">
        <v>1070</v>
      </c>
      <c r="B34" s="2881" t="s">
        <v>2648</v>
      </c>
      <c r="C34" s="2881"/>
      <c r="D34" s="2347"/>
      <c r="E34" s="2347"/>
      <c r="F34" s="365">
        <f>'905Hosp'!F35</f>
        <v>0</v>
      </c>
      <c r="H34" s="365" t="e">
        <f t="shared" si="3"/>
        <v>#N/A</v>
      </c>
      <c r="J34" s="249" t="e">
        <f t="shared" si="0"/>
        <v>#N/A</v>
      </c>
      <c r="L34" s="250" t="e">
        <f t="shared" si="1"/>
        <v>#N/A</v>
      </c>
      <c r="N34" s="2261" t="str">
        <f t="shared" si="2"/>
        <v xml:space="preserve"> </v>
      </c>
    </row>
    <row r="35" spans="1:15" ht="13.5" x14ac:dyDescent="0.25">
      <c r="A35" s="191">
        <v>1232</v>
      </c>
      <c r="B35" s="2881" t="s">
        <v>2649</v>
      </c>
      <c r="C35" s="2881"/>
      <c r="D35" s="2347"/>
      <c r="E35" s="2347"/>
      <c r="F35" s="233">
        <f>'905Hosp'!F36</f>
        <v>0</v>
      </c>
      <c r="H35" s="365" t="e">
        <f t="shared" si="3"/>
        <v>#N/A</v>
      </c>
      <c r="J35" s="249" t="e">
        <f t="shared" si="0"/>
        <v>#N/A</v>
      </c>
      <c r="L35" s="250" t="e">
        <f t="shared" si="1"/>
        <v>#N/A</v>
      </c>
      <c r="N35" s="2261" t="str">
        <f t="shared" si="2"/>
        <v xml:space="preserve"> </v>
      </c>
    </row>
    <row r="36" spans="1:15" ht="13.5" x14ac:dyDescent="0.25">
      <c r="A36" s="191">
        <v>1235</v>
      </c>
      <c r="B36" s="2881" t="s">
        <v>2650</v>
      </c>
      <c r="C36" s="2881"/>
      <c r="D36" s="2347"/>
      <c r="E36" s="2347"/>
      <c r="F36" s="233">
        <f>'905Hosp'!F37</f>
        <v>0</v>
      </c>
      <c r="H36" s="365" t="e">
        <f t="shared" si="3"/>
        <v>#N/A</v>
      </c>
      <c r="J36" s="249" t="e">
        <f>F36-H36</f>
        <v>#N/A</v>
      </c>
      <c r="L36" s="250" t="e">
        <f>IF(H36=0,0,J36/H36)</f>
        <v>#N/A</v>
      </c>
      <c r="N36" s="2261" t="str">
        <f>IF($F$88=0," ",IF(AND(ABS(J36)&gt;$L$3,ABS(L36)&gt;$L$2),"C",IF(AND(ABS(F36+H36)&gt;0,H36=0,ABS(J36)&gt;$L$3),"C"," ")))</f>
        <v xml:space="preserve"> </v>
      </c>
      <c r="O36" s="1021"/>
    </row>
    <row r="37" spans="1:15" ht="13.5" x14ac:dyDescent="0.25">
      <c r="A37" s="191">
        <v>1233</v>
      </c>
      <c r="B37" s="2881" t="s">
        <v>2651</v>
      </c>
      <c r="C37" s="2881"/>
      <c r="D37" s="2347"/>
      <c r="E37" s="2347"/>
      <c r="F37" s="233">
        <f>'905Hosp'!F38</f>
        <v>0</v>
      </c>
      <c r="H37" s="365" t="e">
        <f t="shared" si="3"/>
        <v>#N/A</v>
      </c>
      <c r="J37" s="249" t="e">
        <f t="shared" si="0"/>
        <v>#N/A</v>
      </c>
      <c r="L37" s="250" t="e">
        <f t="shared" si="1"/>
        <v>#N/A</v>
      </c>
      <c r="N37" s="2261" t="str">
        <f t="shared" si="2"/>
        <v xml:space="preserve"> </v>
      </c>
      <c r="O37" s="1021"/>
    </row>
    <row r="38" spans="1:15" ht="13.5" x14ac:dyDescent="0.25">
      <c r="B38" s="2881" t="s">
        <v>3040</v>
      </c>
      <c r="C38" s="2881"/>
      <c r="D38" s="2347"/>
      <c r="E38" s="2347"/>
      <c r="F38" s="374">
        <f>SUM(F13:F37)</f>
        <v>0</v>
      </c>
      <c r="H38" s="374" t="e">
        <f>SUM(H13:H37)</f>
        <v>#N/A</v>
      </c>
      <c r="J38" s="249" t="e">
        <f t="shared" si="0"/>
        <v>#N/A</v>
      </c>
      <c r="L38" s="250" t="e">
        <f t="shared" si="1"/>
        <v>#N/A</v>
      </c>
    </row>
    <row r="39" spans="1:15" ht="6" customHeight="1" x14ac:dyDescent="0.25">
      <c r="B39" s="2358"/>
      <c r="C39" s="2358"/>
      <c r="D39" s="2358"/>
      <c r="E39" s="2358"/>
      <c r="L39" s="250"/>
    </row>
    <row r="40" spans="1:15" ht="10.5" customHeight="1" x14ac:dyDescent="0.25">
      <c r="B40" s="234" t="s">
        <v>2653</v>
      </c>
      <c r="C40" s="234"/>
      <c r="D40" s="234"/>
      <c r="E40" s="234"/>
      <c r="L40" s="250"/>
    </row>
    <row r="41" spans="1:15" ht="12" customHeight="1" x14ac:dyDescent="0.25">
      <c r="A41" s="191">
        <v>1300</v>
      </c>
      <c r="B41" s="2881" t="s">
        <v>1528</v>
      </c>
      <c r="C41" s="2881"/>
      <c r="D41" s="2347"/>
      <c r="E41" s="2347"/>
      <c r="F41" s="365">
        <f>'905Hosp'!F42</f>
        <v>0</v>
      </c>
      <c r="H41" s="365" t="e">
        <f>INDEX(PY905Data,MATCH($A41,PY905Row,0),MATCH($C$5,PY905Col,0))</f>
        <v>#N/A</v>
      </c>
      <c r="J41" s="249" t="e">
        <f>F41-H41</f>
        <v>#N/A</v>
      </c>
      <c r="L41" s="250" t="e">
        <f>IF(H41=0,0,J41/H41)</f>
        <v>#N/A</v>
      </c>
      <c r="N41" s="2261" t="str">
        <f t="shared" ref="N41:N68" si="4">IF($F$88=0," ",IF(AND(ABS(J41)&gt;$L$3,ABS(L41)&gt;$L$2),"C",IF(AND(ABS(F41+H41)&gt;0,H41=0,ABS(J41)&gt;$L$3),"C"," ")))</f>
        <v xml:space="preserve"> </v>
      </c>
    </row>
    <row r="42" spans="1:15" ht="13.5" x14ac:dyDescent="0.25">
      <c r="A42" s="191">
        <v>1310</v>
      </c>
      <c r="B42" s="2881" t="s">
        <v>2276</v>
      </c>
      <c r="C42" s="2881"/>
      <c r="D42" s="2347"/>
      <c r="E42" s="2347"/>
      <c r="F42" s="365">
        <f>'905Hosp'!F43</f>
        <v>0</v>
      </c>
      <c r="H42" s="365" t="e">
        <f>INDEX(PY905Data,MATCH($A42,PY905Row,0),MATCH($C$5,PY905Col,0))</f>
        <v>#N/A</v>
      </c>
      <c r="J42" s="249" t="e">
        <f>F42-H42</f>
        <v>#N/A</v>
      </c>
      <c r="L42" s="250" t="e">
        <f>IF(H42=0,0,J42/H42)</f>
        <v>#N/A</v>
      </c>
      <c r="N42" s="2261" t="str">
        <f t="shared" si="4"/>
        <v xml:space="preserve"> </v>
      </c>
    </row>
    <row r="43" spans="1:15" ht="11.25" customHeight="1" x14ac:dyDescent="0.25">
      <c r="A43" s="191"/>
      <c r="B43" s="191" t="s">
        <v>2629</v>
      </c>
      <c r="C43" s="191"/>
      <c r="D43" s="191"/>
      <c r="E43" s="191"/>
      <c r="J43" s="249"/>
      <c r="L43" s="250"/>
    </row>
    <row r="44" spans="1:15" ht="13.5" x14ac:dyDescent="0.25">
      <c r="A44" s="191">
        <v>1340</v>
      </c>
      <c r="B44" s="2987" t="s">
        <v>2630</v>
      </c>
      <c r="C44" s="2987"/>
      <c r="D44" s="2375"/>
      <c r="E44" s="2375"/>
      <c r="F44" s="365">
        <f>'905Hosp'!F45</f>
        <v>0</v>
      </c>
      <c r="H44" s="365" t="e">
        <f t="shared" ref="H44:H55" si="5">INDEX(PY905Data,MATCH($A44,PY905Row,0),MATCH($C$5,PY905Col,0))</f>
        <v>#N/A</v>
      </c>
      <c r="J44" s="249" t="e">
        <f t="shared" ref="J44:J61" si="6">F44-H44</f>
        <v>#N/A</v>
      </c>
      <c r="L44" s="250" t="e">
        <f t="shared" ref="L44:L61" si="7">IF(H44=0,0,J44/H44)</f>
        <v>#N/A</v>
      </c>
      <c r="N44" s="2261" t="str">
        <f t="shared" si="4"/>
        <v xml:space="preserve"> </v>
      </c>
    </row>
    <row r="45" spans="1:15" ht="13.5" x14ac:dyDescent="0.25">
      <c r="A45" s="191">
        <v>1345</v>
      </c>
      <c r="B45" s="2987" t="s">
        <v>2631</v>
      </c>
      <c r="C45" s="2987"/>
      <c r="D45" s="2375"/>
      <c r="E45" s="2375"/>
      <c r="F45" s="365">
        <f>'905Hosp'!F46</f>
        <v>0</v>
      </c>
      <c r="H45" s="365" t="e">
        <f t="shared" si="5"/>
        <v>#N/A</v>
      </c>
      <c r="J45" s="249" t="e">
        <f t="shared" si="6"/>
        <v>#N/A</v>
      </c>
      <c r="L45" s="250" t="e">
        <f t="shared" si="7"/>
        <v>#N/A</v>
      </c>
      <c r="N45" s="2261" t="str">
        <f t="shared" si="4"/>
        <v xml:space="preserve"> </v>
      </c>
    </row>
    <row r="46" spans="1:15" ht="13.5" x14ac:dyDescent="0.25">
      <c r="A46" s="191">
        <v>1350</v>
      </c>
      <c r="B46" s="2987" t="s">
        <v>2632</v>
      </c>
      <c r="C46" s="2987"/>
      <c r="D46" s="2375"/>
      <c r="E46" s="2375"/>
      <c r="F46" s="365">
        <f>'905Hosp'!F47</f>
        <v>0</v>
      </c>
      <c r="H46" s="365" t="e">
        <f t="shared" si="5"/>
        <v>#N/A</v>
      </c>
      <c r="J46" s="249" t="e">
        <f t="shared" si="6"/>
        <v>#N/A</v>
      </c>
      <c r="L46" s="250" t="e">
        <f t="shared" si="7"/>
        <v>#N/A</v>
      </c>
      <c r="N46" s="2261" t="str">
        <f t="shared" si="4"/>
        <v xml:space="preserve"> </v>
      </c>
    </row>
    <row r="47" spans="1:15" ht="13.5" x14ac:dyDescent="0.25">
      <c r="A47" s="191">
        <v>1370</v>
      </c>
      <c r="B47" s="2987" t="s">
        <v>2633</v>
      </c>
      <c r="C47" s="2987"/>
      <c r="D47" s="2375"/>
      <c r="E47" s="2375"/>
      <c r="F47" s="365">
        <f>'905Hosp'!F48</f>
        <v>0</v>
      </c>
      <c r="H47" s="365" t="e">
        <f t="shared" si="5"/>
        <v>#N/A</v>
      </c>
      <c r="J47" s="249" t="e">
        <f t="shared" si="6"/>
        <v>#N/A</v>
      </c>
      <c r="L47" s="250" t="e">
        <f t="shared" si="7"/>
        <v>#N/A</v>
      </c>
      <c r="N47" s="2261" t="str">
        <f t="shared" si="4"/>
        <v xml:space="preserve"> </v>
      </c>
    </row>
    <row r="48" spans="1:15" ht="13.5" x14ac:dyDescent="0.25">
      <c r="A48" s="191">
        <v>1400</v>
      </c>
      <c r="B48" s="2881" t="s">
        <v>2640</v>
      </c>
      <c r="C48" s="2881"/>
      <c r="D48" s="2347"/>
      <c r="E48" s="2347"/>
      <c r="F48" s="365">
        <f>'905Hosp'!F49</f>
        <v>0</v>
      </c>
      <c r="H48" s="365" t="e">
        <f t="shared" si="5"/>
        <v>#N/A</v>
      </c>
      <c r="J48" s="249" t="e">
        <f t="shared" si="6"/>
        <v>#N/A</v>
      </c>
      <c r="L48" s="250" t="e">
        <f>IF(H48=0,0,J48/H48)</f>
        <v>#N/A</v>
      </c>
      <c r="N48" s="2261" t="str">
        <f>IF($F$88=0," ",IF(AND(ABS(J48)&gt;$L$3,ABS(L48)&gt;$L$2),"C",IF(AND(ABS(F48+H48)&gt;0,H48=0,ABS(J48)&gt;$L$3),"C"," ")))</f>
        <v xml:space="preserve"> </v>
      </c>
    </row>
    <row r="49" spans="1:15" ht="13.5" x14ac:dyDescent="0.25">
      <c r="A49" s="191">
        <v>1401</v>
      </c>
      <c r="B49" s="2881" t="s">
        <v>4623</v>
      </c>
      <c r="C49" s="2881"/>
      <c r="D49" s="2347"/>
      <c r="E49" s="2347"/>
      <c r="F49" s="365">
        <f>'905Hosp'!F50</f>
        <v>0</v>
      </c>
      <c r="H49" s="365" t="e">
        <f t="shared" si="5"/>
        <v>#N/A</v>
      </c>
      <c r="J49" s="249" t="e">
        <f t="shared" si="6"/>
        <v>#N/A</v>
      </c>
      <c r="L49" s="250" t="e">
        <f>IF(H49=0,0,J49/H49)</f>
        <v>#N/A</v>
      </c>
      <c r="N49" s="2261" t="str">
        <f>IF($F$88=0," ",IF(AND(ABS(J49)&gt;$L$3,ABS(L49)&gt;$L$2),"C",IF(AND(ABS(F49+H49)&gt;0,H49=0,ABS(J49)&gt;$L$3),"C"," ")))</f>
        <v xml:space="preserve"> </v>
      </c>
    </row>
    <row r="50" spans="1:15" ht="13.5" x14ac:dyDescent="0.25">
      <c r="A50" s="2366">
        <v>1404</v>
      </c>
      <c r="B50" s="2946" t="s">
        <v>4625</v>
      </c>
      <c r="C50" s="2946"/>
      <c r="D50" s="2946"/>
      <c r="E50" s="2946"/>
      <c r="F50" s="365">
        <f>'905Hosp'!F51</f>
        <v>0</v>
      </c>
      <c r="H50" s="365" t="e">
        <f>INDEX(PY905Data,MATCH($A50,PY905Row,0),MATCH($C$5,PY905Col,0))</f>
        <v>#N/A</v>
      </c>
      <c r="J50" s="249" t="e">
        <f>F50-H50</f>
        <v>#N/A</v>
      </c>
      <c r="L50" s="250" t="e">
        <f>IF(H50=0,0,J50/H50)</f>
        <v>#N/A</v>
      </c>
      <c r="N50" s="2261"/>
    </row>
    <row r="51" spans="1:15" ht="13.5" x14ac:dyDescent="0.25">
      <c r="A51" s="191">
        <v>1415</v>
      </c>
      <c r="B51" s="2881" t="s">
        <v>2655</v>
      </c>
      <c r="C51" s="2881"/>
      <c r="D51" s="2347"/>
      <c r="E51" s="2347"/>
      <c r="F51" s="365">
        <f>'905Hosp'!F52</f>
        <v>0</v>
      </c>
      <c r="H51" s="365" t="e">
        <f t="shared" si="5"/>
        <v>#N/A</v>
      </c>
      <c r="J51" s="249" t="e">
        <f t="shared" si="6"/>
        <v>#N/A</v>
      </c>
      <c r="L51" s="250" t="e">
        <f t="shared" si="7"/>
        <v>#N/A</v>
      </c>
      <c r="N51" s="2261" t="str">
        <f t="shared" si="4"/>
        <v xml:space="preserve"> </v>
      </c>
    </row>
    <row r="52" spans="1:15" ht="13.5" x14ac:dyDescent="0.25">
      <c r="A52" s="191">
        <v>1420</v>
      </c>
      <c r="B52" s="2881" t="s">
        <v>4834</v>
      </c>
      <c r="C52" s="2881"/>
      <c r="D52" s="2347"/>
      <c r="E52" s="2347"/>
      <c r="F52" s="365">
        <f>'905Hosp'!F53</f>
        <v>0</v>
      </c>
      <c r="H52" s="365" t="e">
        <f t="shared" si="5"/>
        <v>#N/A</v>
      </c>
      <c r="J52" s="249" t="e">
        <f t="shared" si="6"/>
        <v>#N/A</v>
      </c>
      <c r="L52" s="250" t="e">
        <f t="shared" si="7"/>
        <v>#N/A</v>
      </c>
      <c r="N52" s="2261" t="str">
        <f t="shared" si="4"/>
        <v xml:space="preserve"> </v>
      </c>
    </row>
    <row r="53" spans="1:15" ht="13.5" x14ac:dyDescent="0.25">
      <c r="A53" s="191">
        <v>1270</v>
      </c>
      <c r="B53" s="2881" t="s">
        <v>2644</v>
      </c>
      <c r="C53" s="2881"/>
      <c r="D53" s="2347"/>
      <c r="E53" s="2347"/>
      <c r="F53" s="365">
        <f>'905Hosp'!F54</f>
        <v>0</v>
      </c>
      <c r="H53" s="365" t="e">
        <f t="shared" si="5"/>
        <v>#N/A</v>
      </c>
      <c r="J53" s="249" t="e">
        <f t="shared" si="6"/>
        <v>#N/A</v>
      </c>
      <c r="L53" s="250" t="e">
        <f t="shared" si="7"/>
        <v>#N/A</v>
      </c>
      <c r="N53" s="2261" t="str">
        <f t="shared" si="4"/>
        <v xml:space="preserve"> </v>
      </c>
    </row>
    <row r="54" spans="1:15" ht="13.5" x14ac:dyDescent="0.25">
      <c r="A54" s="191">
        <v>1280</v>
      </c>
      <c r="B54" s="2881" t="s">
        <v>2656</v>
      </c>
      <c r="C54" s="2881"/>
      <c r="D54" s="2347"/>
      <c r="E54" s="2347"/>
      <c r="F54" s="365">
        <f>'905Hosp'!F55</f>
        <v>0</v>
      </c>
      <c r="H54" s="365" t="e">
        <f t="shared" si="5"/>
        <v>#N/A</v>
      </c>
      <c r="J54" s="249" t="e">
        <f t="shared" si="6"/>
        <v>#N/A</v>
      </c>
      <c r="L54" s="250" t="e">
        <f t="shared" si="7"/>
        <v>#N/A</v>
      </c>
      <c r="N54" s="2261" t="str">
        <f t="shared" si="4"/>
        <v xml:space="preserve"> </v>
      </c>
    </row>
    <row r="55" spans="1:15" ht="13.5" x14ac:dyDescent="0.25">
      <c r="A55" s="191">
        <v>1410</v>
      </c>
      <c r="B55" s="2881" t="s">
        <v>4755</v>
      </c>
      <c r="C55" s="2881"/>
      <c r="D55" s="2347"/>
      <c r="E55" s="2347"/>
      <c r="F55" s="365">
        <f>'905Hosp'!F56</f>
        <v>0</v>
      </c>
      <c r="H55" s="365" t="e">
        <f t="shared" si="5"/>
        <v>#N/A</v>
      </c>
      <c r="J55" s="249" t="e">
        <f t="shared" si="6"/>
        <v>#N/A</v>
      </c>
      <c r="L55" s="250" t="e">
        <f t="shared" si="7"/>
        <v>#N/A</v>
      </c>
      <c r="N55" s="2261" t="str">
        <f t="shared" si="4"/>
        <v xml:space="preserve"> </v>
      </c>
    </row>
    <row r="56" spans="1:15" ht="12" customHeight="1" x14ac:dyDescent="0.25">
      <c r="A56" s="191"/>
      <c r="B56" s="2881" t="s">
        <v>4835</v>
      </c>
      <c r="C56" s="2881"/>
      <c r="D56" s="2347"/>
      <c r="E56" s="2347"/>
      <c r="F56" s="365">
        <f>'905Hosp'!F57</f>
        <v>0</v>
      </c>
      <c r="J56" s="249">
        <f t="shared" si="6"/>
        <v>0</v>
      </c>
      <c r="L56" s="250">
        <f t="shared" si="7"/>
        <v>0</v>
      </c>
      <c r="N56" s="2261" t="str">
        <f t="shared" si="4"/>
        <v xml:space="preserve"> </v>
      </c>
    </row>
    <row r="57" spans="1:15" ht="13.5" x14ac:dyDescent="0.25">
      <c r="A57" s="666">
        <v>1395</v>
      </c>
      <c r="B57" s="2881" t="s">
        <v>4836</v>
      </c>
      <c r="C57" s="2881"/>
      <c r="D57" s="2347"/>
      <c r="E57" s="2347"/>
      <c r="F57" s="365">
        <f>'905Hosp'!F58</f>
        <v>0</v>
      </c>
      <c r="H57" s="365" t="e">
        <f>INDEX(PY905Data,MATCH($A57,PY905Row,0),MATCH($C$5,PY905Col,0))</f>
        <v>#N/A</v>
      </c>
      <c r="J57" s="249" t="e">
        <f t="shared" si="6"/>
        <v>#N/A</v>
      </c>
      <c r="L57" s="250" t="e">
        <f t="shared" si="7"/>
        <v>#N/A</v>
      </c>
      <c r="N57" s="2261" t="str">
        <f t="shared" si="4"/>
        <v xml:space="preserve"> </v>
      </c>
    </row>
    <row r="58" spans="1:15" ht="13.5" x14ac:dyDescent="0.25">
      <c r="A58" s="666">
        <v>1390</v>
      </c>
      <c r="B58" s="2881" t="s">
        <v>3108</v>
      </c>
      <c r="C58" s="2881"/>
      <c r="D58" s="2347"/>
      <c r="E58" s="2347"/>
      <c r="F58" s="365">
        <f>'905Hosp'!F59</f>
        <v>0</v>
      </c>
      <c r="H58" s="365" t="e">
        <f>INDEX(PY905Data,MATCH($A58,PY905Row,0),MATCH($C$5,PY905Col,0))</f>
        <v>#N/A</v>
      </c>
      <c r="J58" s="249" t="e">
        <f t="shared" si="6"/>
        <v>#N/A</v>
      </c>
      <c r="L58" s="250" t="e">
        <f t="shared" si="7"/>
        <v>#N/A</v>
      </c>
      <c r="N58" s="2261" t="str">
        <f t="shared" si="4"/>
        <v xml:space="preserve"> </v>
      </c>
    </row>
    <row r="59" spans="1:15" ht="13.5" x14ac:dyDescent="0.25">
      <c r="A59" s="191">
        <v>1432</v>
      </c>
      <c r="B59" s="2881" t="s">
        <v>2649</v>
      </c>
      <c r="C59" s="2881"/>
      <c r="D59" s="2347"/>
      <c r="E59" s="2347"/>
      <c r="F59" s="365">
        <f>'905Hosp'!F60</f>
        <v>0</v>
      </c>
      <c r="H59" s="365" t="e">
        <f>INDEX(PY905Data,MATCH($A59,PY905Row,0),MATCH($C$5,PY905Col,0))</f>
        <v>#N/A</v>
      </c>
      <c r="J59" s="249" t="e">
        <f>F59-H59</f>
        <v>#N/A</v>
      </c>
      <c r="L59" s="250" t="e">
        <f>IF(H59=0,0,J59/H59)</f>
        <v>#N/A</v>
      </c>
      <c r="N59" s="2261" t="str">
        <f>IF($F$88=0," ",IF(AND(ABS(J59)&gt;$L$3,ABS(L59)&gt;$L$2),"C",IF(AND(ABS(F59+H59)&gt;0,H59=0,ABS(J59)&gt;$L$3),"C"," ")))</f>
        <v xml:space="preserve"> </v>
      </c>
    </row>
    <row r="60" spans="1:15" ht="13.5" x14ac:dyDescent="0.25">
      <c r="A60" s="191">
        <v>1434</v>
      </c>
      <c r="B60" s="2881" t="s">
        <v>2650</v>
      </c>
      <c r="C60" s="2881"/>
      <c r="D60" s="2347"/>
      <c r="E60" s="2347"/>
      <c r="F60" s="365">
        <f>'905Hosp'!F61</f>
        <v>0</v>
      </c>
      <c r="H60" s="365" t="e">
        <f>INDEX(PY905Data,MATCH($A60,PY905Row,0),MATCH($C$5,PY905Col,0))</f>
        <v>#N/A</v>
      </c>
      <c r="J60" s="249" t="e">
        <f>F60-H60</f>
        <v>#N/A</v>
      </c>
      <c r="L60" s="250" t="e">
        <f>IF(H60=0,0,J60/H60)</f>
        <v>#N/A</v>
      </c>
      <c r="N60" s="2261" t="str">
        <f>IF($F$88=0," ",IF(AND(ABS(J60)&gt;$L$3,ABS(L60)&gt;$L$2),"C",IF(AND(ABS(F60+H60)&gt;0,H60=0,ABS(J60)&gt;$L$3),"C"," ")))</f>
        <v xml:space="preserve"> </v>
      </c>
      <c r="O60" s="1021"/>
    </row>
    <row r="61" spans="1:15" ht="13.5" x14ac:dyDescent="0.25">
      <c r="A61" s="191">
        <v>1433</v>
      </c>
      <c r="B61" s="2881" t="s">
        <v>2651</v>
      </c>
      <c r="C61" s="2881"/>
      <c r="D61" s="2347"/>
      <c r="E61" s="2347"/>
      <c r="F61" s="365">
        <f>'905Hosp'!F62</f>
        <v>0</v>
      </c>
      <c r="H61" s="365" t="e">
        <f>INDEX(PY905Data,MATCH($A61,PY905Row,0),MATCH($C$5,PY905Col,0))</f>
        <v>#N/A</v>
      </c>
      <c r="J61" s="249" t="e">
        <f t="shared" si="6"/>
        <v>#N/A</v>
      </c>
      <c r="L61" s="250" t="e">
        <f t="shared" si="7"/>
        <v>#N/A</v>
      </c>
      <c r="N61" s="2261" t="str">
        <f t="shared" si="4"/>
        <v xml:space="preserve"> </v>
      </c>
      <c r="O61" s="1021"/>
    </row>
    <row r="62" spans="1:15" ht="12.75" customHeight="1" x14ac:dyDescent="0.25">
      <c r="A62" s="191"/>
      <c r="B62" s="191" t="s">
        <v>4837</v>
      </c>
      <c r="C62" s="191"/>
      <c r="D62" s="191"/>
      <c r="E62" s="191"/>
      <c r="J62" s="249"/>
      <c r="L62" s="250"/>
    </row>
    <row r="63" spans="1:15" ht="13.5" x14ac:dyDescent="0.25">
      <c r="A63" s="666">
        <v>1480</v>
      </c>
      <c r="B63" s="2987" t="s">
        <v>4838</v>
      </c>
      <c r="C63" s="2987"/>
      <c r="D63" s="2375"/>
      <c r="E63" s="2375"/>
      <c r="F63" s="365">
        <f>'905Hosp'!F64</f>
        <v>0</v>
      </c>
      <c r="H63" s="365" t="e">
        <f t="shared" ref="H63:H68" si="8">INDEX(PY905Data,MATCH($A63,PY905Row,0),MATCH($C$5,PY905Col,0))</f>
        <v>#N/A</v>
      </c>
      <c r="J63" s="249" t="e">
        <f t="shared" ref="J63:J69" si="9">F63-H63</f>
        <v>#N/A</v>
      </c>
      <c r="L63" s="250" t="e">
        <f t="shared" ref="L63:L69" si="10">IF(H63=0,0,J63/H63)</f>
        <v>#N/A</v>
      </c>
      <c r="N63" s="2261" t="str">
        <f t="shared" si="4"/>
        <v xml:space="preserve"> </v>
      </c>
    </row>
    <row r="64" spans="1:15" ht="13.5" x14ac:dyDescent="0.25">
      <c r="A64" s="666">
        <v>1490</v>
      </c>
      <c r="B64" s="2987" t="s">
        <v>4839</v>
      </c>
      <c r="C64" s="2987"/>
      <c r="D64" s="2375"/>
      <c r="E64" s="2375"/>
      <c r="F64" s="365">
        <f>'905Hosp'!F65</f>
        <v>0</v>
      </c>
      <c r="H64" s="365" t="e">
        <f t="shared" si="8"/>
        <v>#N/A</v>
      </c>
      <c r="J64" s="249" t="e">
        <f t="shared" si="9"/>
        <v>#N/A</v>
      </c>
      <c r="L64" s="250" t="e">
        <f t="shared" si="10"/>
        <v>#N/A</v>
      </c>
      <c r="N64" s="2261" t="str">
        <f t="shared" si="4"/>
        <v xml:space="preserve"> </v>
      </c>
    </row>
    <row r="65" spans="1:14" ht="13.5" x14ac:dyDescent="0.25">
      <c r="A65" s="666">
        <v>1500</v>
      </c>
      <c r="B65" s="2987" t="s">
        <v>4840</v>
      </c>
      <c r="C65" s="2987"/>
      <c r="D65" s="2375"/>
      <c r="E65" s="2375"/>
      <c r="F65" s="365">
        <f>'905Hosp'!F66</f>
        <v>0</v>
      </c>
      <c r="H65" s="365" t="e">
        <f t="shared" si="8"/>
        <v>#N/A</v>
      </c>
      <c r="J65" s="249" t="e">
        <f t="shared" si="9"/>
        <v>#N/A</v>
      </c>
      <c r="L65" s="250" t="e">
        <f t="shared" si="10"/>
        <v>#N/A</v>
      </c>
      <c r="N65" s="2261" t="str">
        <f t="shared" si="4"/>
        <v xml:space="preserve"> </v>
      </c>
    </row>
    <row r="66" spans="1:14" ht="13.5" x14ac:dyDescent="0.25">
      <c r="A66" s="666">
        <v>1503</v>
      </c>
      <c r="B66" s="2987" t="s">
        <v>4841</v>
      </c>
      <c r="C66" s="2987"/>
      <c r="D66" s="2375"/>
      <c r="E66" s="2375"/>
      <c r="F66" s="365">
        <f>'905Hosp'!F67</f>
        <v>0</v>
      </c>
      <c r="H66" s="365" t="e">
        <f t="shared" si="8"/>
        <v>#N/A</v>
      </c>
      <c r="J66" s="249" t="e">
        <f t="shared" si="9"/>
        <v>#N/A</v>
      </c>
      <c r="L66" s="250" t="e">
        <f t="shared" si="10"/>
        <v>#N/A</v>
      </c>
      <c r="N66" s="2261" t="str">
        <f t="shared" si="4"/>
        <v xml:space="preserve"> </v>
      </c>
    </row>
    <row r="67" spans="1:14" ht="12.75" customHeight="1" x14ac:dyDescent="0.25">
      <c r="A67" s="666">
        <v>1505</v>
      </c>
      <c r="B67" s="2987" t="s">
        <v>4842</v>
      </c>
      <c r="C67" s="2987"/>
      <c r="D67" s="2375"/>
      <c r="E67" s="2375"/>
      <c r="F67" s="365">
        <f>'905Hosp'!F68</f>
        <v>0</v>
      </c>
      <c r="H67" s="365" t="e">
        <f t="shared" si="8"/>
        <v>#N/A</v>
      </c>
      <c r="J67" s="249" t="e">
        <f t="shared" si="9"/>
        <v>#N/A</v>
      </c>
      <c r="L67" s="250" t="e">
        <f t="shared" si="10"/>
        <v>#N/A</v>
      </c>
      <c r="N67" s="2261" t="str">
        <f t="shared" si="4"/>
        <v xml:space="preserve"> </v>
      </c>
    </row>
    <row r="68" spans="1:14" ht="12.75" customHeight="1" x14ac:dyDescent="0.25">
      <c r="A68" s="666">
        <v>1506</v>
      </c>
      <c r="B68" s="2987" t="s">
        <v>4843</v>
      </c>
      <c r="C68" s="2987"/>
      <c r="D68" s="2375"/>
      <c r="E68" s="2375"/>
      <c r="F68" s="367">
        <f>'905Hosp'!F69</f>
        <v>0</v>
      </c>
      <c r="H68" s="365" t="e">
        <f t="shared" si="8"/>
        <v>#N/A</v>
      </c>
      <c r="J68" s="249" t="e">
        <f>F68-H68</f>
        <v>#N/A</v>
      </c>
      <c r="L68" s="250" t="e">
        <f>IF(H68=0,0,J68/H68)</f>
        <v>#N/A</v>
      </c>
      <c r="N68" s="2261" t="str">
        <f t="shared" si="4"/>
        <v xml:space="preserve"> </v>
      </c>
    </row>
    <row r="69" spans="1:14" ht="13.5" x14ac:dyDescent="0.25">
      <c r="A69" s="191"/>
      <c r="B69" s="2881" t="s">
        <v>4844</v>
      </c>
      <c r="C69" s="2881"/>
      <c r="D69" s="2347"/>
      <c r="E69" s="2347"/>
      <c r="F69" s="374">
        <f>SUM(F63:F68)</f>
        <v>0</v>
      </c>
      <c r="H69" s="374" t="e">
        <f>SUM(H63:H68)</f>
        <v>#N/A</v>
      </c>
      <c r="J69" s="249" t="e">
        <f t="shared" si="9"/>
        <v>#N/A</v>
      </c>
      <c r="L69" s="250" t="e">
        <f t="shared" si="10"/>
        <v>#N/A</v>
      </c>
    </row>
    <row r="70" spans="1:14" ht="11.25" customHeight="1" x14ac:dyDescent="0.25">
      <c r="A70" s="191"/>
      <c r="B70" s="191" t="s">
        <v>4845</v>
      </c>
      <c r="C70" s="191"/>
      <c r="D70" s="191"/>
      <c r="E70" s="191"/>
      <c r="J70" s="249"/>
      <c r="L70" s="250"/>
    </row>
    <row r="71" spans="1:14" ht="13.5" x14ac:dyDescent="0.25">
      <c r="A71" s="666">
        <v>1520</v>
      </c>
      <c r="B71" s="2987" t="s">
        <v>3156</v>
      </c>
      <c r="C71" s="2987"/>
      <c r="D71" s="2375"/>
      <c r="E71" s="2375"/>
      <c r="F71" s="365">
        <f>'905Hosp'!F72</f>
        <v>0</v>
      </c>
      <c r="H71" s="365" t="e">
        <f t="shared" ref="H71:H84" si="11">INDEX(PY905Data,MATCH($A71,PY905Row,0),MATCH($C$5,PY905Col,0))</f>
        <v>#N/A</v>
      </c>
      <c r="J71" s="249" t="e">
        <f t="shared" ref="J71:J86" si="12">F71-H71</f>
        <v>#N/A</v>
      </c>
      <c r="L71" s="250" t="e">
        <f t="shared" ref="L71:L86" si="13">IF(H71=0,0,J71/H71)</f>
        <v>#N/A</v>
      </c>
      <c r="N71" s="2261" t="str">
        <f t="shared" ref="N71:N84" si="14">IF($F$88=0," ",IF(AND(ABS(J71)&gt;$L$3,ABS(L71)&gt;$L$2),"C",IF(AND(ABS(F71+H71)&gt;0,H71=0,ABS(J71)&gt;$L$3),"C"," ")))</f>
        <v xml:space="preserve"> </v>
      </c>
    </row>
    <row r="72" spans="1:14" ht="13.5" x14ac:dyDescent="0.25">
      <c r="A72" s="666">
        <v>1530</v>
      </c>
      <c r="B72" s="2987" t="s">
        <v>3160</v>
      </c>
      <c r="C72" s="2987"/>
      <c r="D72" s="2375"/>
      <c r="E72" s="2375"/>
      <c r="F72" s="365">
        <f>'905Hosp'!F73</f>
        <v>0</v>
      </c>
      <c r="H72" s="365" t="e">
        <f t="shared" si="11"/>
        <v>#N/A</v>
      </c>
      <c r="J72" s="249" t="e">
        <f t="shared" si="12"/>
        <v>#N/A</v>
      </c>
      <c r="L72" s="250" t="e">
        <f t="shared" si="13"/>
        <v>#N/A</v>
      </c>
      <c r="N72" s="2261" t="str">
        <f t="shared" si="14"/>
        <v xml:space="preserve"> </v>
      </c>
    </row>
    <row r="73" spans="1:14" ht="13.5" x14ac:dyDescent="0.25">
      <c r="A73" s="666">
        <v>1540</v>
      </c>
      <c r="B73" s="2987" t="s">
        <v>4846</v>
      </c>
      <c r="C73" s="2987"/>
      <c r="D73" s="2375"/>
      <c r="E73" s="2375"/>
      <c r="F73" s="365">
        <f>'905Hosp'!F74</f>
        <v>0</v>
      </c>
      <c r="H73" s="365" t="e">
        <f t="shared" si="11"/>
        <v>#N/A</v>
      </c>
      <c r="J73" s="249" t="e">
        <f t="shared" si="12"/>
        <v>#N/A</v>
      </c>
      <c r="L73" s="250" t="e">
        <f t="shared" si="13"/>
        <v>#N/A</v>
      </c>
      <c r="N73" s="2261" t="str">
        <f t="shared" si="14"/>
        <v xml:space="preserve"> </v>
      </c>
    </row>
    <row r="74" spans="1:14" ht="13.5" x14ac:dyDescent="0.25">
      <c r="A74" s="666">
        <v>1550</v>
      </c>
      <c r="B74" s="2987" t="s">
        <v>4847</v>
      </c>
      <c r="C74" s="2987"/>
      <c r="D74" s="2375"/>
      <c r="E74" s="2375"/>
      <c r="F74" s="365">
        <f>'905Hosp'!F75</f>
        <v>0</v>
      </c>
      <c r="H74" s="365" t="e">
        <f t="shared" si="11"/>
        <v>#N/A</v>
      </c>
      <c r="J74" s="249" t="e">
        <f t="shared" si="12"/>
        <v>#N/A</v>
      </c>
      <c r="L74" s="250" t="e">
        <f t="shared" si="13"/>
        <v>#N/A</v>
      </c>
      <c r="N74" s="2261" t="str">
        <f t="shared" si="14"/>
        <v xml:space="preserve"> </v>
      </c>
    </row>
    <row r="75" spans="1:14" ht="13.5" x14ac:dyDescent="0.25">
      <c r="A75" s="666">
        <v>1481</v>
      </c>
      <c r="B75" s="2987" t="s">
        <v>4848</v>
      </c>
      <c r="C75" s="2987"/>
      <c r="D75" s="2375"/>
      <c r="E75" s="2375"/>
      <c r="F75" s="365">
        <f>'905Hosp'!F76</f>
        <v>0</v>
      </c>
      <c r="H75" s="365" t="e">
        <f t="shared" si="11"/>
        <v>#N/A</v>
      </c>
      <c r="J75" s="249" t="e">
        <f t="shared" si="12"/>
        <v>#N/A</v>
      </c>
      <c r="L75" s="250" t="e">
        <f t="shared" si="13"/>
        <v>#N/A</v>
      </c>
      <c r="N75" s="2261" t="str">
        <f t="shared" si="14"/>
        <v xml:space="preserve"> </v>
      </c>
    </row>
    <row r="76" spans="1:14" ht="13.5" x14ac:dyDescent="0.25">
      <c r="A76" s="666">
        <v>1521</v>
      </c>
      <c r="B76" s="2987" t="s">
        <v>4849</v>
      </c>
      <c r="C76" s="2987"/>
      <c r="D76" s="2375"/>
      <c r="E76" s="2375"/>
      <c r="F76" s="365">
        <f>'905Hosp'!F77</f>
        <v>0</v>
      </c>
      <c r="H76" s="365" t="e">
        <f t="shared" si="11"/>
        <v>#N/A</v>
      </c>
      <c r="J76" s="249" t="e">
        <f t="shared" si="12"/>
        <v>#N/A</v>
      </c>
      <c r="L76" s="250" t="e">
        <f t="shared" si="13"/>
        <v>#N/A</v>
      </c>
      <c r="N76" s="2261" t="str">
        <f t="shared" si="14"/>
        <v xml:space="preserve"> </v>
      </c>
    </row>
    <row r="77" spans="1:14" ht="13.5" x14ac:dyDescent="0.25">
      <c r="A77" s="666">
        <v>1531</v>
      </c>
      <c r="B77" s="2987" t="s">
        <v>4850</v>
      </c>
      <c r="C77" s="2987"/>
      <c r="D77" s="2375"/>
      <c r="E77" s="2375"/>
      <c r="F77" s="365">
        <f>'905Hosp'!F78</f>
        <v>0</v>
      </c>
      <c r="H77" s="365" t="e">
        <f t="shared" si="11"/>
        <v>#N/A</v>
      </c>
      <c r="J77" s="249" t="e">
        <f t="shared" si="12"/>
        <v>#N/A</v>
      </c>
      <c r="L77" s="250" t="e">
        <f t="shared" si="13"/>
        <v>#N/A</v>
      </c>
      <c r="N77" s="2261" t="str">
        <f t="shared" si="14"/>
        <v xml:space="preserve"> </v>
      </c>
    </row>
    <row r="78" spans="1:14" ht="13.5" x14ac:dyDescent="0.25">
      <c r="A78" s="666">
        <v>1551</v>
      </c>
      <c r="B78" s="2987" t="s">
        <v>4851</v>
      </c>
      <c r="C78" s="2987"/>
      <c r="D78" s="2375"/>
      <c r="E78" s="2375"/>
      <c r="F78" s="365">
        <f>'905Hosp'!F79</f>
        <v>0</v>
      </c>
      <c r="H78" s="365" t="e">
        <f t="shared" si="11"/>
        <v>#N/A</v>
      </c>
      <c r="J78" s="249" t="e">
        <f t="shared" si="12"/>
        <v>#N/A</v>
      </c>
      <c r="L78" s="250" t="e">
        <f t="shared" si="13"/>
        <v>#N/A</v>
      </c>
      <c r="N78" s="2261" t="str">
        <f t="shared" si="14"/>
        <v xml:space="preserve"> </v>
      </c>
    </row>
    <row r="79" spans="1:14" ht="13.5" x14ac:dyDescent="0.25">
      <c r="A79" s="666">
        <v>1553</v>
      </c>
      <c r="B79" s="2987" t="s">
        <v>4852</v>
      </c>
      <c r="C79" s="2987"/>
      <c r="D79" s="2375"/>
      <c r="E79" s="2375"/>
      <c r="F79" s="365">
        <f>'905Hosp'!F80</f>
        <v>0</v>
      </c>
      <c r="H79" s="365" t="e">
        <f t="shared" si="11"/>
        <v>#N/A</v>
      </c>
      <c r="J79" s="249" t="e">
        <f t="shared" si="12"/>
        <v>#N/A</v>
      </c>
      <c r="L79" s="250" t="e">
        <f t="shared" si="13"/>
        <v>#N/A</v>
      </c>
      <c r="N79" s="2261" t="str">
        <f t="shared" si="14"/>
        <v xml:space="preserve"> </v>
      </c>
    </row>
    <row r="80" spans="1:14" ht="13.5" x14ac:dyDescent="0.25">
      <c r="A80" s="666">
        <v>1555</v>
      </c>
      <c r="B80" s="2987" t="s">
        <v>3183</v>
      </c>
      <c r="C80" s="2987"/>
      <c r="D80" s="2375"/>
      <c r="E80" s="2375"/>
      <c r="F80" s="365">
        <f>'905Hosp'!F81</f>
        <v>0</v>
      </c>
      <c r="H80" s="365" t="e">
        <f t="shared" si="11"/>
        <v>#N/A</v>
      </c>
      <c r="J80" s="249" t="e">
        <f t="shared" si="12"/>
        <v>#N/A</v>
      </c>
      <c r="L80" s="250" t="e">
        <f t="shared" si="13"/>
        <v>#N/A</v>
      </c>
      <c r="N80" s="2261" t="str">
        <f t="shared" si="14"/>
        <v xml:space="preserve"> </v>
      </c>
    </row>
    <row r="81" spans="1:19" ht="13.5" x14ac:dyDescent="0.25">
      <c r="A81" s="2075">
        <v>1556</v>
      </c>
      <c r="B81" s="2945" t="s">
        <v>2678</v>
      </c>
      <c r="C81" s="2945"/>
      <c r="D81" s="2347"/>
      <c r="E81" s="2347"/>
      <c r="F81" s="365">
        <f>'905Hosp'!F82</f>
        <v>0</v>
      </c>
      <c r="H81" s="365" t="e">
        <f t="shared" si="11"/>
        <v>#N/A</v>
      </c>
      <c r="J81" s="249" t="e">
        <f t="shared" ref="J81:J82" si="15">F81-H81</f>
        <v>#N/A</v>
      </c>
      <c r="L81" s="250" t="e">
        <f t="shared" ref="L81:L82" si="16">IF(H81=0,0,J81/H81)</f>
        <v>#N/A</v>
      </c>
      <c r="N81" s="2261"/>
    </row>
    <row r="82" spans="1:19" ht="13.5" x14ac:dyDescent="0.25">
      <c r="A82" s="2075">
        <v>1556</v>
      </c>
      <c r="B82" s="2945" t="s">
        <v>2679</v>
      </c>
      <c r="C82" s="2945"/>
      <c r="D82" s="2347"/>
      <c r="E82" s="2347"/>
      <c r="F82" s="365">
        <f>'905Hosp'!F83</f>
        <v>0</v>
      </c>
      <c r="H82" s="365" t="e">
        <f t="shared" si="11"/>
        <v>#N/A</v>
      </c>
      <c r="J82" s="249" t="e">
        <f t="shared" si="15"/>
        <v>#N/A</v>
      </c>
      <c r="L82" s="250" t="e">
        <f t="shared" si="16"/>
        <v>#N/A</v>
      </c>
      <c r="N82" s="2261"/>
    </row>
    <row r="83" spans="1:19" ht="13.5" x14ac:dyDescent="0.25">
      <c r="A83" s="666">
        <v>1560</v>
      </c>
      <c r="B83" s="2987" t="s">
        <v>4853</v>
      </c>
      <c r="C83" s="2987"/>
      <c r="D83" s="2375"/>
      <c r="E83" s="2375"/>
      <c r="F83" s="365">
        <f>'905Hosp'!F84</f>
        <v>0</v>
      </c>
      <c r="H83" s="365" t="e">
        <f t="shared" si="11"/>
        <v>#N/A</v>
      </c>
      <c r="J83" s="249" t="e">
        <f t="shared" si="12"/>
        <v>#N/A</v>
      </c>
      <c r="L83" s="250" t="e">
        <f t="shared" si="13"/>
        <v>#N/A</v>
      </c>
      <c r="N83" s="2261" t="str">
        <f t="shared" si="14"/>
        <v xml:space="preserve"> </v>
      </c>
    </row>
    <row r="84" spans="1:19" ht="13.5" x14ac:dyDescent="0.25">
      <c r="A84" s="666">
        <v>1570</v>
      </c>
      <c r="B84" s="2881" t="s">
        <v>3199</v>
      </c>
      <c r="C84" s="2881"/>
      <c r="D84" s="2347"/>
      <c r="E84" s="2347"/>
      <c r="F84" s="367">
        <f>'905Hosp'!F85</f>
        <v>0</v>
      </c>
      <c r="H84" s="367" t="e">
        <f t="shared" si="11"/>
        <v>#N/A</v>
      </c>
      <c r="J84" s="249" t="e">
        <f t="shared" si="12"/>
        <v>#N/A</v>
      </c>
      <c r="L84" s="250" t="e">
        <f t="shared" si="13"/>
        <v>#N/A</v>
      </c>
      <c r="N84" s="2261" t="str">
        <f t="shared" si="14"/>
        <v xml:space="preserve"> </v>
      </c>
    </row>
    <row r="85" spans="1:19" ht="13.5" x14ac:dyDescent="0.25">
      <c r="A85" s="191"/>
      <c r="B85" s="2881" t="s">
        <v>4854</v>
      </c>
      <c r="C85" s="2881"/>
      <c r="D85" s="2347"/>
      <c r="E85" s="2347"/>
      <c r="F85" s="365">
        <f>SUM(F71:F84)</f>
        <v>0</v>
      </c>
      <c r="H85" s="365" t="e">
        <f>SUM(H71:H84)</f>
        <v>#N/A</v>
      </c>
      <c r="J85" s="249" t="e">
        <f t="shared" si="12"/>
        <v>#N/A</v>
      </c>
      <c r="L85" s="250" t="e">
        <f t="shared" si="13"/>
        <v>#N/A</v>
      </c>
    </row>
    <row r="86" spans="1:19" ht="13.5" x14ac:dyDescent="0.25">
      <c r="A86" s="381"/>
      <c r="B86" s="2881" t="s">
        <v>4855</v>
      </c>
      <c r="C86" s="2881"/>
      <c r="D86" s="2347"/>
      <c r="E86" s="2347"/>
      <c r="F86" s="375">
        <f>SUM(F41:F85)-F69-F85</f>
        <v>0</v>
      </c>
      <c r="H86" s="375" t="e">
        <f>SUM(H41:H85)-H69-H85</f>
        <v>#N/A</v>
      </c>
      <c r="J86" s="249" t="e">
        <f t="shared" si="12"/>
        <v>#N/A</v>
      </c>
      <c r="L86" s="250" t="e">
        <f t="shared" si="13"/>
        <v>#N/A</v>
      </c>
    </row>
    <row r="87" spans="1:19" ht="6" customHeight="1" x14ac:dyDescent="0.25">
      <c r="B87" s="2347"/>
      <c r="C87" s="2347"/>
      <c r="D87" s="2347"/>
      <c r="E87" s="2347"/>
      <c r="J87" s="249"/>
      <c r="L87" s="250"/>
    </row>
    <row r="88" spans="1:19" ht="13.5" x14ac:dyDescent="0.25">
      <c r="B88" s="2881" t="s">
        <v>1742</v>
      </c>
      <c r="C88" s="2881"/>
      <c r="D88" s="2347"/>
      <c r="E88" s="2347"/>
      <c r="F88" s="237">
        <f>F38+F86</f>
        <v>0</v>
      </c>
      <c r="H88" s="237" t="e">
        <f>H38+H86</f>
        <v>#N/A</v>
      </c>
      <c r="J88" s="249" t="e">
        <f>F88-H88</f>
        <v>#N/A</v>
      </c>
      <c r="L88" s="250" t="e">
        <f>IF(H88=0,0,J88/H88)</f>
        <v>#N/A</v>
      </c>
    </row>
    <row r="89" spans="1:19" ht="13.5" x14ac:dyDescent="0.25">
      <c r="B89" s="2347"/>
      <c r="C89" s="2347"/>
      <c r="D89" s="2347"/>
      <c r="E89" s="2347"/>
      <c r="F89" s="457"/>
      <c r="H89" s="457"/>
      <c r="J89" s="249"/>
      <c r="L89" s="250"/>
    </row>
    <row r="90" spans="1:19" ht="13.5" x14ac:dyDescent="0.25">
      <c r="B90" s="2377" t="s">
        <v>2685</v>
      </c>
      <c r="F90"/>
      <c r="H90" s="889"/>
      <c r="I90" s="1"/>
      <c r="J90" s="842"/>
      <c r="L90" s="250"/>
    </row>
    <row r="91" spans="1:19" ht="13.5" x14ac:dyDescent="0.25">
      <c r="A91" s="865">
        <v>1234</v>
      </c>
      <c r="B91" s="2881" t="s">
        <v>4913</v>
      </c>
      <c r="C91" s="2881"/>
      <c r="D91" s="2881"/>
      <c r="E91" s="2881"/>
      <c r="F91" s="365">
        <f>'905Hosp'!F92</f>
        <v>0</v>
      </c>
      <c r="G91" s="2347"/>
      <c r="H91" s="365" t="e">
        <f t="shared" ref="H91:H97" si="17">INDEX(PY905Data,MATCH($A91,PY905Row,0),MATCH($C$5,PY905Col,0))</f>
        <v>#N/A</v>
      </c>
      <c r="J91" s="249" t="e">
        <f t="shared" ref="J91:J98" si="18">F91-H91</f>
        <v>#N/A</v>
      </c>
      <c r="L91" s="250" t="e">
        <f t="shared" ref="L91:L98" si="19">IF(H91=0,0,J91/H91)</f>
        <v>#N/A</v>
      </c>
      <c r="N91" s="2261" t="str">
        <f t="shared" ref="N91:N97" si="20">IF($F$88=0," ",IF(AND(ABS(J91)&gt;$L$3,ABS(L91)&gt;$L$2),"C",IF(AND(ABS(F91+H91)&gt;0,H91=0,ABS(J91)&gt;$L$3),"C"," ")))</f>
        <v xml:space="preserve"> </v>
      </c>
    </row>
    <row r="92" spans="1:19" ht="13.5" x14ac:dyDescent="0.25">
      <c r="A92" s="865">
        <v>1236</v>
      </c>
      <c r="B92" s="2881" t="s">
        <v>2092</v>
      </c>
      <c r="C92" s="2881"/>
      <c r="D92" s="2881"/>
      <c r="E92" s="2881"/>
      <c r="F92" s="365">
        <f>'905Hosp'!F93</f>
        <v>0</v>
      </c>
      <c r="G92" s="2347"/>
      <c r="H92" s="365" t="e">
        <f t="shared" si="17"/>
        <v>#N/A</v>
      </c>
      <c r="J92" s="249" t="e">
        <f t="shared" si="18"/>
        <v>#N/A</v>
      </c>
      <c r="L92" s="250" t="e">
        <f t="shared" si="19"/>
        <v>#N/A</v>
      </c>
      <c r="N92" s="2261" t="str">
        <f t="shared" si="20"/>
        <v xml:space="preserve"> </v>
      </c>
      <c r="P92" s="2955"/>
      <c r="Q92" s="2955"/>
      <c r="R92" s="2347"/>
      <c r="S92" s="2347"/>
    </row>
    <row r="93" spans="1:19" ht="13.5" x14ac:dyDescent="0.25">
      <c r="A93" s="865">
        <v>1242</v>
      </c>
      <c r="B93" s="2881" t="s">
        <v>2687</v>
      </c>
      <c r="C93" s="2881"/>
      <c r="D93" s="2881"/>
      <c r="E93" s="2881"/>
      <c r="F93" s="365">
        <f>'905Hosp'!F94</f>
        <v>0</v>
      </c>
      <c r="G93" s="2347"/>
      <c r="H93" s="365" t="e">
        <f t="shared" si="17"/>
        <v>#N/A</v>
      </c>
      <c r="J93" s="249" t="e">
        <f>F93-H93</f>
        <v>#N/A</v>
      </c>
      <c r="L93" s="250" t="e">
        <f>IF(H93=0,0,J93/H93)</f>
        <v>#N/A</v>
      </c>
      <c r="N93" s="2261" t="str">
        <f>IF($F$88=0," ",IF(AND(ABS(J93)&gt;$L$3,ABS(L93)&gt;$L$2),"C",IF(AND(ABS(F93+H93)&gt;0,H93=0,ABS(J93)&gt;$L$3),"C"," ")))</f>
        <v xml:space="preserve"> </v>
      </c>
      <c r="P93" s="2955"/>
      <c r="Q93" s="2955"/>
      <c r="R93" s="2347"/>
      <c r="S93" s="2347"/>
    </row>
    <row r="94" spans="1:19" ht="13.5" x14ac:dyDescent="0.25">
      <c r="A94" s="865">
        <v>1237</v>
      </c>
      <c r="B94" s="2881" t="s">
        <v>2093</v>
      </c>
      <c r="C94" s="2881"/>
      <c r="D94" s="2881"/>
      <c r="E94" s="2881"/>
      <c r="F94" s="365">
        <f>'905Hosp'!F95</f>
        <v>0</v>
      </c>
      <c r="G94" s="2347"/>
      <c r="H94" s="365" t="e">
        <f t="shared" si="17"/>
        <v>#N/A</v>
      </c>
      <c r="J94" s="249" t="e">
        <f>F94-H94</f>
        <v>#N/A</v>
      </c>
      <c r="L94" s="250" t="e">
        <f>IF(H94=0,0,J94/H94)</f>
        <v>#N/A</v>
      </c>
      <c r="N94" s="2261" t="str">
        <f t="shared" si="20"/>
        <v xml:space="preserve"> </v>
      </c>
      <c r="P94" s="2955"/>
      <c r="Q94" s="2955"/>
      <c r="R94" s="2347"/>
      <c r="S94" s="2347"/>
    </row>
    <row r="95" spans="1:19" ht="13.5" x14ac:dyDescent="0.25">
      <c r="A95" s="865">
        <v>1241</v>
      </c>
      <c r="B95" s="2991" t="s">
        <v>2094</v>
      </c>
      <c r="C95" s="2991"/>
      <c r="D95" s="2991"/>
      <c r="E95" s="2991"/>
      <c r="F95" s="365">
        <f>'905Hosp'!F96</f>
        <v>0</v>
      </c>
      <c r="G95" s="2347"/>
      <c r="H95" s="365" t="e">
        <f t="shared" si="17"/>
        <v>#N/A</v>
      </c>
      <c r="J95" s="249" t="e">
        <f t="shared" si="18"/>
        <v>#N/A</v>
      </c>
      <c r="L95" s="250" t="e">
        <f t="shared" si="19"/>
        <v>#N/A</v>
      </c>
      <c r="N95" s="2261" t="str">
        <f t="shared" si="20"/>
        <v xml:space="preserve"> </v>
      </c>
      <c r="O95" s="1021"/>
      <c r="P95" s="2955"/>
      <c r="Q95" s="2955"/>
      <c r="R95" s="2347"/>
      <c r="S95" s="2347"/>
    </row>
    <row r="96" spans="1:19" ht="13.5" x14ac:dyDescent="0.25">
      <c r="A96" s="865">
        <v>1238</v>
      </c>
      <c r="B96" s="2881" t="s">
        <v>2095</v>
      </c>
      <c r="C96" s="2881"/>
      <c r="D96" s="2881"/>
      <c r="E96" s="2881"/>
      <c r="F96" s="365">
        <f>'905Hosp'!F97</f>
        <v>0</v>
      </c>
      <c r="G96" s="2347"/>
      <c r="H96" s="365" t="e">
        <f t="shared" si="17"/>
        <v>#N/A</v>
      </c>
      <c r="J96" s="249" t="e">
        <f t="shared" si="18"/>
        <v>#N/A</v>
      </c>
      <c r="L96" s="250" t="e">
        <f t="shared" si="19"/>
        <v>#N/A</v>
      </c>
      <c r="N96" s="2261" t="str">
        <f t="shared" si="20"/>
        <v xml:space="preserve"> </v>
      </c>
      <c r="P96" s="2955"/>
      <c r="Q96" s="2955"/>
      <c r="R96" s="2347"/>
      <c r="S96" s="2347"/>
    </row>
    <row r="97" spans="1:19" ht="13.5" x14ac:dyDescent="0.25">
      <c r="A97" s="865">
        <v>1239</v>
      </c>
      <c r="B97" s="2881" t="s">
        <v>2096</v>
      </c>
      <c r="C97" s="2881"/>
      <c r="D97" s="2881"/>
      <c r="E97" s="2881"/>
      <c r="F97" s="365">
        <f>'905Hosp'!F98</f>
        <v>0</v>
      </c>
      <c r="G97" s="2347"/>
      <c r="H97" s="365" t="e">
        <f t="shared" si="17"/>
        <v>#N/A</v>
      </c>
      <c r="J97" s="249" t="e">
        <f t="shared" si="18"/>
        <v>#N/A</v>
      </c>
      <c r="L97" s="250" t="e">
        <f t="shared" si="19"/>
        <v>#N/A</v>
      </c>
      <c r="N97" s="2261" t="str">
        <f t="shared" si="20"/>
        <v xml:space="preserve"> </v>
      </c>
      <c r="P97" s="2955"/>
      <c r="Q97" s="2955"/>
      <c r="R97" s="2347"/>
      <c r="S97" s="2347"/>
    </row>
    <row r="98" spans="1:19" ht="13.5" x14ac:dyDescent="0.25">
      <c r="A98" s="865"/>
      <c r="B98" s="2881" t="s">
        <v>4856</v>
      </c>
      <c r="C98" s="2881"/>
      <c r="D98" s="2347"/>
      <c r="E98" s="2347"/>
      <c r="F98" s="237">
        <f>SUM(F91:F97)</f>
        <v>0</v>
      </c>
      <c r="H98" s="237" t="e">
        <f>SUM(H91:H97)</f>
        <v>#N/A</v>
      </c>
      <c r="J98" s="249" t="e">
        <f t="shared" si="18"/>
        <v>#N/A</v>
      </c>
      <c r="L98" s="250" t="e">
        <f t="shared" si="19"/>
        <v>#N/A</v>
      </c>
    </row>
    <row r="99" spans="1:19" ht="13.5" x14ac:dyDescent="0.25">
      <c r="A99" s="865"/>
      <c r="B99" s="2347"/>
      <c r="C99" s="2347"/>
      <c r="D99" s="2347"/>
      <c r="E99" s="2347"/>
      <c r="F99" s="457"/>
      <c r="H99" s="457"/>
      <c r="J99" s="249"/>
      <c r="L99" s="457"/>
    </row>
    <row r="100" spans="1:19" x14ac:dyDescent="0.2">
      <c r="B100" s="2377" t="s">
        <v>4857</v>
      </c>
      <c r="C100" s="2377"/>
      <c r="D100" s="2377"/>
      <c r="E100" s="2377"/>
    </row>
    <row r="101" spans="1:19" x14ac:dyDescent="0.2">
      <c r="B101" s="239" t="s">
        <v>2690</v>
      </c>
      <c r="C101" s="239"/>
      <c r="D101" s="239"/>
      <c r="E101" s="239"/>
    </row>
    <row r="102" spans="1:19" x14ac:dyDescent="0.2">
      <c r="B102" s="191" t="s">
        <v>2691</v>
      </c>
      <c r="C102" s="191"/>
      <c r="D102" s="191"/>
      <c r="E102" s="191"/>
    </row>
    <row r="103" spans="1:19" ht="13.5" x14ac:dyDescent="0.25">
      <c r="A103" s="191">
        <v>1640</v>
      </c>
      <c r="B103" s="2987" t="s">
        <v>2729</v>
      </c>
      <c r="C103" s="2987"/>
      <c r="D103" s="2375"/>
      <c r="E103" s="2375"/>
      <c r="F103" s="365">
        <f>'905Hosp'!F104</f>
        <v>0</v>
      </c>
      <c r="H103" s="365" t="e">
        <f>INDEX(PY905Data,MATCH($A103,PY905Row,0),MATCH($C$5,PY905Col,0))</f>
        <v>#N/A</v>
      </c>
      <c r="J103" s="249" t="e">
        <f>F103-H103</f>
        <v>#N/A</v>
      </c>
      <c r="L103" s="250" t="e">
        <f>IF(H103=0,0,J103/H103)</f>
        <v>#N/A</v>
      </c>
      <c r="N103" s="2261" t="str">
        <f t="shared" ref="N103:N136" si="21">IF($F$88=0," ",IF(AND(ABS(J103)&gt;$L$3,ABS(L103)&gt;$L$2),"C",IF(AND(ABS(F103+H103)&gt;0,H103=0,ABS(J103)&gt;$L$3),"C"," ")))</f>
        <v xml:space="preserve"> </v>
      </c>
    </row>
    <row r="104" spans="1:19" ht="13.5" x14ac:dyDescent="0.25">
      <c r="A104" s="191">
        <v>1650</v>
      </c>
      <c r="B104" s="2987" t="s">
        <v>2693</v>
      </c>
      <c r="C104" s="2987"/>
      <c r="D104" s="2375"/>
      <c r="E104" s="2375"/>
      <c r="F104" s="365">
        <f>'905Hosp'!F105</f>
        <v>0</v>
      </c>
      <c r="H104" s="365" t="e">
        <f>INDEX(PY905Data,MATCH($A104,PY905Row,0),MATCH($C$5,PY905Col,0))</f>
        <v>#N/A</v>
      </c>
      <c r="J104" s="249" t="e">
        <f>F104-H104</f>
        <v>#N/A</v>
      </c>
      <c r="L104" s="250" t="e">
        <f>IF(H104=0,0,J104/H104)</f>
        <v>#N/A</v>
      </c>
      <c r="N104" s="2261" t="str">
        <f t="shared" si="21"/>
        <v xml:space="preserve"> </v>
      </c>
    </row>
    <row r="105" spans="1:19" ht="13.5" x14ac:dyDescent="0.25">
      <c r="A105" s="191">
        <v>1660</v>
      </c>
      <c r="B105" s="2987" t="s">
        <v>2694</v>
      </c>
      <c r="C105" s="2987"/>
      <c r="D105" s="2375"/>
      <c r="E105" s="2375"/>
      <c r="F105" s="365">
        <f>'905Hosp'!F106</f>
        <v>0</v>
      </c>
      <c r="H105" s="365" t="e">
        <f>INDEX(PY905Data,MATCH($A105,PY905Row,0),MATCH($C$5,PY905Col,0))</f>
        <v>#N/A</v>
      </c>
      <c r="J105" s="249" t="e">
        <f>F105-H105</f>
        <v>#N/A</v>
      </c>
      <c r="L105" s="250" t="e">
        <f>IF(H105=0,0,J105/H105)</f>
        <v>#N/A</v>
      </c>
      <c r="N105" s="2261" t="str">
        <f t="shared" si="21"/>
        <v xml:space="preserve"> </v>
      </c>
    </row>
    <row r="106" spans="1:19" ht="13.5" x14ac:dyDescent="0.25">
      <c r="A106" s="191">
        <v>1670</v>
      </c>
      <c r="B106" s="2987" t="s">
        <v>2695</v>
      </c>
      <c r="C106" s="2987"/>
      <c r="D106" s="2375"/>
      <c r="E106" s="2375"/>
      <c r="F106" s="365">
        <f>'905Hosp'!F107</f>
        <v>0</v>
      </c>
      <c r="H106" s="365" t="e">
        <f>INDEX(PY905Data,MATCH($A106,PY905Row,0),MATCH($C$5,PY905Col,0))</f>
        <v>#N/A</v>
      </c>
      <c r="J106" s="249" t="e">
        <f>F106-H106</f>
        <v>#N/A</v>
      </c>
      <c r="L106" s="250" t="e">
        <f>IF(H106=0,0,J106/H106)</f>
        <v>#N/A</v>
      </c>
      <c r="N106" s="2261" t="str">
        <f t="shared" si="21"/>
        <v xml:space="preserve"> </v>
      </c>
    </row>
    <row r="107" spans="1:19" ht="13.5" x14ac:dyDescent="0.25">
      <c r="A107" s="191">
        <v>1840</v>
      </c>
      <c r="B107" s="2881" t="s">
        <v>2696</v>
      </c>
      <c r="C107" s="2881"/>
      <c r="D107" s="2347"/>
      <c r="E107" s="2347"/>
      <c r="F107" s="365">
        <f>'905Hosp'!F108</f>
        <v>0</v>
      </c>
      <c r="H107" s="365" t="e">
        <f>INDEX(PY905Data,MATCH($A107,PY905Row,0),MATCH($C$5,PY905Col,0))</f>
        <v>#N/A</v>
      </c>
      <c r="J107" s="249" t="e">
        <f>F107-H107</f>
        <v>#N/A</v>
      </c>
      <c r="L107" s="250" t="e">
        <f>IF(H107=0,0,J107/H107)</f>
        <v>#N/A</v>
      </c>
      <c r="N107" s="2261" t="str">
        <f t="shared" si="21"/>
        <v xml:space="preserve"> </v>
      </c>
    </row>
    <row r="108" spans="1:19" ht="13.5" x14ac:dyDescent="0.25">
      <c r="A108" s="191"/>
      <c r="B108" s="191" t="s">
        <v>2697</v>
      </c>
      <c r="C108" s="191"/>
      <c r="D108" s="191"/>
      <c r="E108" s="191"/>
      <c r="J108" s="249"/>
      <c r="L108" s="250"/>
      <c r="N108" s="2261" t="str">
        <f t="shared" si="21"/>
        <v xml:space="preserve"> </v>
      </c>
    </row>
    <row r="109" spans="1:19" ht="13.5" x14ac:dyDescent="0.25">
      <c r="A109" s="666">
        <v>1788</v>
      </c>
      <c r="B109" s="2987" t="s">
        <v>4858</v>
      </c>
      <c r="C109" s="2987"/>
      <c r="D109" s="2375"/>
      <c r="E109" s="2375"/>
      <c r="F109" s="365">
        <f>'905Hosp'!F110</f>
        <v>0</v>
      </c>
      <c r="H109" s="365" t="e">
        <f t="shared" ref="H109:H136" si="22">INDEX(PY905Data,MATCH($A109,PY905Row,0),MATCH($C$5,PY905Col,0))</f>
        <v>#N/A</v>
      </c>
      <c r="J109" s="249" t="e">
        <f t="shared" ref="J109:J127" si="23">F109-H109</f>
        <v>#N/A</v>
      </c>
      <c r="L109" s="250" t="e">
        <f t="shared" ref="L109:L127" si="24">IF(H109=0,0,J109/H109)</f>
        <v>#N/A</v>
      </c>
      <c r="N109" s="2261" t="str">
        <f t="shared" si="21"/>
        <v xml:space="preserve"> </v>
      </c>
    </row>
    <row r="110" spans="1:19" ht="13.5" x14ac:dyDescent="0.25">
      <c r="A110" s="666">
        <v>1785</v>
      </c>
      <c r="B110" s="2987" t="s">
        <v>3427</v>
      </c>
      <c r="C110" s="2987"/>
      <c r="D110" s="2375"/>
      <c r="E110" s="2375"/>
      <c r="F110" s="365">
        <f>'905Hosp'!F111</f>
        <v>0</v>
      </c>
      <c r="H110" s="365" t="e">
        <f t="shared" si="22"/>
        <v>#N/A</v>
      </c>
      <c r="J110" s="249" t="e">
        <f t="shared" si="23"/>
        <v>#N/A</v>
      </c>
      <c r="L110" s="250" t="e">
        <f t="shared" si="24"/>
        <v>#N/A</v>
      </c>
      <c r="N110" s="2261" t="str">
        <f t="shared" si="21"/>
        <v xml:space="preserve"> </v>
      </c>
    </row>
    <row r="111" spans="1:19" ht="13.5" x14ac:dyDescent="0.25">
      <c r="A111" s="666">
        <v>1790</v>
      </c>
      <c r="B111" s="2987" t="s">
        <v>1024</v>
      </c>
      <c r="C111" s="2987"/>
      <c r="D111" s="2375"/>
      <c r="E111" s="2375"/>
      <c r="F111" s="365">
        <f>'905Hosp'!F112</f>
        <v>0</v>
      </c>
      <c r="H111" s="365" t="e">
        <f t="shared" si="22"/>
        <v>#N/A</v>
      </c>
      <c r="J111" s="249" t="e">
        <f t="shared" si="23"/>
        <v>#N/A</v>
      </c>
      <c r="L111" s="250" t="e">
        <f t="shared" si="24"/>
        <v>#N/A</v>
      </c>
      <c r="N111" s="2261" t="str">
        <f t="shared" si="21"/>
        <v xml:space="preserve"> </v>
      </c>
    </row>
    <row r="112" spans="1:19" ht="13.5" x14ac:dyDescent="0.25">
      <c r="A112" s="666">
        <v>1791</v>
      </c>
      <c r="B112" s="2987" t="s">
        <v>1016</v>
      </c>
      <c r="C112" s="2987"/>
      <c r="D112" s="2375"/>
      <c r="E112" s="2375"/>
      <c r="F112" s="365">
        <f>'905Hosp'!F113</f>
        <v>0</v>
      </c>
      <c r="H112" s="365" t="e">
        <f t="shared" si="22"/>
        <v>#N/A</v>
      </c>
      <c r="J112" s="249" t="e">
        <f t="shared" si="23"/>
        <v>#N/A</v>
      </c>
      <c r="L112" s="250" t="e">
        <f t="shared" si="24"/>
        <v>#N/A</v>
      </c>
      <c r="N112" s="2261" t="str">
        <f t="shared" si="21"/>
        <v xml:space="preserve"> </v>
      </c>
    </row>
    <row r="113" spans="1:14" ht="13.5" x14ac:dyDescent="0.25">
      <c r="A113" s="666">
        <v>1787</v>
      </c>
      <c r="B113" s="2987" t="s">
        <v>3429</v>
      </c>
      <c r="C113" s="2987"/>
      <c r="D113" s="2375"/>
      <c r="E113" s="2375"/>
      <c r="F113" s="365">
        <f>'905Hosp'!F114</f>
        <v>0</v>
      </c>
      <c r="H113" s="365" t="e">
        <f t="shared" si="22"/>
        <v>#N/A</v>
      </c>
      <c r="J113" s="249" t="e">
        <f t="shared" si="23"/>
        <v>#N/A</v>
      </c>
      <c r="L113" s="250" t="e">
        <f t="shared" si="24"/>
        <v>#N/A</v>
      </c>
      <c r="N113" s="2261" t="str">
        <f t="shared" si="21"/>
        <v xml:space="preserve"> </v>
      </c>
    </row>
    <row r="114" spans="1:14" ht="13.5" x14ac:dyDescent="0.25">
      <c r="A114" s="666">
        <v>1730</v>
      </c>
      <c r="B114" s="2881" t="s">
        <v>4859</v>
      </c>
      <c r="C114" s="2881"/>
      <c r="D114" s="2347"/>
      <c r="E114" s="2347"/>
      <c r="F114" s="365">
        <f>'905Hosp'!F115</f>
        <v>0</v>
      </c>
      <c r="H114" s="365" t="e">
        <f t="shared" si="22"/>
        <v>#N/A</v>
      </c>
      <c r="J114" s="249" t="e">
        <f t="shared" si="23"/>
        <v>#N/A</v>
      </c>
      <c r="L114" s="250" t="e">
        <f t="shared" si="24"/>
        <v>#N/A</v>
      </c>
      <c r="N114" s="2261" t="str">
        <f t="shared" si="21"/>
        <v xml:space="preserve"> </v>
      </c>
    </row>
    <row r="115" spans="1:14" ht="13.5" x14ac:dyDescent="0.25">
      <c r="A115" s="191">
        <v>1735</v>
      </c>
      <c r="B115" s="2881" t="s">
        <v>3402</v>
      </c>
      <c r="C115" s="2881"/>
      <c r="D115" s="2347"/>
      <c r="E115" s="2347"/>
      <c r="F115" s="365">
        <f>'905Hosp'!F116</f>
        <v>0</v>
      </c>
      <c r="H115" s="365" t="e">
        <f t="shared" si="22"/>
        <v>#N/A</v>
      </c>
      <c r="J115" s="249" t="e">
        <f t="shared" si="23"/>
        <v>#N/A</v>
      </c>
      <c r="L115" s="250" t="e">
        <f t="shared" si="24"/>
        <v>#N/A</v>
      </c>
      <c r="N115" s="2261" t="str">
        <f t="shared" si="21"/>
        <v xml:space="preserve"> </v>
      </c>
    </row>
    <row r="116" spans="1:14" ht="13.5" x14ac:dyDescent="0.25">
      <c r="A116" s="666">
        <v>1740</v>
      </c>
      <c r="B116" s="2881" t="s">
        <v>3404</v>
      </c>
      <c r="C116" s="2881"/>
      <c r="D116" s="2347"/>
      <c r="E116" s="2347"/>
      <c r="F116" s="365">
        <f>'905Hosp'!F117</f>
        <v>0</v>
      </c>
      <c r="H116" s="365" t="e">
        <f t="shared" si="22"/>
        <v>#N/A</v>
      </c>
      <c r="J116" s="249" t="e">
        <f t="shared" si="23"/>
        <v>#N/A</v>
      </c>
      <c r="L116" s="250" t="e">
        <f t="shared" si="24"/>
        <v>#N/A</v>
      </c>
      <c r="N116" s="2261" t="str">
        <f t="shared" si="21"/>
        <v xml:space="preserve"> </v>
      </c>
    </row>
    <row r="117" spans="1:14" ht="13.5" x14ac:dyDescent="0.25">
      <c r="A117" s="191">
        <v>1890</v>
      </c>
      <c r="B117" s="2881" t="s">
        <v>2706</v>
      </c>
      <c r="C117" s="2881"/>
      <c r="D117" s="2347"/>
      <c r="E117" s="2347"/>
      <c r="F117" s="365">
        <f>'905Hosp'!F118</f>
        <v>0</v>
      </c>
      <c r="H117" s="365" t="e">
        <f t="shared" si="22"/>
        <v>#N/A</v>
      </c>
      <c r="J117" s="249" t="e">
        <f t="shared" si="23"/>
        <v>#N/A</v>
      </c>
      <c r="L117" s="250" t="e">
        <f t="shared" si="24"/>
        <v>#N/A</v>
      </c>
      <c r="N117" s="2261" t="str">
        <f t="shared" si="21"/>
        <v xml:space="preserve"> </v>
      </c>
    </row>
    <row r="118" spans="1:14" ht="13.5" x14ac:dyDescent="0.25">
      <c r="A118" s="191">
        <v>1750</v>
      </c>
      <c r="B118" s="2881" t="s">
        <v>2707</v>
      </c>
      <c r="C118" s="2881"/>
      <c r="D118" s="2347"/>
      <c r="E118" s="2347"/>
      <c r="F118" s="365">
        <f>'905Hosp'!F119</f>
        <v>0</v>
      </c>
      <c r="H118" s="365" t="e">
        <f t="shared" si="22"/>
        <v>#N/A</v>
      </c>
      <c r="J118" s="249" t="e">
        <f t="shared" si="23"/>
        <v>#N/A</v>
      </c>
      <c r="L118" s="250" t="e">
        <f t="shared" si="24"/>
        <v>#N/A</v>
      </c>
      <c r="N118" s="2261" t="str">
        <f t="shared" si="21"/>
        <v xml:space="preserve"> </v>
      </c>
    </row>
    <row r="119" spans="1:14" ht="13.5" x14ac:dyDescent="0.25">
      <c r="A119" s="191">
        <v>1760</v>
      </c>
      <c r="B119" s="2881" t="s">
        <v>2708</v>
      </c>
      <c r="C119" s="2881"/>
      <c r="D119" s="2347"/>
      <c r="E119" s="2347"/>
      <c r="F119" s="365">
        <f>'905Hosp'!F120</f>
        <v>0</v>
      </c>
      <c r="H119" s="365" t="e">
        <f t="shared" si="22"/>
        <v>#N/A</v>
      </c>
      <c r="J119" s="249" t="e">
        <f t="shared" si="23"/>
        <v>#N/A</v>
      </c>
      <c r="L119" s="250" t="e">
        <f t="shared" si="24"/>
        <v>#N/A</v>
      </c>
      <c r="N119" s="2261" t="str">
        <f t="shared" si="21"/>
        <v xml:space="preserve"> </v>
      </c>
    </row>
    <row r="120" spans="1:14" ht="13.5" x14ac:dyDescent="0.25">
      <c r="A120" s="191">
        <v>1870</v>
      </c>
      <c r="B120" s="2881" t="s">
        <v>2709</v>
      </c>
      <c r="C120" s="2881"/>
      <c r="D120" s="2347"/>
      <c r="E120" s="2347"/>
      <c r="F120" s="365">
        <f>'905Hosp'!F121</f>
        <v>0</v>
      </c>
      <c r="H120" s="365" t="e">
        <f t="shared" si="22"/>
        <v>#N/A</v>
      </c>
      <c r="J120" s="249" t="e">
        <f t="shared" si="23"/>
        <v>#N/A</v>
      </c>
      <c r="L120" s="250" t="e">
        <f t="shared" si="24"/>
        <v>#N/A</v>
      </c>
      <c r="N120" s="2261" t="str">
        <f t="shared" si="21"/>
        <v xml:space="preserve"> </v>
      </c>
    </row>
    <row r="121" spans="1:14" ht="13.5" x14ac:dyDescent="0.25">
      <c r="A121" s="191">
        <v>1880</v>
      </c>
      <c r="B121" s="2881" t="s">
        <v>2710</v>
      </c>
      <c r="C121" s="2881"/>
      <c r="D121" s="2347"/>
      <c r="E121" s="2347"/>
      <c r="F121" s="365">
        <f>'905Hosp'!F122</f>
        <v>0</v>
      </c>
      <c r="H121" s="365" t="e">
        <f t="shared" si="22"/>
        <v>#N/A</v>
      </c>
      <c r="J121" s="249" t="e">
        <f t="shared" si="23"/>
        <v>#N/A</v>
      </c>
      <c r="L121" s="250" t="e">
        <f t="shared" si="24"/>
        <v>#N/A</v>
      </c>
      <c r="N121" s="2261" t="str">
        <f t="shared" si="21"/>
        <v xml:space="preserve"> </v>
      </c>
    </row>
    <row r="122" spans="1:14" ht="13.5" x14ac:dyDescent="0.25">
      <c r="A122" s="191">
        <v>1762</v>
      </c>
      <c r="B122" s="2881" t="s">
        <v>2711</v>
      </c>
      <c r="C122" s="2881"/>
      <c r="D122" s="2347"/>
      <c r="E122" s="2347"/>
      <c r="F122" s="365">
        <f>'905Hosp'!F123</f>
        <v>0</v>
      </c>
      <c r="H122" s="365" t="e">
        <f t="shared" si="22"/>
        <v>#N/A</v>
      </c>
      <c r="J122" s="249" t="e">
        <f t="shared" si="23"/>
        <v>#N/A</v>
      </c>
      <c r="L122" s="250" t="e">
        <f t="shared" si="24"/>
        <v>#N/A</v>
      </c>
      <c r="N122" s="2261" t="str">
        <f t="shared" si="21"/>
        <v xml:space="preserve"> </v>
      </c>
    </row>
    <row r="123" spans="1:14" ht="13.5" x14ac:dyDescent="0.25">
      <c r="A123" s="666">
        <v>1775</v>
      </c>
      <c r="B123" s="2881" t="s">
        <v>4860</v>
      </c>
      <c r="C123" s="2881"/>
      <c r="D123" s="2347"/>
      <c r="E123" s="2347"/>
      <c r="F123" s="365">
        <f>'905Hosp'!F124</f>
        <v>0</v>
      </c>
      <c r="H123" s="365" t="e">
        <f t="shared" si="22"/>
        <v>#N/A</v>
      </c>
      <c r="J123" s="249" t="e">
        <f t="shared" si="23"/>
        <v>#N/A</v>
      </c>
      <c r="L123" s="250" t="e">
        <f t="shared" si="24"/>
        <v>#N/A</v>
      </c>
      <c r="N123" s="2261" t="str">
        <f t="shared" si="21"/>
        <v xml:space="preserve"> </v>
      </c>
    </row>
    <row r="124" spans="1:14" ht="13.5" x14ac:dyDescent="0.25">
      <c r="A124" s="2075">
        <v>1780</v>
      </c>
      <c r="B124" s="2946" t="s">
        <v>4861</v>
      </c>
      <c r="C124" s="2946"/>
      <c r="D124" s="2347"/>
      <c r="E124" s="2347"/>
      <c r="F124" s="365">
        <f>'905Hosp'!F125</f>
        <v>0</v>
      </c>
      <c r="H124" s="365" t="e">
        <f t="shared" si="22"/>
        <v>#N/A</v>
      </c>
      <c r="J124" s="249" t="e">
        <f t="shared" si="23"/>
        <v>#N/A</v>
      </c>
      <c r="L124" s="250" t="e">
        <f t="shared" si="24"/>
        <v>#N/A</v>
      </c>
      <c r="N124" s="2261" t="str">
        <f t="shared" si="21"/>
        <v xml:space="preserve"> </v>
      </c>
    </row>
    <row r="125" spans="1:14" ht="13.5" x14ac:dyDescent="0.25">
      <c r="A125" s="2075">
        <v>1785</v>
      </c>
      <c r="B125" s="2945" t="s">
        <v>4914</v>
      </c>
      <c r="C125" s="2945"/>
      <c r="D125" s="2347"/>
      <c r="E125" s="2347"/>
      <c r="F125" s="365">
        <f>'905Hosp'!F126</f>
        <v>0</v>
      </c>
      <c r="H125" s="365" t="e">
        <f t="shared" si="22"/>
        <v>#N/A</v>
      </c>
      <c r="J125" s="249" t="e">
        <f t="shared" ref="J125" si="25">F125-H125</f>
        <v>#N/A</v>
      </c>
      <c r="L125" s="250" t="e">
        <f t="shared" ref="L125" si="26">IF(H125=0,0,J125/H125)</f>
        <v>#N/A</v>
      </c>
      <c r="N125" s="2261"/>
    </row>
    <row r="126" spans="1:14" ht="13.5" x14ac:dyDescent="0.25">
      <c r="A126" s="666">
        <v>1800</v>
      </c>
      <c r="B126" s="2881" t="s">
        <v>4863</v>
      </c>
      <c r="C126" s="2881"/>
      <c r="D126" s="2347"/>
      <c r="E126" s="2347"/>
      <c r="F126" s="365">
        <f>'905Hosp'!F127</f>
        <v>0</v>
      </c>
      <c r="H126" s="365" t="e">
        <f t="shared" si="22"/>
        <v>#N/A</v>
      </c>
      <c r="J126" s="249" t="e">
        <f t="shared" si="23"/>
        <v>#N/A</v>
      </c>
      <c r="L126" s="250" t="e">
        <f t="shared" si="24"/>
        <v>#N/A</v>
      </c>
      <c r="N126" s="2261" t="str">
        <f t="shared" si="21"/>
        <v xml:space="preserve"> </v>
      </c>
    </row>
    <row r="127" spans="1:14" ht="13.5" x14ac:dyDescent="0.25">
      <c r="A127" s="666">
        <v>1850</v>
      </c>
      <c r="B127" s="2881" t="s">
        <v>4864</v>
      </c>
      <c r="C127" s="2881"/>
      <c r="D127" s="2347"/>
      <c r="E127" s="2347"/>
      <c r="F127" s="365">
        <f>'905Hosp'!F128</f>
        <v>0</v>
      </c>
      <c r="H127" s="365" t="e">
        <f t="shared" si="22"/>
        <v>#N/A</v>
      </c>
      <c r="J127" s="249" t="e">
        <f t="shared" si="23"/>
        <v>#N/A</v>
      </c>
      <c r="L127" s="250" t="e">
        <f t="shared" si="24"/>
        <v>#N/A</v>
      </c>
      <c r="N127" s="2261" t="str">
        <f t="shared" si="21"/>
        <v xml:space="preserve"> </v>
      </c>
    </row>
    <row r="128" spans="1:14" ht="13.5" x14ac:dyDescent="0.25">
      <c r="A128" s="666">
        <v>1851</v>
      </c>
      <c r="B128" s="2881" t="s">
        <v>4865</v>
      </c>
      <c r="C128" s="2881"/>
      <c r="D128" s="2347"/>
      <c r="E128" s="2347"/>
      <c r="F128" s="365">
        <f>'905Hosp'!F129</f>
        <v>0</v>
      </c>
      <c r="H128" s="365" t="e">
        <f t="shared" si="22"/>
        <v>#N/A</v>
      </c>
      <c r="J128" s="249" t="e">
        <f t="shared" ref="J128:J136" si="27">F128-H128</f>
        <v>#N/A</v>
      </c>
      <c r="L128" s="250" t="e">
        <f t="shared" ref="L128:L136" si="28">IF(H128=0,0,J128/H128)</f>
        <v>#N/A</v>
      </c>
      <c r="N128" s="2261" t="str">
        <f t="shared" si="21"/>
        <v xml:space="preserve"> </v>
      </c>
    </row>
    <row r="129" spans="1:15" ht="13.5" x14ac:dyDescent="0.25">
      <c r="A129" s="666">
        <v>1786</v>
      </c>
      <c r="B129" s="2881" t="s">
        <v>4866</v>
      </c>
      <c r="C129" s="2881"/>
      <c r="D129" s="2347"/>
      <c r="E129" s="2347"/>
      <c r="F129" s="365">
        <f>'905Hosp'!F130</f>
        <v>0</v>
      </c>
      <c r="H129" s="365" t="e">
        <f t="shared" si="22"/>
        <v>#N/A</v>
      </c>
      <c r="J129" s="249" t="e">
        <f t="shared" si="27"/>
        <v>#N/A</v>
      </c>
      <c r="L129" s="250" t="e">
        <f t="shared" si="28"/>
        <v>#N/A</v>
      </c>
      <c r="N129" s="2261" t="str">
        <f t="shared" si="21"/>
        <v xml:space="preserve"> </v>
      </c>
    </row>
    <row r="130" spans="1:15" ht="13.5" x14ac:dyDescent="0.25">
      <c r="A130" s="666">
        <v>1855</v>
      </c>
      <c r="B130" s="2881" t="s">
        <v>4867</v>
      </c>
      <c r="C130" s="2881"/>
      <c r="D130" s="2347"/>
      <c r="E130" s="2347"/>
      <c r="F130" s="365">
        <f>'905Hosp'!F131</f>
        <v>0</v>
      </c>
      <c r="H130" s="365" t="e">
        <f t="shared" si="22"/>
        <v>#N/A</v>
      </c>
      <c r="J130" s="249" t="e">
        <f t="shared" si="27"/>
        <v>#N/A</v>
      </c>
      <c r="L130" s="250" t="e">
        <f t="shared" si="28"/>
        <v>#N/A</v>
      </c>
      <c r="N130" s="2261" t="str">
        <f t="shared" si="21"/>
        <v xml:space="preserve"> </v>
      </c>
    </row>
    <row r="131" spans="1:15" ht="13.5" x14ac:dyDescent="0.25">
      <c r="A131" s="666">
        <v>1857</v>
      </c>
      <c r="B131" s="2881" t="s">
        <v>4868</v>
      </c>
      <c r="C131" s="2881"/>
      <c r="D131" s="2347"/>
      <c r="E131" s="2347"/>
      <c r="F131" s="365">
        <f>'905Hosp'!F132</f>
        <v>0</v>
      </c>
      <c r="H131" s="365" t="e">
        <f t="shared" si="22"/>
        <v>#N/A</v>
      </c>
      <c r="J131" s="249" t="e">
        <f>F131-H131</f>
        <v>#N/A</v>
      </c>
      <c r="L131" s="250" t="e">
        <f>IF(H131=0,0,J131/H131)</f>
        <v>#N/A</v>
      </c>
      <c r="N131" s="2261" t="str">
        <f>IF($F$88=0," ",IF(AND(ABS(J131)&gt;$L$3,ABS(L131)&gt;$L$2),"C",IF(AND(ABS(F131+H131)&gt;0,H131=0,ABS(J131)&gt;$L$3),"C"," ")))</f>
        <v xml:space="preserve"> </v>
      </c>
    </row>
    <row r="132" spans="1:15" ht="13.5" x14ac:dyDescent="0.25">
      <c r="A132" s="666">
        <v>1860</v>
      </c>
      <c r="B132" s="2881" t="s">
        <v>4869</v>
      </c>
      <c r="C132" s="2881"/>
      <c r="D132" s="2881"/>
      <c r="E132" s="2881"/>
      <c r="F132" s="365">
        <f>'905Hosp'!F133</f>
        <v>0</v>
      </c>
      <c r="H132" s="365" t="e">
        <f t="shared" si="22"/>
        <v>#N/A</v>
      </c>
      <c r="J132" s="249" t="e">
        <f t="shared" si="27"/>
        <v>#N/A</v>
      </c>
      <c r="L132" s="250" t="e">
        <f t="shared" si="28"/>
        <v>#N/A</v>
      </c>
      <c r="N132" s="2261" t="str">
        <f t="shared" si="21"/>
        <v xml:space="preserve"> </v>
      </c>
    </row>
    <row r="133" spans="1:15" ht="13.5" x14ac:dyDescent="0.25">
      <c r="A133" s="666">
        <v>1868</v>
      </c>
      <c r="B133" s="2881" t="s">
        <v>2723</v>
      </c>
      <c r="C133" s="2881"/>
      <c r="D133" s="2881"/>
      <c r="E133" s="2881"/>
      <c r="F133" s="365">
        <f>'905Hosp'!F134</f>
        <v>0</v>
      </c>
      <c r="H133" s="365" t="e">
        <f t="shared" si="22"/>
        <v>#N/A</v>
      </c>
      <c r="J133" s="249" t="e">
        <f>F133-H133</f>
        <v>#N/A</v>
      </c>
      <c r="L133" s="250" t="e">
        <f>IF(H133=0,0,J133/H133)</f>
        <v>#N/A</v>
      </c>
      <c r="N133" s="2261" t="str">
        <f t="shared" si="21"/>
        <v xml:space="preserve"> </v>
      </c>
    </row>
    <row r="134" spans="1:15" ht="13.5" x14ac:dyDescent="0.25">
      <c r="A134" s="666">
        <v>1869</v>
      </c>
      <c r="B134" s="2881" t="s">
        <v>2724</v>
      </c>
      <c r="C134" s="2881"/>
      <c r="D134" s="2347"/>
      <c r="E134" s="2347"/>
      <c r="F134" s="365">
        <f>'905Hosp'!F135</f>
        <v>0</v>
      </c>
      <c r="H134" s="365" t="e">
        <f t="shared" si="22"/>
        <v>#N/A</v>
      </c>
      <c r="J134" s="249" t="e">
        <f>F134-H134</f>
        <v>#N/A</v>
      </c>
      <c r="L134" s="250" t="e">
        <f>IF(H134=0,0,J134/H134)</f>
        <v>#N/A</v>
      </c>
      <c r="N134" s="2261" t="str">
        <f>IF($F$88=0," ",IF(AND(ABS(J134)&gt;$L$3,ABS(L134)&gt;$L$2),"C",IF(AND(ABS(F134+H134)&gt;0,H134=0,ABS(J134)&gt;$L$3),"C"," ")))</f>
        <v xml:space="preserve"> </v>
      </c>
      <c r="O134" s="1021"/>
    </row>
    <row r="135" spans="1:15" ht="13.5" x14ac:dyDescent="0.25">
      <c r="A135" s="666">
        <v>1865</v>
      </c>
      <c r="B135" s="2881" t="s">
        <v>4872</v>
      </c>
      <c r="C135" s="2881"/>
      <c r="D135" s="2347"/>
      <c r="E135" s="2347"/>
      <c r="F135" s="365">
        <f>'905Hosp'!F136</f>
        <v>0</v>
      </c>
      <c r="H135" s="365" t="e">
        <f t="shared" si="22"/>
        <v>#N/A</v>
      </c>
      <c r="J135" s="249" t="e">
        <f t="shared" si="27"/>
        <v>#N/A</v>
      </c>
      <c r="L135" s="250" t="e">
        <f t="shared" si="28"/>
        <v>#N/A</v>
      </c>
      <c r="N135" s="2261" t="str">
        <f t="shared" si="21"/>
        <v xml:space="preserve"> </v>
      </c>
    </row>
    <row r="136" spans="1:15" ht="13.5" x14ac:dyDescent="0.25">
      <c r="A136" s="666">
        <v>1866</v>
      </c>
      <c r="B136" s="2881" t="s">
        <v>4873</v>
      </c>
      <c r="C136" s="2881"/>
      <c r="D136" s="2347"/>
      <c r="E136" s="2347"/>
      <c r="F136" s="365">
        <f>'905Hosp'!F137</f>
        <v>0</v>
      </c>
      <c r="H136" s="365" t="e">
        <f t="shared" si="22"/>
        <v>#N/A</v>
      </c>
      <c r="J136" s="249" t="e">
        <f t="shared" si="27"/>
        <v>#N/A</v>
      </c>
      <c r="L136" s="250" t="e">
        <f t="shared" si="28"/>
        <v>#N/A</v>
      </c>
      <c r="N136" s="2261" t="str">
        <f t="shared" si="21"/>
        <v xml:space="preserve"> </v>
      </c>
    </row>
    <row r="137" spans="1:15" ht="13.5" x14ac:dyDescent="0.25">
      <c r="B137" s="2881" t="s">
        <v>3479</v>
      </c>
      <c r="C137" s="2881"/>
      <c r="D137" s="2347"/>
      <c r="E137" s="2347"/>
      <c r="F137" s="238">
        <f>SUM(F102:F136)</f>
        <v>0</v>
      </c>
      <c r="H137" s="238" t="e">
        <f>SUM(H102:H136)</f>
        <v>#N/A</v>
      </c>
      <c r="J137" s="249" t="e">
        <f>F137-H137</f>
        <v>#N/A</v>
      </c>
      <c r="L137" s="250" t="e">
        <f>IF(H137=0,0,J137/H137)</f>
        <v>#N/A</v>
      </c>
    </row>
    <row r="138" spans="1:15" ht="13.5" x14ac:dyDescent="0.25">
      <c r="B138" s="2347"/>
      <c r="C138" s="2347"/>
      <c r="D138" s="2347"/>
      <c r="E138" s="2347"/>
      <c r="J138" s="249"/>
      <c r="L138" s="250"/>
    </row>
    <row r="139" spans="1:15" ht="13.5" x14ac:dyDescent="0.25">
      <c r="B139" s="239" t="s">
        <v>2728</v>
      </c>
      <c r="C139" s="239"/>
      <c r="D139" s="239"/>
      <c r="E139" s="239"/>
      <c r="J139" s="249"/>
      <c r="L139" s="250"/>
    </row>
    <row r="140" spans="1:15" x14ac:dyDescent="0.2">
      <c r="A140" s="191"/>
      <c r="B140" s="191" t="s">
        <v>2691</v>
      </c>
      <c r="C140" s="191"/>
      <c r="D140" s="191"/>
      <c r="E140" s="191"/>
    </row>
    <row r="141" spans="1:15" ht="13.5" x14ac:dyDescent="0.25">
      <c r="A141" s="191">
        <v>1940</v>
      </c>
      <c r="B141" s="2987" t="s">
        <v>2729</v>
      </c>
      <c r="C141" s="2987"/>
      <c r="D141" s="2375"/>
      <c r="E141" s="2375"/>
      <c r="F141" s="365">
        <f>'905Hosp'!F142</f>
        <v>0</v>
      </c>
      <c r="H141" s="365" t="e">
        <f t="shared" ref="H141:H162" si="29">INDEX(PY905Data,MATCH($A141,PY905Row,0),MATCH($C$5,PY905Col,0))</f>
        <v>#N/A</v>
      </c>
      <c r="J141" s="249" t="e">
        <f>F141-H141</f>
        <v>#N/A</v>
      </c>
      <c r="L141" s="250" t="e">
        <f>IF(H141=0,0,J141/H141)</f>
        <v>#N/A</v>
      </c>
      <c r="N141" s="2261" t="str">
        <f t="shared" ref="N141:N162" si="30">IF($F$88=0," ",IF(AND(ABS(J141)&gt;$L$3,ABS(L141)&gt;$L$2),"C",IF(AND(ABS(F141+H141)&gt;0,H141=0,ABS(J141)&gt;$L$3),"C"," ")))</f>
        <v xml:space="preserve"> </v>
      </c>
    </row>
    <row r="142" spans="1:15" ht="13.5" x14ac:dyDescent="0.25">
      <c r="A142" s="191">
        <v>1950</v>
      </c>
      <c r="B142" s="2987" t="s">
        <v>2694</v>
      </c>
      <c r="C142" s="2987"/>
      <c r="D142" s="2375"/>
      <c r="E142" s="2375"/>
      <c r="F142" s="365">
        <f>'905Hosp'!F143</f>
        <v>0</v>
      </c>
      <c r="H142" s="365" t="e">
        <f t="shared" si="29"/>
        <v>#N/A</v>
      </c>
      <c r="J142" s="249" t="e">
        <f t="shared" ref="J142:J165" si="31">F142-H142</f>
        <v>#N/A</v>
      </c>
      <c r="L142" s="250" t="e">
        <f t="shared" ref="L142:L165" si="32">IF(H142=0,0,J142/H142)</f>
        <v>#N/A</v>
      </c>
      <c r="N142" s="2261" t="str">
        <f t="shared" si="30"/>
        <v xml:space="preserve"> </v>
      </c>
    </row>
    <row r="143" spans="1:15" ht="13.5" x14ac:dyDescent="0.25">
      <c r="A143" s="191">
        <v>1960</v>
      </c>
      <c r="B143" s="2987" t="s">
        <v>2695</v>
      </c>
      <c r="C143" s="2987"/>
      <c r="D143" s="2375"/>
      <c r="E143" s="2375"/>
      <c r="F143" s="365">
        <f>'905Hosp'!F144</f>
        <v>0</v>
      </c>
      <c r="H143" s="365" t="e">
        <f t="shared" si="29"/>
        <v>#N/A</v>
      </c>
      <c r="J143" s="249" t="e">
        <f t="shared" si="31"/>
        <v>#N/A</v>
      </c>
      <c r="L143" s="250" t="e">
        <f t="shared" si="32"/>
        <v>#N/A</v>
      </c>
      <c r="N143" s="2261" t="str">
        <f t="shared" si="30"/>
        <v xml:space="preserve"> </v>
      </c>
    </row>
    <row r="144" spans="1:15" ht="13.5" x14ac:dyDescent="0.25">
      <c r="A144" s="666">
        <v>2020</v>
      </c>
      <c r="B144" s="2881" t="s">
        <v>4874</v>
      </c>
      <c r="C144" s="2881"/>
      <c r="D144" s="2347"/>
      <c r="E144" s="2347"/>
      <c r="F144" s="365">
        <f>'905Hosp'!F145</f>
        <v>0</v>
      </c>
      <c r="H144" s="365" t="e">
        <f t="shared" si="29"/>
        <v>#N/A</v>
      </c>
      <c r="J144" s="249" t="e">
        <f t="shared" si="31"/>
        <v>#N/A</v>
      </c>
      <c r="L144" s="250" t="e">
        <f t="shared" si="32"/>
        <v>#N/A</v>
      </c>
      <c r="N144" s="2261" t="str">
        <f t="shared" si="30"/>
        <v xml:space="preserve"> </v>
      </c>
    </row>
    <row r="145" spans="1:15" ht="13.5" x14ac:dyDescent="0.25">
      <c r="A145" s="191">
        <v>2097</v>
      </c>
      <c r="B145" s="2881" t="s">
        <v>2706</v>
      </c>
      <c r="C145" s="2881"/>
      <c r="D145" s="2347"/>
      <c r="E145" s="2347"/>
      <c r="F145" s="365">
        <f>'905Hosp'!F146</f>
        <v>0</v>
      </c>
      <c r="H145" s="365" t="e">
        <f t="shared" si="29"/>
        <v>#N/A</v>
      </c>
      <c r="J145" s="249" t="e">
        <f>F145-H145</f>
        <v>#N/A</v>
      </c>
      <c r="L145" s="250" t="e">
        <f>IF(H145=0,0,J145/H145)</f>
        <v>#N/A</v>
      </c>
      <c r="N145" s="2261" t="str">
        <f t="shared" si="30"/>
        <v xml:space="preserve"> </v>
      </c>
    </row>
    <row r="146" spans="1:15" ht="13.5" x14ac:dyDescent="0.25">
      <c r="A146" s="191">
        <v>2070</v>
      </c>
      <c r="B146" s="2881" t="s">
        <v>2709</v>
      </c>
      <c r="C146" s="2881"/>
      <c r="D146" s="2347"/>
      <c r="E146" s="2347"/>
      <c r="F146" s="365">
        <f>'905Hosp'!F147</f>
        <v>0</v>
      </c>
      <c r="H146" s="365" t="e">
        <f t="shared" si="29"/>
        <v>#N/A</v>
      </c>
      <c r="J146" s="249" t="e">
        <f t="shared" si="31"/>
        <v>#N/A</v>
      </c>
      <c r="L146" s="250" t="e">
        <f t="shared" si="32"/>
        <v>#N/A</v>
      </c>
      <c r="N146" s="2261" t="str">
        <f t="shared" si="30"/>
        <v xml:space="preserve"> </v>
      </c>
    </row>
    <row r="147" spans="1:15" ht="13.5" x14ac:dyDescent="0.25">
      <c r="A147" s="191">
        <v>2080</v>
      </c>
      <c r="B147" s="2881" t="s">
        <v>2710</v>
      </c>
      <c r="C147" s="2881"/>
      <c r="D147" s="2347"/>
      <c r="E147" s="2347"/>
      <c r="F147" s="365">
        <f>'905Hosp'!F148</f>
        <v>0</v>
      </c>
      <c r="H147" s="365" t="e">
        <f t="shared" si="29"/>
        <v>#N/A</v>
      </c>
      <c r="J147" s="249" t="e">
        <f t="shared" si="31"/>
        <v>#N/A</v>
      </c>
      <c r="L147" s="250" t="e">
        <f t="shared" si="32"/>
        <v>#N/A</v>
      </c>
      <c r="N147" s="2261" t="str">
        <f t="shared" si="30"/>
        <v xml:space="preserve"> </v>
      </c>
    </row>
    <row r="148" spans="1:15" ht="13.5" x14ac:dyDescent="0.25">
      <c r="A148" s="191">
        <v>2024</v>
      </c>
      <c r="B148" s="2881" t="s">
        <v>2711</v>
      </c>
      <c r="C148" s="2881"/>
      <c r="D148" s="2347"/>
      <c r="E148" s="2347"/>
      <c r="F148" s="365">
        <f>'905Hosp'!F149</f>
        <v>0</v>
      </c>
      <c r="H148" s="365" t="e">
        <f t="shared" si="29"/>
        <v>#N/A</v>
      </c>
      <c r="J148" s="249" t="e">
        <f>F148-H148</f>
        <v>#N/A</v>
      </c>
      <c r="L148" s="250" t="e">
        <f>IF(H148=0,0,J148/H148)</f>
        <v>#N/A</v>
      </c>
      <c r="N148" s="2261" t="str">
        <f t="shared" si="30"/>
        <v xml:space="preserve"> </v>
      </c>
    </row>
    <row r="149" spans="1:15" ht="13.5" x14ac:dyDescent="0.25">
      <c r="A149" s="666">
        <v>2035</v>
      </c>
      <c r="B149" s="2881" t="s">
        <v>1024</v>
      </c>
      <c r="C149" s="2881"/>
      <c r="D149" s="2347"/>
      <c r="E149" s="2347"/>
      <c r="F149" s="365">
        <f>'905Hosp'!F150</f>
        <v>0</v>
      </c>
      <c r="H149" s="365" t="e">
        <f t="shared" si="29"/>
        <v>#N/A</v>
      </c>
      <c r="J149" s="249" t="e">
        <f t="shared" si="31"/>
        <v>#N/A</v>
      </c>
      <c r="L149" s="250" t="e">
        <f t="shared" si="32"/>
        <v>#N/A</v>
      </c>
      <c r="N149" s="2261" t="str">
        <f t="shared" si="30"/>
        <v xml:space="preserve"> </v>
      </c>
    </row>
    <row r="150" spans="1:15" ht="13.5" x14ac:dyDescent="0.25">
      <c r="A150" s="2075">
        <v>2040</v>
      </c>
      <c r="B150" s="2946" t="s">
        <v>4915</v>
      </c>
      <c r="C150" s="2946"/>
      <c r="D150" s="2347"/>
      <c r="E150" s="2347"/>
      <c r="F150" s="365">
        <f>'905Hosp'!F151</f>
        <v>0</v>
      </c>
      <c r="H150" s="365" t="e">
        <f t="shared" si="29"/>
        <v>#N/A</v>
      </c>
      <c r="J150" s="249" t="e">
        <f t="shared" si="31"/>
        <v>#N/A</v>
      </c>
      <c r="L150" s="250" t="e">
        <f t="shared" si="32"/>
        <v>#N/A</v>
      </c>
      <c r="N150" s="2261" t="str">
        <f t="shared" si="30"/>
        <v xml:space="preserve"> </v>
      </c>
    </row>
    <row r="151" spans="1:15" ht="13.5" x14ac:dyDescent="0.25">
      <c r="A151" s="2075">
        <v>2046</v>
      </c>
      <c r="B151" s="2989" t="s">
        <v>2733</v>
      </c>
      <c r="C151" s="2989"/>
      <c r="D151" s="191"/>
      <c r="E151" s="191"/>
      <c r="F151" s="365">
        <f>'905Hosp'!F152</f>
        <v>0</v>
      </c>
      <c r="H151" s="365" t="e">
        <f t="shared" si="29"/>
        <v>#N/A</v>
      </c>
      <c r="J151" s="249" t="e">
        <f t="shared" ref="J151" si="33">F151-H151</f>
        <v>#N/A</v>
      </c>
      <c r="L151" s="250" t="e">
        <f t="shared" ref="L151" si="34">IF(H151=0,0,J151/H151)</f>
        <v>#N/A</v>
      </c>
      <c r="N151" s="2261"/>
    </row>
    <row r="152" spans="1:15" ht="13.5" x14ac:dyDescent="0.25">
      <c r="A152" s="666">
        <v>2050</v>
      </c>
      <c r="B152" s="2881" t="s">
        <v>4876</v>
      </c>
      <c r="C152" s="2881"/>
      <c r="D152" s="2347"/>
      <c r="E152" s="2347"/>
      <c r="F152" s="365">
        <f>'905Hosp'!F153</f>
        <v>0</v>
      </c>
      <c r="H152" s="365" t="e">
        <f t="shared" si="29"/>
        <v>#N/A</v>
      </c>
      <c r="J152" s="249" t="e">
        <f t="shared" si="31"/>
        <v>#N/A</v>
      </c>
      <c r="L152" s="250" t="e">
        <f t="shared" si="32"/>
        <v>#N/A</v>
      </c>
      <c r="N152" s="2261" t="str">
        <f t="shared" si="30"/>
        <v xml:space="preserve"> </v>
      </c>
    </row>
    <row r="153" spans="1:15" ht="13.5" x14ac:dyDescent="0.25">
      <c r="A153" s="666">
        <v>2060</v>
      </c>
      <c r="B153" s="2881" t="s">
        <v>1021</v>
      </c>
      <c r="C153" s="2881"/>
      <c r="D153" s="2347"/>
      <c r="E153" s="2347"/>
      <c r="F153" s="365">
        <f>'905Hosp'!F154</f>
        <v>0</v>
      </c>
      <c r="H153" s="365" t="e">
        <f t="shared" si="29"/>
        <v>#N/A</v>
      </c>
      <c r="J153" s="249" t="e">
        <f t="shared" si="31"/>
        <v>#N/A</v>
      </c>
      <c r="L153" s="250" t="e">
        <f t="shared" si="32"/>
        <v>#N/A</v>
      </c>
      <c r="N153" s="2261" t="str">
        <f t="shared" si="30"/>
        <v xml:space="preserve"> </v>
      </c>
    </row>
    <row r="154" spans="1:15" ht="13.5" x14ac:dyDescent="0.25">
      <c r="A154" s="666">
        <v>2061</v>
      </c>
      <c r="B154" s="2881" t="s">
        <v>1023</v>
      </c>
      <c r="C154" s="2881"/>
      <c r="D154" s="2347"/>
      <c r="E154" s="2347"/>
      <c r="F154" s="365">
        <f>'905Hosp'!F155</f>
        <v>0</v>
      </c>
      <c r="H154" s="365" t="e">
        <f t="shared" si="29"/>
        <v>#N/A</v>
      </c>
      <c r="J154" s="249" t="e">
        <f t="shared" ref="J154:J162" si="35">F154-H154</f>
        <v>#N/A</v>
      </c>
      <c r="L154" s="250" t="e">
        <f t="shared" ref="L154:L162" si="36">IF(H154=0,0,J154/H154)</f>
        <v>#N/A</v>
      </c>
      <c r="N154" s="2261" t="str">
        <f t="shared" si="30"/>
        <v xml:space="preserve"> </v>
      </c>
    </row>
    <row r="155" spans="1:15" ht="13.5" x14ac:dyDescent="0.25">
      <c r="A155" s="666">
        <v>2045</v>
      </c>
      <c r="B155" s="2881" t="s">
        <v>1047</v>
      </c>
      <c r="C155" s="2881"/>
      <c r="D155" s="2347"/>
      <c r="E155" s="2347"/>
      <c r="F155" s="365">
        <f>'905Hosp'!F156</f>
        <v>0</v>
      </c>
      <c r="H155" s="365" t="e">
        <f t="shared" si="29"/>
        <v>#N/A</v>
      </c>
      <c r="J155" s="249" t="e">
        <f t="shared" si="35"/>
        <v>#N/A</v>
      </c>
      <c r="L155" s="250" t="e">
        <f t="shared" si="36"/>
        <v>#N/A</v>
      </c>
      <c r="N155" s="2261" t="str">
        <f t="shared" si="30"/>
        <v xml:space="preserve"> </v>
      </c>
    </row>
    <row r="156" spans="1:15" ht="13.5" x14ac:dyDescent="0.25">
      <c r="A156" s="666">
        <v>2085</v>
      </c>
      <c r="B156" s="2881" t="s">
        <v>1027</v>
      </c>
      <c r="C156" s="2881"/>
      <c r="D156" s="2347"/>
      <c r="E156" s="2347"/>
      <c r="F156" s="365">
        <f>'905Hosp'!F157</f>
        <v>0</v>
      </c>
      <c r="H156" s="365" t="e">
        <f t="shared" si="29"/>
        <v>#N/A</v>
      </c>
      <c r="J156" s="249" t="e">
        <f t="shared" si="35"/>
        <v>#N/A</v>
      </c>
      <c r="L156" s="250" t="e">
        <f t="shared" si="36"/>
        <v>#N/A</v>
      </c>
      <c r="N156" s="2261" t="str">
        <f t="shared" si="30"/>
        <v xml:space="preserve"> </v>
      </c>
    </row>
    <row r="157" spans="1:15" ht="13.5" x14ac:dyDescent="0.25">
      <c r="A157" s="666">
        <v>2087</v>
      </c>
      <c r="B157" s="2881" t="s">
        <v>1028</v>
      </c>
      <c r="C157" s="2881"/>
      <c r="D157" s="2347"/>
      <c r="E157" s="2347"/>
      <c r="F157" s="365">
        <f>'905Hosp'!F158</f>
        <v>0</v>
      </c>
      <c r="H157" s="365" t="e">
        <f t="shared" si="29"/>
        <v>#N/A</v>
      </c>
      <c r="J157" s="249" t="e">
        <f>F157-H157</f>
        <v>#N/A</v>
      </c>
      <c r="L157" s="250" t="e">
        <f>IF(H157=0,0,J157/H157)</f>
        <v>#N/A</v>
      </c>
      <c r="N157" s="2261" t="str">
        <f>IF($F$88=0," ",IF(AND(ABS(J157)&gt;$L$3,ABS(L157)&gt;$L$2),"C",IF(AND(ABS(F157+H157)&gt;0,H157=0,ABS(J157)&gt;$L$3),"C"," ")))</f>
        <v xml:space="preserve"> </v>
      </c>
    </row>
    <row r="158" spans="1:15" ht="13.5" x14ac:dyDescent="0.25">
      <c r="A158" s="666">
        <v>2090</v>
      </c>
      <c r="B158" s="2881" t="s">
        <v>4877</v>
      </c>
      <c r="C158" s="2881"/>
      <c r="D158" s="2881"/>
      <c r="E158" s="2881"/>
      <c r="F158" s="365">
        <f>'905Hosp'!F159</f>
        <v>0</v>
      </c>
      <c r="H158" s="365" t="e">
        <f t="shared" si="29"/>
        <v>#N/A</v>
      </c>
      <c r="J158" s="249" t="e">
        <f t="shared" si="35"/>
        <v>#N/A</v>
      </c>
      <c r="L158" s="250" t="e">
        <f t="shared" si="36"/>
        <v>#N/A</v>
      </c>
      <c r="N158" s="2261" t="str">
        <f t="shared" si="30"/>
        <v xml:space="preserve"> </v>
      </c>
    </row>
    <row r="159" spans="1:15" ht="13.5" x14ac:dyDescent="0.25">
      <c r="A159" s="666">
        <v>2098</v>
      </c>
      <c r="B159" s="2881" t="s">
        <v>4878</v>
      </c>
      <c r="C159" s="2881"/>
      <c r="D159" s="2881"/>
      <c r="E159" s="2881"/>
      <c r="F159" s="365">
        <f>'905Hosp'!F160</f>
        <v>0</v>
      </c>
      <c r="H159" s="365" t="e">
        <f t="shared" si="29"/>
        <v>#N/A</v>
      </c>
      <c r="J159" s="249" t="e">
        <f>F159-H159</f>
        <v>#N/A</v>
      </c>
      <c r="L159" s="250" t="e">
        <f>IF(H159=0,0,J159/H159)</f>
        <v>#N/A</v>
      </c>
      <c r="N159" s="2261" t="str">
        <f t="shared" si="30"/>
        <v xml:space="preserve"> </v>
      </c>
    </row>
    <row r="160" spans="1:15" ht="13.5" x14ac:dyDescent="0.25">
      <c r="A160" s="666">
        <v>2099</v>
      </c>
      <c r="B160" s="2881" t="s">
        <v>2742</v>
      </c>
      <c r="C160" s="2881"/>
      <c r="D160" s="2347"/>
      <c r="E160" s="2347"/>
      <c r="F160" s="365">
        <f>'905Hosp'!F161</f>
        <v>0</v>
      </c>
      <c r="H160" s="365" t="e">
        <f t="shared" si="29"/>
        <v>#N/A</v>
      </c>
      <c r="J160" s="249" t="e">
        <f>F160-H160</f>
        <v>#N/A</v>
      </c>
      <c r="L160" s="250" t="e">
        <f>IF(H160=0,0,J160/H160)</f>
        <v>#N/A</v>
      </c>
      <c r="N160" s="2261" t="str">
        <f>IF($F$88=0," ",IF(AND(ABS(J160)&gt;$L$3,ABS(L160)&gt;$L$2),"C",IF(AND(ABS(F160+H160)&gt;0,H160=0,ABS(J160)&gt;$L$3),"C"," ")))</f>
        <v xml:space="preserve"> </v>
      </c>
      <c r="O160" s="1021"/>
    </row>
    <row r="161" spans="1:19" ht="13.5" x14ac:dyDescent="0.25">
      <c r="A161" s="666">
        <v>2095</v>
      </c>
      <c r="B161" s="2881" t="s">
        <v>1052</v>
      </c>
      <c r="C161" s="2881"/>
      <c r="D161" s="2347"/>
      <c r="E161" s="2347"/>
      <c r="F161" s="365">
        <f>'905Hosp'!F162</f>
        <v>0</v>
      </c>
      <c r="H161" s="365" t="e">
        <f t="shared" si="29"/>
        <v>#N/A</v>
      </c>
      <c r="J161" s="249" t="e">
        <f t="shared" si="35"/>
        <v>#N/A</v>
      </c>
      <c r="L161" s="250" t="e">
        <f t="shared" si="36"/>
        <v>#N/A</v>
      </c>
      <c r="N161" s="2261" t="str">
        <f t="shared" si="30"/>
        <v xml:space="preserve"> </v>
      </c>
    </row>
    <row r="162" spans="1:19" ht="13.5" x14ac:dyDescent="0.25">
      <c r="A162" s="666">
        <v>2096</v>
      </c>
      <c r="B162" s="2881" t="s">
        <v>4879</v>
      </c>
      <c r="C162" s="2881"/>
      <c r="D162" s="2347"/>
      <c r="E162" s="2347"/>
      <c r="F162" s="365">
        <f>'905Hosp'!F163</f>
        <v>0</v>
      </c>
      <c r="H162" s="365" t="e">
        <f t="shared" si="29"/>
        <v>#N/A</v>
      </c>
      <c r="J162" s="249" t="e">
        <f t="shared" si="35"/>
        <v>#N/A</v>
      </c>
      <c r="L162" s="250" t="e">
        <f t="shared" si="36"/>
        <v>#N/A</v>
      </c>
      <c r="N162" s="2261" t="str">
        <f t="shared" si="30"/>
        <v xml:space="preserve"> </v>
      </c>
    </row>
    <row r="163" spans="1:19" ht="13.5" x14ac:dyDescent="0.25">
      <c r="B163" s="2881" t="s">
        <v>4880</v>
      </c>
      <c r="C163" s="2881"/>
      <c r="D163" s="2347"/>
      <c r="E163" s="2347"/>
      <c r="F163" s="238">
        <f>SUM(F140:F162)</f>
        <v>0</v>
      </c>
      <c r="H163" s="238" t="e">
        <f>SUM(H140:H162)</f>
        <v>#N/A</v>
      </c>
      <c r="J163" s="249" t="e">
        <f t="shared" si="31"/>
        <v>#N/A</v>
      </c>
      <c r="L163" s="250" t="e">
        <f t="shared" si="32"/>
        <v>#N/A</v>
      </c>
    </row>
    <row r="164" spans="1:19" ht="13.5" x14ac:dyDescent="0.25">
      <c r="B164" s="2347"/>
      <c r="C164" s="2347"/>
      <c r="D164" s="2347"/>
      <c r="E164" s="2347"/>
      <c r="F164" s="240"/>
      <c r="H164" s="240"/>
      <c r="J164" s="249"/>
      <c r="L164" s="250"/>
    </row>
    <row r="165" spans="1:19" ht="13.5" x14ac:dyDescent="0.25">
      <c r="B165" s="2881" t="s">
        <v>1746</v>
      </c>
      <c r="C165" s="2881"/>
      <c r="D165" s="2347"/>
      <c r="E165" s="2347"/>
      <c r="F165" s="240">
        <f>F137+F163</f>
        <v>0</v>
      </c>
      <c r="H165" s="240" t="e">
        <f>H137+H163</f>
        <v>#N/A</v>
      </c>
      <c r="J165" s="249" t="e">
        <f t="shared" si="31"/>
        <v>#N/A</v>
      </c>
      <c r="L165" s="250" t="e">
        <f t="shared" si="32"/>
        <v>#N/A</v>
      </c>
    </row>
    <row r="166" spans="1:19" ht="7.5" customHeight="1" x14ac:dyDescent="0.25">
      <c r="B166" s="2347"/>
      <c r="C166" s="2347"/>
      <c r="D166" s="2347"/>
      <c r="E166" s="2347"/>
      <c r="F166" s="370"/>
      <c r="H166" s="370"/>
      <c r="J166" s="249"/>
      <c r="L166" s="250"/>
    </row>
    <row r="167" spans="1:19" ht="13.5" x14ac:dyDescent="0.25">
      <c r="B167" s="2377" t="s">
        <v>2747</v>
      </c>
      <c r="F167"/>
      <c r="H167" s="370"/>
      <c r="J167" s="249"/>
      <c r="L167" s="250"/>
    </row>
    <row r="168" spans="1:19" ht="13.5" x14ac:dyDescent="0.25">
      <c r="A168" s="191">
        <v>1764</v>
      </c>
      <c r="B168" s="2881" t="s">
        <v>4916</v>
      </c>
      <c r="C168" s="2881"/>
      <c r="D168" s="2881"/>
      <c r="E168" s="2881"/>
      <c r="F168" s="365">
        <f>'905Hosp'!F169</f>
        <v>0</v>
      </c>
      <c r="G168" s="2347"/>
      <c r="H168" s="365" t="e">
        <f t="shared" ref="H168:H177" si="37">INDEX(PY905Data,MATCH($A168,PY905Row,0),MATCH($C$5,PY905Col,0))</f>
        <v>#N/A</v>
      </c>
      <c r="J168" s="249" t="e">
        <f t="shared" ref="J168:J178" si="38">F168-H168</f>
        <v>#N/A</v>
      </c>
      <c r="L168" s="250" t="e">
        <f t="shared" ref="L168:L178" si="39">IF(H168=0,0,J168/H168)</f>
        <v>#N/A</v>
      </c>
      <c r="N168" s="2261" t="str">
        <f t="shared" ref="N168:N177" si="40">IF($F$88=0," ",IF(AND(ABS(J168)&gt;$L$3,ABS(L168)&gt;$L$2),"C",IF(AND(ABS(F168+H168)&gt;0,H168=0,ABS(J168)&gt;$L$3),"C"," ")))</f>
        <v xml:space="preserve"> </v>
      </c>
    </row>
    <row r="169" spans="1:19" ht="13.5" x14ac:dyDescent="0.25">
      <c r="A169" s="191">
        <v>2026</v>
      </c>
      <c r="B169" s="2946" t="s">
        <v>4881</v>
      </c>
      <c r="C169" s="2946"/>
      <c r="D169" s="2946"/>
      <c r="E169" s="2946"/>
      <c r="F169" s="365">
        <f>'905Hosp'!F170</f>
        <v>0</v>
      </c>
      <c r="G169" s="2347"/>
      <c r="H169" s="365" t="e">
        <f t="shared" si="37"/>
        <v>#N/A</v>
      </c>
      <c r="J169" s="249" t="e">
        <f t="shared" si="38"/>
        <v>#N/A</v>
      </c>
      <c r="L169" s="250" t="e">
        <f t="shared" si="39"/>
        <v>#N/A</v>
      </c>
      <c r="N169" s="2261" t="str">
        <f t="shared" si="40"/>
        <v xml:space="preserve"> </v>
      </c>
    </row>
    <row r="170" spans="1:19" ht="13.5" x14ac:dyDescent="0.25">
      <c r="A170" s="191">
        <v>1766</v>
      </c>
      <c r="B170" s="2881" t="s">
        <v>2750</v>
      </c>
      <c r="C170" s="2881"/>
      <c r="D170" s="2881"/>
      <c r="E170" s="2881"/>
      <c r="F170" s="365">
        <f>'905Hosp'!F171</f>
        <v>0</v>
      </c>
      <c r="G170" s="2347"/>
      <c r="H170" s="365" t="e">
        <f t="shared" si="37"/>
        <v>#N/A</v>
      </c>
      <c r="J170" s="249" t="e">
        <f t="shared" si="38"/>
        <v>#N/A</v>
      </c>
      <c r="L170" s="250" t="e">
        <f t="shared" si="39"/>
        <v>#N/A</v>
      </c>
      <c r="N170" s="2261" t="str">
        <f t="shared" si="40"/>
        <v xml:space="preserve"> </v>
      </c>
      <c r="P170" s="2955"/>
      <c r="Q170" s="2955"/>
      <c r="R170" s="2347"/>
      <c r="S170" s="2347"/>
    </row>
    <row r="171" spans="1:19" ht="13.5" x14ac:dyDescent="0.25">
      <c r="A171" s="191">
        <v>1768</v>
      </c>
      <c r="B171" s="2881" t="s">
        <v>2107</v>
      </c>
      <c r="C171" s="2881"/>
      <c r="D171" s="2881"/>
      <c r="E171" s="2881"/>
      <c r="F171" s="365">
        <f>'905Hosp'!F172</f>
        <v>0</v>
      </c>
      <c r="G171" s="2347"/>
      <c r="H171" s="365" t="e">
        <f t="shared" si="37"/>
        <v>#N/A</v>
      </c>
      <c r="J171" s="249" t="e">
        <f t="shared" si="38"/>
        <v>#N/A</v>
      </c>
      <c r="L171" s="250" t="e">
        <f t="shared" si="39"/>
        <v>#N/A</v>
      </c>
      <c r="N171" s="2261" t="str">
        <f t="shared" si="40"/>
        <v xml:space="preserve"> </v>
      </c>
      <c r="P171" s="2955"/>
      <c r="Q171" s="2955"/>
      <c r="R171" s="2347"/>
      <c r="S171" s="2347"/>
    </row>
    <row r="172" spans="1:19" ht="13.5" x14ac:dyDescent="0.25">
      <c r="A172" s="191">
        <v>1765</v>
      </c>
      <c r="B172" s="2881" t="s">
        <v>2108</v>
      </c>
      <c r="C172" s="2881"/>
      <c r="D172" s="2881"/>
      <c r="E172" s="2881"/>
      <c r="F172" s="365">
        <f>'905Hosp'!F173</f>
        <v>0</v>
      </c>
      <c r="G172" s="2347"/>
      <c r="H172" s="365" t="e">
        <f t="shared" si="37"/>
        <v>#N/A</v>
      </c>
      <c r="J172" s="249" t="e">
        <f>F172-H172</f>
        <v>#N/A</v>
      </c>
      <c r="L172" s="250" t="e">
        <f>IF(H172=0,0,J172/H172)</f>
        <v>#N/A</v>
      </c>
      <c r="N172" s="2261" t="str">
        <f t="shared" si="40"/>
        <v xml:space="preserve"> </v>
      </c>
      <c r="P172" s="2955"/>
      <c r="Q172" s="2955"/>
      <c r="R172" s="2347"/>
      <c r="S172" s="2347"/>
    </row>
    <row r="173" spans="1:19" ht="13.5" x14ac:dyDescent="0.25">
      <c r="A173" s="191">
        <v>1772</v>
      </c>
      <c r="B173" s="2881" t="s">
        <v>2751</v>
      </c>
      <c r="C173" s="2881"/>
      <c r="D173" s="2881"/>
      <c r="E173" s="2881"/>
      <c r="F173" s="365">
        <f>'905Hosp'!F174</f>
        <v>0</v>
      </c>
      <c r="G173" s="2347"/>
      <c r="H173" s="365" t="e">
        <f t="shared" si="37"/>
        <v>#N/A</v>
      </c>
      <c r="J173" s="249" t="e">
        <f>F173-H173</f>
        <v>#N/A</v>
      </c>
      <c r="L173" s="250" t="e">
        <f>IF(H173=0,0,J173/H173)</f>
        <v>#N/A</v>
      </c>
      <c r="N173" s="2261" t="str">
        <f>IF($F$88=0," ",IF(AND(ABS(J173)&gt;$L$3,ABS(L173)&gt;$L$2),"C",IF(AND(ABS(F173+H173)&gt;0,H173=0,ABS(J173)&gt;$L$3),"C"," ")))</f>
        <v xml:space="preserve"> </v>
      </c>
      <c r="O173" s="1021"/>
      <c r="P173" s="2955"/>
      <c r="Q173" s="2955"/>
      <c r="R173" s="2347"/>
      <c r="S173" s="2347"/>
    </row>
    <row r="174" spans="1:19" ht="13.5" x14ac:dyDescent="0.25">
      <c r="A174" s="191">
        <v>1767</v>
      </c>
      <c r="B174" s="2881" t="s">
        <v>2109</v>
      </c>
      <c r="C174" s="2881"/>
      <c r="D174" s="2881"/>
      <c r="E174" s="2881"/>
      <c r="F174" s="365">
        <f>'905Hosp'!F175</f>
        <v>0</v>
      </c>
      <c r="G174" s="2347"/>
      <c r="H174" s="365" t="e">
        <f t="shared" si="37"/>
        <v>#N/A</v>
      </c>
      <c r="J174" s="249" t="e">
        <f>F174-H174</f>
        <v>#N/A</v>
      </c>
      <c r="L174" s="250" t="e">
        <f>IF(H174=0,0,J174/H174)</f>
        <v>#N/A</v>
      </c>
      <c r="N174" s="2261" t="str">
        <f>IF($F$88=0," ",IF(AND(ABS(J174)&gt;$L$3,ABS(L174)&gt;$L$2),"C",IF(AND(ABS(F174+H174)&gt;0,H174=0,ABS(J174)&gt;$L$3),"C"," ")))</f>
        <v xml:space="preserve"> </v>
      </c>
      <c r="P174" s="2955"/>
      <c r="Q174" s="2955"/>
      <c r="R174" s="2347"/>
      <c r="S174" s="2347"/>
    </row>
    <row r="175" spans="1:19" ht="13.5" x14ac:dyDescent="0.25">
      <c r="A175" s="191">
        <v>1771</v>
      </c>
      <c r="B175" s="2881" t="s">
        <v>2110</v>
      </c>
      <c r="C175" s="2881"/>
      <c r="D175" s="2881"/>
      <c r="E175" s="2881"/>
      <c r="F175" s="365">
        <f>'905Hosp'!F176</f>
        <v>0</v>
      </c>
      <c r="G175" s="2347"/>
      <c r="H175" s="365" t="e">
        <f t="shared" si="37"/>
        <v>#N/A</v>
      </c>
      <c r="J175" s="249" t="e">
        <f>F175-H175</f>
        <v>#N/A</v>
      </c>
      <c r="L175" s="250" t="e">
        <f>IF(H175=0,0,J175/H175)</f>
        <v>#N/A</v>
      </c>
      <c r="N175" s="2261" t="str">
        <f t="shared" si="40"/>
        <v xml:space="preserve"> </v>
      </c>
      <c r="O175" s="1021"/>
      <c r="P175" s="2955"/>
      <c r="Q175" s="2955"/>
      <c r="R175" s="2347"/>
      <c r="S175" s="2347"/>
    </row>
    <row r="176" spans="1:19" ht="13.5" x14ac:dyDescent="0.25">
      <c r="A176" s="191">
        <v>1773</v>
      </c>
      <c r="B176" s="2881" t="s">
        <v>2752</v>
      </c>
      <c r="C176" s="2881"/>
      <c r="D176" s="2881"/>
      <c r="E176" s="2881"/>
      <c r="F176" s="365">
        <f>'905Hosp'!F177</f>
        <v>0</v>
      </c>
      <c r="G176" s="2347"/>
      <c r="H176" s="365" t="e">
        <f t="shared" si="37"/>
        <v>#N/A</v>
      </c>
      <c r="J176" s="249" t="e">
        <f>F176-H176</f>
        <v>#N/A</v>
      </c>
      <c r="L176" s="250" t="e">
        <f>IF(H176=0,0,J176/H176)</f>
        <v>#N/A</v>
      </c>
      <c r="N176" s="2261" t="str">
        <f t="shared" si="40"/>
        <v xml:space="preserve"> </v>
      </c>
      <c r="O176" s="1021"/>
      <c r="P176" s="2368"/>
      <c r="Q176" s="2368"/>
      <c r="R176" s="2347"/>
      <c r="S176" s="2347"/>
    </row>
    <row r="177" spans="1:19" ht="13.5" x14ac:dyDescent="0.25">
      <c r="A177" s="191">
        <v>1769</v>
      </c>
      <c r="B177" s="2881" t="s">
        <v>2112</v>
      </c>
      <c r="C177" s="2881"/>
      <c r="D177" s="2881"/>
      <c r="E177" s="2881"/>
      <c r="F177" s="367">
        <f>'905Hosp'!F178</f>
        <v>0</v>
      </c>
      <c r="G177" s="2347"/>
      <c r="H177" s="367" t="e">
        <f t="shared" si="37"/>
        <v>#N/A</v>
      </c>
      <c r="J177" s="249" t="e">
        <f t="shared" si="38"/>
        <v>#N/A</v>
      </c>
      <c r="L177" s="250" t="e">
        <f t="shared" si="39"/>
        <v>#N/A</v>
      </c>
      <c r="N177" s="2261" t="str">
        <f t="shared" si="40"/>
        <v xml:space="preserve"> </v>
      </c>
      <c r="P177" s="2955"/>
      <c r="Q177" s="2955"/>
      <c r="R177" s="2347"/>
      <c r="S177" s="2347"/>
    </row>
    <row r="178" spans="1:19" ht="13.5" x14ac:dyDescent="0.25">
      <c r="B178" s="2881" t="s">
        <v>2753</v>
      </c>
      <c r="C178" s="2881"/>
      <c r="D178" s="2347"/>
      <c r="E178" s="2347"/>
      <c r="F178" s="240">
        <f>SUM(F168:F177)</f>
        <v>0</v>
      </c>
      <c r="G178" s="2347"/>
      <c r="H178" s="240" t="e">
        <f>SUM(H168:H177)</f>
        <v>#N/A</v>
      </c>
      <c r="J178" s="249" t="e">
        <f t="shared" si="38"/>
        <v>#N/A</v>
      </c>
      <c r="L178" s="250" t="e">
        <f t="shared" si="39"/>
        <v>#N/A</v>
      </c>
    </row>
    <row r="179" spans="1:19" ht="14.25" thickBot="1" x14ac:dyDescent="0.3">
      <c r="B179" s="2367"/>
      <c r="C179" s="2367"/>
      <c r="D179" s="2367"/>
      <c r="E179" s="2367"/>
      <c r="F179" s="2367"/>
      <c r="G179" s="2367"/>
      <c r="J179" s="249"/>
      <c r="L179" s="250"/>
    </row>
    <row r="180" spans="1:19" ht="13.5" thickBot="1" x14ac:dyDescent="0.25">
      <c r="B180" s="234" t="s">
        <v>1666</v>
      </c>
      <c r="F180" s="982" t="s">
        <v>4882</v>
      </c>
      <c r="G180" s="983"/>
      <c r="H180" s="984"/>
      <c r="I180" s="983"/>
      <c r="J180" s="983"/>
      <c r="K180" s="983"/>
      <c r="L180" s="985"/>
    </row>
    <row r="181" spans="1:19" ht="13.5" x14ac:dyDescent="0.25">
      <c r="A181" s="191">
        <v>2130</v>
      </c>
      <c r="B181" s="2881" t="s">
        <v>4883</v>
      </c>
      <c r="C181" s="2881"/>
      <c r="D181" s="2347"/>
      <c r="E181" s="2347"/>
      <c r="F181" s="365">
        <f>'905Hosp'!F182</f>
        <v>0</v>
      </c>
      <c r="H181" s="365" t="e">
        <f>INDEX(PY905Data,MATCH($A181,PY905Row,0),MATCH($C$5,PY905Col,0))</f>
        <v>#N/A</v>
      </c>
      <c r="J181" s="249" t="e">
        <f>F181-H181</f>
        <v>#N/A</v>
      </c>
      <c r="L181" s="250" t="e">
        <f>IF(H181=0,0,J181/H181)</f>
        <v>#N/A</v>
      </c>
    </row>
    <row r="182" spans="1:19" ht="13.5" x14ac:dyDescent="0.25">
      <c r="A182" s="187"/>
      <c r="B182" s="191" t="s">
        <v>4884</v>
      </c>
      <c r="C182" s="191"/>
      <c r="D182" s="191"/>
      <c r="E182" s="191"/>
      <c r="J182" s="249"/>
      <c r="L182" s="250"/>
    </row>
    <row r="183" spans="1:19" ht="13.5" x14ac:dyDescent="0.25">
      <c r="A183" s="191">
        <v>2140</v>
      </c>
      <c r="B183" s="2881" t="s">
        <v>4885</v>
      </c>
      <c r="C183" s="2881"/>
      <c r="D183" s="2347"/>
      <c r="E183" s="2347"/>
      <c r="F183" s="365">
        <f>'905Hosp'!F184</f>
        <v>0</v>
      </c>
      <c r="H183" s="365" t="e">
        <f>INDEX(PY905Data,MATCH($A183,PY905Row,0),MATCH($C$5,PY905Col,0))</f>
        <v>#N/A</v>
      </c>
      <c r="J183" s="249" t="e">
        <f>F183-H183</f>
        <v>#N/A</v>
      </c>
      <c r="L183" s="250" t="e">
        <f>IF(H183=0,0,J183/H183)</f>
        <v>#N/A</v>
      </c>
    </row>
    <row r="184" spans="1:19" ht="13.5" x14ac:dyDescent="0.25">
      <c r="A184" s="191">
        <v>2141</v>
      </c>
      <c r="B184" s="2881" t="s">
        <v>4886</v>
      </c>
      <c r="C184" s="2881"/>
      <c r="D184" s="2347"/>
      <c r="E184" s="2347"/>
      <c r="F184" s="365">
        <f>'905Hosp'!F185</f>
        <v>0</v>
      </c>
      <c r="H184" s="365" t="e">
        <f>INDEX(PY905Data,MATCH($A184,PY905Row,0),MATCH($C$5,PY905Col,0))</f>
        <v>#N/A</v>
      </c>
      <c r="J184" s="249" t="e">
        <f>F184-H184</f>
        <v>#N/A</v>
      </c>
      <c r="L184" s="250" t="e">
        <f>IF(H184=0,0,J184/H184)</f>
        <v>#N/A</v>
      </c>
    </row>
    <row r="185" spans="1:19" ht="13.5" x14ac:dyDescent="0.25">
      <c r="A185" s="191">
        <v>2142</v>
      </c>
      <c r="B185" s="2881" t="s">
        <v>4887</v>
      </c>
      <c r="C185" s="2881"/>
      <c r="D185" s="2347"/>
      <c r="E185" s="2347"/>
      <c r="F185" s="365">
        <f>'905Hosp'!F186</f>
        <v>0</v>
      </c>
      <c r="H185" s="365" t="e">
        <f>INDEX(PY905Data,MATCH($A185,PY905Row,0),MATCH($C$5,PY905Col,0))</f>
        <v>#N/A</v>
      </c>
      <c r="J185" s="249" t="e">
        <f>F185-H185</f>
        <v>#N/A</v>
      </c>
      <c r="L185" s="250" t="e">
        <f>IF(H185=0,0,J185/H185)</f>
        <v>#N/A</v>
      </c>
    </row>
    <row r="186" spans="1:19" ht="13.5" x14ac:dyDescent="0.25">
      <c r="A186" s="187"/>
      <c r="B186" s="191" t="s">
        <v>2759</v>
      </c>
      <c r="C186" s="191"/>
      <c r="D186" s="191"/>
      <c r="E186" s="191"/>
      <c r="J186" s="249"/>
      <c r="L186" s="250"/>
    </row>
    <row r="187" spans="1:19" ht="13.5" x14ac:dyDescent="0.25">
      <c r="A187" s="191">
        <v>2150</v>
      </c>
      <c r="B187" s="2881" t="s">
        <v>4885</v>
      </c>
      <c r="C187" s="2881"/>
      <c r="D187" s="2347"/>
      <c r="E187" s="2347"/>
      <c r="F187" s="365">
        <f>'905Hosp'!F188</f>
        <v>0</v>
      </c>
      <c r="H187" s="365" t="e">
        <f>INDEX(PY905Data,MATCH($A187,PY905Row,0),MATCH($C$5,PY905Col,0))</f>
        <v>#N/A</v>
      </c>
      <c r="J187" s="249" t="e">
        <f>F187-H187</f>
        <v>#N/A</v>
      </c>
      <c r="L187" s="250" t="e">
        <f>IF(H187=0,0,J187/H187)</f>
        <v>#N/A</v>
      </c>
    </row>
    <row r="188" spans="1:19" ht="13.5" x14ac:dyDescent="0.25">
      <c r="A188" s="191">
        <v>2151</v>
      </c>
      <c r="B188" s="2881" t="s">
        <v>4886</v>
      </c>
      <c r="C188" s="2881"/>
      <c r="D188" s="2347"/>
      <c r="E188" s="2347"/>
      <c r="F188" s="365">
        <f>'905Hosp'!F189</f>
        <v>0</v>
      </c>
      <c r="H188" s="365" t="e">
        <f>INDEX(PY905Data,MATCH($A188,PY905Row,0),MATCH($C$5,PY905Col,0))</f>
        <v>#N/A</v>
      </c>
      <c r="J188" s="249" t="e">
        <f>F188-H188</f>
        <v>#N/A</v>
      </c>
      <c r="L188" s="250" t="e">
        <f>IF(H188=0,0,J188/H188)</f>
        <v>#N/A</v>
      </c>
    </row>
    <row r="189" spans="1:19" ht="13.5" x14ac:dyDescent="0.25">
      <c r="A189" s="191">
        <v>2152</v>
      </c>
      <c r="B189" s="2881" t="s">
        <v>4887</v>
      </c>
      <c r="C189" s="2881"/>
      <c r="D189" s="2347"/>
      <c r="E189" s="2347"/>
      <c r="F189" s="365">
        <f>'905Hosp'!F190</f>
        <v>0</v>
      </c>
      <c r="H189" s="365" t="e">
        <f>INDEX(PY905Data,MATCH($A189,PY905Row,0),MATCH($C$5,PY905Col,0))</f>
        <v>#N/A</v>
      </c>
      <c r="J189" s="249" t="e">
        <f>F189-H189</f>
        <v>#N/A</v>
      </c>
      <c r="L189" s="250" t="e">
        <f>IF(H189=0,0,J189/H189)</f>
        <v>#N/A</v>
      </c>
    </row>
    <row r="190" spans="1:19" ht="13.5" x14ac:dyDescent="0.25">
      <c r="A190" s="191">
        <v>2180</v>
      </c>
      <c r="B190" s="2881" t="s">
        <v>1629</v>
      </c>
      <c r="C190" s="2881"/>
      <c r="D190" s="2347"/>
      <c r="E190" s="2347"/>
      <c r="F190" s="365">
        <f>'905Hosp'!F191</f>
        <v>0</v>
      </c>
      <c r="H190" s="365" t="e">
        <f>INDEX(PY905Data,MATCH($A190,PY905Row,0),MATCH($C$5,PY905Col,0))</f>
        <v>#N/A</v>
      </c>
      <c r="J190" s="249" t="e">
        <f>F190-H190</f>
        <v>#N/A</v>
      </c>
      <c r="L190" s="250" t="e">
        <f>IF(H190=0,0,J190/H190)</f>
        <v>#N/A</v>
      </c>
    </row>
    <row r="191" spans="1:19" ht="14.25" thickBot="1" x14ac:dyDescent="0.3">
      <c r="B191" s="2881" t="s">
        <v>1630</v>
      </c>
      <c r="C191" s="2881"/>
      <c r="D191" s="2347"/>
      <c r="E191" s="2347"/>
      <c r="F191" s="241">
        <f>SUM(F181:F190)</f>
        <v>0</v>
      </c>
      <c r="H191" s="241" t="e">
        <f>SUM(H181:H190)</f>
        <v>#N/A</v>
      </c>
      <c r="J191" s="249" t="e">
        <f>F191-H191</f>
        <v>#N/A</v>
      </c>
      <c r="L191" s="250" t="e">
        <f>IF(H191=0,0,J191/H191)</f>
        <v>#N/A</v>
      </c>
    </row>
    <row r="192" spans="1:19" ht="6" customHeight="1" thickTop="1" x14ac:dyDescent="0.25">
      <c r="B192" s="2347"/>
      <c r="C192" s="2347"/>
      <c r="D192" s="2347"/>
      <c r="E192" s="2347"/>
      <c r="J192" s="249"/>
      <c r="L192" s="250"/>
    </row>
    <row r="193" spans="1:14" x14ac:dyDescent="0.2">
      <c r="B193" s="191" t="s">
        <v>4889</v>
      </c>
      <c r="C193" s="191"/>
      <c r="D193" s="191"/>
      <c r="E193" s="191"/>
      <c r="F193" s="454" t="str">
        <f>IF(ROUND(F88+F98-F165-F178,2)=F191, "In Bal.","Out of Bal.")</f>
        <v>In Bal.</v>
      </c>
      <c r="H193" s="454" t="e">
        <f>IF(ROUND(H88+H98-H165-H178,2)=H191, "In Bal.","Out of Bal.")</f>
        <v>#N/A</v>
      </c>
    </row>
    <row r="194" spans="1:14" x14ac:dyDescent="0.2">
      <c r="B194" s="191" t="s">
        <v>2763</v>
      </c>
      <c r="C194" s="191"/>
      <c r="D194" s="191"/>
      <c r="E194" s="191"/>
    </row>
    <row r="195" spans="1:14" x14ac:dyDescent="0.2">
      <c r="B195" s="764" t="s">
        <v>4890</v>
      </c>
      <c r="C195" s="368"/>
      <c r="D195" s="368"/>
      <c r="E195" s="368"/>
      <c r="F195" s="369"/>
    </row>
    <row r="196" spans="1:14" x14ac:dyDescent="0.2">
      <c r="B196" s="243" t="s">
        <v>4891</v>
      </c>
      <c r="C196" s="243"/>
      <c r="D196" s="243"/>
      <c r="E196" s="243"/>
      <c r="F196" s="763" t="str">
        <f>CONCATENATE("FYE ",+TEXT(Data!$A$2,"mmmm d,yyyy"))</f>
        <v>FYE June 30,2023</v>
      </c>
      <c r="H196" s="763" t="str">
        <f>CONCATENATE("FYE ",+TEXT(Data!$A$4,"mmmm d,yyyy"))</f>
        <v>FYE June 30,2022</v>
      </c>
    </row>
    <row r="197" spans="1:14" ht="13.5" x14ac:dyDescent="0.25">
      <c r="A197" s="191">
        <v>2310</v>
      </c>
      <c r="B197" s="2881" t="s">
        <v>2767</v>
      </c>
      <c r="C197" s="2881"/>
      <c r="D197" s="2347"/>
      <c r="E197" s="2347"/>
      <c r="F197" s="365">
        <f>'905Hosp'!F198</f>
        <v>0</v>
      </c>
      <c r="H197" s="365" t="e">
        <f t="shared" ref="H197:H207" si="41">INDEX(PY905Data,MATCH($A197,PY905Row,0),MATCH($C$5,PY905Col,0))</f>
        <v>#N/A</v>
      </c>
      <c r="J197" s="249" t="e">
        <f t="shared" ref="J197:J208" si="42">F197-H197</f>
        <v>#N/A</v>
      </c>
      <c r="L197" s="250" t="e">
        <f t="shared" ref="L197:L208" si="43">IF(H197=0,0,J197/H197)</f>
        <v>#N/A</v>
      </c>
      <c r="N197" s="2261" t="str">
        <f t="shared" ref="N197:N207" si="44">IF($F$88=0," ",IF(AND(ABS(J197)&gt;$L$3,ABS(L197)&gt;$L$2),"C",IF(AND(ABS(F197+H197)&gt;0,H197=0,ABS(J197)&gt;$L$3),"C"," ")))</f>
        <v xml:space="preserve"> </v>
      </c>
    </row>
    <row r="198" spans="1:14" ht="13.5" x14ac:dyDescent="0.25">
      <c r="A198" s="191">
        <v>2320</v>
      </c>
      <c r="B198" s="2881" t="s">
        <v>2768</v>
      </c>
      <c r="C198" s="2881"/>
      <c r="D198" s="2347"/>
      <c r="E198" s="2347"/>
      <c r="F198" s="365">
        <f>'905Hosp'!F199</f>
        <v>0</v>
      </c>
      <c r="H198" s="365" t="e">
        <f t="shared" si="41"/>
        <v>#N/A</v>
      </c>
      <c r="J198" s="249" t="e">
        <f t="shared" si="42"/>
        <v>#N/A</v>
      </c>
      <c r="L198" s="250" t="e">
        <f t="shared" si="43"/>
        <v>#N/A</v>
      </c>
      <c r="N198" s="2261" t="str">
        <f t="shared" si="44"/>
        <v xml:space="preserve"> </v>
      </c>
    </row>
    <row r="199" spans="1:14" ht="13.5" x14ac:dyDescent="0.25">
      <c r="A199" s="191">
        <v>2330</v>
      </c>
      <c r="B199" s="2881" t="s">
        <v>2769</v>
      </c>
      <c r="C199" s="2881"/>
      <c r="D199" s="2347"/>
      <c r="E199" s="2347"/>
      <c r="F199" s="365">
        <f>'905Hosp'!F200</f>
        <v>0</v>
      </c>
      <c r="H199" s="365" t="e">
        <f t="shared" si="41"/>
        <v>#N/A</v>
      </c>
      <c r="J199" s="249" t="e">
        <f>F199-H199</f>
        <v>#N/A</v>
      </c>
      <c r="L199" s="250" t="e">
        <f>IF(H199=0,0,J199/H199)</f>
        <v>#N/A</v>
      </c>
      <c r="N199" s="2261" t="str">
        <f t="shared" si="44"/>
        <v xml:space="preserve"> </v>
      </c>
    </row>
    <row r="200" spans="1:14" ht="13.5" x14ac:dyDescent="0.25">
      <c r="A200" s="191">
        <v>2350</v>
      </c>
      <c r="B200" s="2881" t="s">
        <v>2770</v>
      </c>
      <c r="C200" s="2881"/>
      <c r="D200" s="2347"/>
      <c r="E200" s="2347"/>
      <c r="F200" s="365">
        <f>'905Hosp'!F201</f>
        <v>0</v>
      </c>
      <c r="H200" s="365" t="e">
        <f t="shared" si="41"/>
        <v>#N/A</v>
      </c>
      <c r="J200" s="249" t="e">
        <f>F200-H200</f>
        <v>#N/A</v>
      </c>
      <c r="L200" s="250" t="e">
        <f>IF(H200=0,0,J200/H200)</f>
        <v>#N/A</v>
      </c>
      <c r="N200" s="2261" t="str">
        <f t="shared" si="44"/>
        <v xml:space="preserve"> </v>
      </c>
    </row>
    <row r="201" spans="1:14" ht="13.5" x14ac:dyDescent="0.25">
      <c r="A201" s="191">
        <v>2370</v>
      </c>
      <c r="B201" s="2881" t="s">
        <v>2771</v>
      </c>
      <c r="C201" s="2881"/>
      <c r="D201" s="2347"/>
      <c r="E201" s="2347"/>
      <c r="F201" s="365">
        <f>'905Hosp'!F202</f>
        <v>0</v>
      </c>
      <c r="H201" s="365" t="e">
        <f t="shared" si="41"/>
        <v>#N/A</v>
      </c>
      <c r="J201" s="249" t="e">
        <f t="shared" si="42"/>
        <v>#N/A</v>
      </c>
      <c r="L201" s="250" t="e">
        <f t="shared" si="43"/>
        <v>#N/A</v>
      </c>
      <c r="N201" s="2261" t="str">
        <f t="shared" si="44"/>
        <v xml:space="preserve"> </v>
      </c>
    </row>
    <row r="202" spans="1:14" ht="13.5" x14ac:dyDescent="0.25">
      <c r="A202" s="191">
        <v>2390</v>
      </c>
      <c r="B202" s="2881" t="s">
        <v>2773</v>
      </c>
      <c r="C202" s="2881"/>
      <c r="D202" s="2347"/>
      <c r="E202" s="2347"/>
      <c r="F202" s="365">
        <f>'905Hosp'!F203</f>
        <v>0</v>
      </c>
      <c r="H202" s="365" t="e">
        <f t="shared" si="41"/>
        <v>#N/A</v>
      </c>
      <c r="J202" s="249" t="e">
        <f t="shared" si="42"/>
        <v>#N/A</v>
      </c>
      <c r="L202" s="250" t="e">
        <f t="shared" si="43"/>
        <v>#N/A</v>
      </c>
      <c r="N202" s="2261" t="str">
        <f t="shared" si="44"/>
        <v xml:space="preserve"> </v>
      </c>
    </row>
    <row r="203" spans="1:14" ht="13.5" x14ac:dyDescent="0.25">
      <c r="A203" s="191">
        <v>2400</v>
      </c>
      <c r="B203" s="2881" t="s">
        <v>2775</v>
      </c>
      <c r="C203" s="2881"/>
      <c r="D203" s="2347"/>
      <c r="E203" s="2347"/>
      <c r="F203" s="365">
        <f>'905Hosp'!F204</f>
        <v>0</v>
      </c>
      <c r="H203" s="365" t="e">
        <f t="shared" si="41"/>
        <v>#N/A</v>
      </c>
      <c r="J203" s="249" t="e">
        <f t="shared" si="42"/>
        <v>#N/A</v>
      </c>
      <c r="L203" s="250" t="e">
        <f t="shared" si="43"/>
        <v>#N/A</v>
      </c>
      <c r="N203" s="2261" t="str">
        <f t="shared" si="44"/>
        <v xml:space="preserve"> </v>
      </c>
    </row>
    <row r="204" spans="1:14" ht="13.5" x14ac:dyDescent="0.25">
      <c r="A204" s="191">
        <v>2410</v>
      </c>
      <c r="B204" s="2881" t="s">
        <v>1234</v>
      </c>
      <c r="C204" s="2881"/>
      <c r="D204" s="2347"/>
      <c r="E204" s="2347"/>
      <c r="F204" s="365">
        <f>'905Hosp'!F205</f>
        <v>0</v>
      </c>
      <c r="H204" s="365" t="e">
        <f t="shared" si="41"/>
        <v>#N/A</v>
      </c>
      <c r="J204" s="249" t="e">
        <f t="shared" si="42"/>
        <v>#N/A</v>
      </c>
      <c r="L204" s="250" t="e">
        <f t="shared" si="43"/>
        <v>#N/A</v>
      </c>
      <c r="N204" s="2261" t="str">
        <f t="shared" si="44"/>
        <v xml:space="preserve"> </v>
      </c>
    </row>
    <row r="205" spans="1:14" ht="13.5" x14ac:dyDescent="0.25">
      <c r="A205" s="191">
        <v>2420</v>
      </c>
      <c r="B205" s="2881" t="s">
        <v>2777</v>
      </c>
      <c r="C205" s="2881"/>
      <c r="D205" s="2347"/>
      <c r="E205" s="2347"/>
      <c r="F205" s="365">
        <f>'905Hosp'!F206</f>
        <v>0</v>
      </c>
      <c r="H205" s="365" t="e">
        <f t="shared" si="41"/>
        <v>#N/A</v>
      </c>
      <c r="J205" s="249" t="e">
        <f t="shared" si="42"/>
        <v>#N/A</v>
      </c>
      <c r="L205" s="250" t="e">
        <f t="shared" si="43"/>
        <v>#N/A</v>
      </c>
      <c r="N205" s="2261" t="str">
        <f t="shared" si="44"/>
        <v xml:space="preserve"> </v>
      </c>
    </row>
    <row r="206" spans="1:14" ht="13.5" x14ac:dyDescent="0.25">
      <c r="A206" s="191">
        <v>2430</v>
      </c>
      <c r="B206" s="2881" t="s">
        <v>1226</v>
      </c>
      <c r="C206" s="2881"/>
      <c r="D206" s="2347"/>
      <c r="E206" s="2347"/>
      <c r="F206" s="365">
        <f>'905Hosp'!F207</f>
        <v>0</v>
      </c>
      <c r="H206" s="365" t="e">
        <f t="shared" si="41"/>
        <v>#N/A</v>
      </c>
      <c r="J206" s="249" t="e">
        <f t="shared" si="42"/>
        <v>#N/A</v>
      </c>
      <c r="L206" s="250" t="e">
        <f t="shared" si="43"/>
        <v>#N/A</v>
      </c>
      <c r="N206" s="2261" t="str">
        <f t="shared" si="44"/>
        <v xml:space="preserve"> </v>
      </c>
    </row>
    <row r="207" spans="1:14" ht="13.5" x14ac:dyDescent="0.25">
      <c r="A207" s="191">
        <v>2450</v>
      </c>
      <c r="B207" s="2881" t="s">
        <v>1775</v>
      </c>
      <c r="C207" s="2881"/>
      <c r="D207" s="2347"/>
      <c r="E207" s="2347"/>
      <c r="F207" s="365">
        <f>'905Hosp'!F208</f>
        <v>0</v>
      </c>
      <c r="H207" s="365" t="e">
        <f t="shared" si="41"/>
        <v>#N/A</v>
      </c>
      <c r="J207" s="249" t="e">
        <f t="shared" si="42"/>
        <v>#N/A</v>
      </c>
      <c r="L207" s="250" t="e">
        <f t="shared" si="43"/>
        <v>#N/A</v>
      </c>
      <c r="N207" s="2261" t="str">
        <f t="shared" si="44"/>
        <v xml:space="preserve"> </v>
      </c>
    </row>
    <row r="208" spans="1:14" ht="13.5" x14ac:dyDescent="0.25">
      <c r="A208" s="191"/>
      <c r="B208" s="2881" t="s">
        <v>4892</v>
      </c>
      <c r="C208" s="2881"/>
      <c r="D208" s="2347"/>
      <c r="E208" s="2347"/>
      <c r="F208" s="238">
        <f>SUM(F197:F207)</f>
        <v>0</v>
      </c>
      <c r="H208" s="238" t="e">
        <f>SUM(H197:H207)</f>
        <v>#N/A</v>
      </c>
      <c r="J208" s="249" t="e">
        <f t="shared" si="42"/>
        <v>#N/A</v>
      </c>
      <c r="L208" s="250" t="e">
        <f t="shared" si="43"/>
        <v>#N/A</v>
      </c>
    </row>
    <row r="209" spans="1:14" ht="3" customHeight="1" x14ac:dyDescent="0.25">
      <c r="B209" s="2347"/>
      <c r="C209" s="2347"/>
      <c r="D209" s="2347"/>
      <c r="E209" s="2347"/>
      <c r="F209" s="370"/>
      <c r="H209" s="370"/>
      <c r="J209" s="249"/>
      <c r="L209" s="250"/>
    </row>
    <row r="210" spans="1:14" ht="13.5" x14ac:dyDescent="0.25">
      <c r="B210" s="243" t="s">
        <v>4893</v>
      </c>
      <c r="C210" s="243"/>
      <c r="D210" s="243"/>
      <c r="E210" s="243"/>
      <c r="J210" s="249"/>
      <c r="L210" s="250"/>
    </row>
    <row r="211" spans="1:14" ht="13.5" x14ac:dyDescent="0.25">
      <c r="A211" s="191">
        <v>2490</v>
      </c>
      <c r="B211" s="2947" t="s">
        <v>2780</v>
      </c>
      <c r="C211" s="2947"/>
      <c r="D211" s="2947"/>
      <c r="E211" s="2947"/>
      <c r="F211" s="365">
        <f>'905Hosp'!F212</f>
        <v>0</v>
      </c>
      <c r="H211" s="365" t="e">
        <f t="shared" ref="H211:H218" si="45">INDEX(PY905Data,MATCH($A211,PY905Row,0),MATCH($C$5,PY905Col,0))</f>
        <v>#N/A</v>
      </c>
      <c r="J211" s="249" t="e">
        <f t="shared" ref="J211:J224" si="46">F211-H211</f>
        <v>#N/A</v>
      </c>
      <c r="L211" s="250" t="e">
        <f t="shared" ref="L211:L224" si="47">IF(H211=0,0,J211/H211)</f>
        <v>#N/A</v>
      </c>
      <c r="N211" s="2261" t="str">
        <f t="shared" ref="N211:N222" si="48">IF($F$88=0," ",IF(AND(ABS(J211)&gt;$L$3,ABS(L211)&gt;$L$2),"C",IF(AND(ABS(F211+H211)&gt;0,H211=0,ABS(J211)&gt;$L$3),"C"," ")))</f>
        <v xml:space="preserve"> </v>
      </c>
    </row>
    <row r="212" spans="1:14" ht="13.5" x14ac:dyDescent="0.25">
      <c r="A212" s="191">
        <v>2510</v>
      </c>
      <c r="B212" s="2881" t="s">
        <v>2781</v>
      </c>
      <c r="C212" s="2881"/>
      <c r="D212" s="2347"/>
      <c r="E212" s="2347"/>
      <c r="F212" s="365">
        <f>'905Hosp'!F213</f>
        <v>0</v>
      </c>
      <c r="H212" s="365" t="e">
        <f t="shared" si="45"/>
        <v>#N/A</v>
      </c>
      <c r="J212" s="249" t="e">
        <f t="shared" si="46"/>
        <v>#N/A</v>
      </c>
      <c r="L212" s="250" t="e">
        <f t="shared" si="47"/>
        <v>#N/A</v>
      </c>
      <c r="N212" s="2261" t="str">
        <f t="shared" si="48"/>
        <v xml:space="preserve"> </v>
      </c>
    </row>
    <row r="213" spans="1:14" ht="13.5" x14ac:dyDescent="0.25">
      <c r="A213" s="191">
        <v>2520</v>
      </c>
      <c r="B213" s="2881" t="s">
        <v>2782</v>
      </c>
      <c r="C213" s="2881"/>
      <c r="D213" s="2347"/>
      <c r="E213" s="2347"/>
      <c r="F213" s="365">
        <f>'905Hosp'!F214</f>
        <v>0</v>
      </c>
      <c r="H213" s="365" t="e">
        <f t="shared" si="45"/>
        <v>#N/A</v>
      </c>
      <c r="J213" s="249" t="e">
        <f t="shared" si="46"/>
        <v>#N/A</v>
      </c>
      <c r="L213" s="250" t="e">
        <f t="shared" si="47"/>
        <v>#N/A</v>
      </c>
      <c r="N213" s="2261" t="str">
        <f t="shared" si="48"/>
        <v xml:space="preserve"> </v>
      </c>
    </row>
    <row r="214" spans="1:14" ht="13.5" x14ac:dyDescent="0.25">
      <c r="A214" s="191">
        <v>2550</v>
      </c>
      <c r="B214" s="2881" t="s">
        <v>2783</v>
      </c>
      <c r="C214" s="2881"/>
      <c r="D214" s="2347"/>
      <c r="E214" s="2347"/>
      <c r="F214" s="365">
        <f>'905Hosp'!F215</f>
        <v>0</v>
      </c>
      <c r="H214" s="365" t="e">
        <f t="shared" si="45"/>
        <v>#N/A</v>
      </c>
      <c r="J214" s="249" t="e">
        <f t="shared" si="46"/>
        <v>#N/A</v>
      </c>
      <c r="L214" s="250" t="e">
        <f t="shared" si="47"/>
        <v>#N/A</v>
      </c>
      <c r="N214" s="2261" t="str">
        <f t="shared" si="48"/>
        <v xml:space="preserve"> </v>
      </c>
    </row>
    <row r="215" spans="1:14" ht="13.5" x14ac:dyDescent="0.25">
      <c r="A215" s="191">
        <v>2540</v>
      </c>
      <c r="B215" s="2881" t="s">
        <v>2784</v>
      </c>
      <c r="C215" s="2881"/>
      <c r="D215" s="2347"/>
      <c r="E215" s="2347"/>
      <c r="F215" s="365">
        <f>'905Hosp'!F216</f>
        <v>0</v>
      </c>
      <c r="H215" s="365" t="e">
        <f t="shared" si="45"/>
        <v>#N/A</v>
      </c>
      <c r="J215" s="249" t="e">
        <f t="shared" si="46"/>
        <v>#N/A</v>
      </c>
      <c r="L215" s="250" t="e">
        <f t="shared" si="47"/>
        <v>#N/A</v>
      </c>
      <c r="N215" s="2261" t="str">
        <f t="shared" si="48"/>
        <v xml:space="preserve"> </v>
      </c>
    </row>
    <row r="216" spans="1:14" ht="13.5" x14ac:dyDescent="0.25">
      <c r="A216" s="191">
        <v>2560</v>
      </c>
      <c r="B216" s="2881" t="s">
        <v>676</v>
      </c>
      <c r="C216" s="2881"/>
      <c r="D216" s="2347"/>
      <c r="E216" s="2347"/>
      <c r="F216" s="365">
        <f>'905Hosp'!F217</f>
        <v>0</v>
      </c>
      <c r="H216" s="365" t="e">
        <f t="shared" si="45"/>
        <v>#N/A</v>
      </c>
      <c r="J216" s="249" t="e">
        <f t="shared" si="46"/>
        <v>#N/A</v>
      </c>
      <c r="L216" s="250" t="e">
        <f t="shared" si="47"/>
        <v>#N/A</v>
      </c>
      <c r="N216" s="2261" t="str">
        <f t="shared" si="48"/>
        <v xml:space="preserve"> </v>
      </c>
    </row>
    <row r="217" spans="1:14" ht="13.5" x14ac:dyDescent="0.25">
      <c r="A217" s="191">
        <v>2570</v>
      </c>
      <c r="B217" s="2881" t="s">
        <v>2785</v>
      </c>
      <c r="C217" s="2881"/>
      <c r="D217" s="2347"/>
      <c r="E217" s="2347"/>
      <c r="F217" s="365">
        <f>'905Hosp'!F218</f>
        <v>0</v>
      </c>
      <c r="H217" s="365" t="e">
        <f t="shared" si="45"/>
        <v>#N/A</v>
      </c>
      <c r="J217" s="249" t="e">
        <f t="shared" si="46"/>
        <v>#N/A</v>
      </c>
      <c r="L217" s="250" t="e">
        <f t="shared" si="47"/>
        <v>#N/A</v>
      </c>
      <c r="N217" s="2261" t="str">
        <f t="shared" si="48"/>
        <v xml:space="preserve"> </v>
      </c>
    </row>
    <row r="218" spans="1:14" ht="13.5" x14ac:dyDescent="0.25">
      <c r="A218" s="191">
        <v>2590</v>
      </c>
      <c r="B218" s="2881" t="s">
        <v>2786</v>
      </c>
      <c r="C218" s="2881"/>
      <c r="D218" s="2347"/>
      <c r="E218" s="2347"/>
      <c r="F218" s="365">
        <f>'905Hosp'!F219</f>
        <v>0</v>
      </c>
      <c r="H218" s="365" t="e">
        <f t="shared" si="45"/>
        <v>#N/A</v>
      </c>
      <c r="J218" s="249" t="e">
        <f>F218-H218</f>
        <v>#N/A</v>
      </c>
      <c r="L218" s="250" t="e">
        <f>IF(H218=0,0,J218/H218)</f>
        <v>#N/A</v>
      </c>
      <c r="N218" s="2261" t="str">
        <f t="shared" si="48"/>
        <v xml:space="preserve"> </v>
      </c>
    </row>
    <row r="219" spans="1:14" ht="13.5" x14ac:dyDescent="0.25">
      <c r="A219" s="191"/>
      <c r="B219" s="191" t="s">
        <v>1361</v>
      </c>
      <c r="C219" s="191"/>
      <c r="D219" s="191"/>
      <c r="E219" s="191"/>
      <c r="J219" s="249"/>
      <c r="L219" s="250"/>
    </row>
    <row r="220" spans="1:14" ht="13.5" x14ac:dyDescent="0.25">
      <c r="A220" s="191">
        <v>2610</v>
      </c>
      <c r="B220" s="2987" t="s">
        <v>2787</v>
      </c>
      <c r="C220" s="2987"/>
      <c r="D220" s="2375"/>
      <c r="E220" s="2375"/>
      <c r="F220" s="365">
        <f>'905Hosp'!F221</f>
        <v>0</v>
      </c>
      <c r="H220" s="365" t="e">
        <f>INDEX(PY905Data,MATCH($A220,PY905Row,0),MATCH($C$5,PY905Col,0))</f>
        <v>#N/A</v>
      </c>
      <c r="J220" s="249" t="e">
        <f>F220-H220</f>
        <v>#N/A</v>
      </c>
      <c r="L220" s="250" t="e">
        <f>IF(H220=0,0,J220/H220)</f>
        <v>#N/A</v>
      </c>
      <c r="N220" s="2261" t="str">
        <f t="shared" si="48"/>
        <v xml:space="preserve"> </v>
      </c>
    </row>
    <row r="221" spans="1:14" ht="13.5" x14ac:dyDescent="0.25">
      <c r="A221" s="191">
        <v>2625</v>
      </c>
      <c r="B221" s="2987" t="s">
        <v>2788</v>
      </c>
      <c r="C221" s="2987"/>
      <c r="D221" s="2375"/>
      <c r="E221" s="2375"/>
      <c r="F221" s="365">
        <f>'905Hosp'!F222</f>
        <v>0</v>
      </c>
      <c r="H221" s="365" t="e">
        <f>INDEX(PY905Data,MATCH($A221,PY905Row,0),MATCH($C$5,PY905Col,0))</f>
        <v>#N/A</v>
      </c>
      <c r="J221" s="249" t="e">
        <f>F221-H221</f>
        <v>#N/A</v>
      </c>
      <c r="L221" s="250" t="e">
        <f>IF(H221=0,0,J221/H221)</f>
        <v>#N/A</v>
      </c>
      <c r="N221" s="2261" t="str">
        <f t="shared" si="48"/>
        <v xml:space="preserve"> </v>
      </c>
    </row>
    <row r="222" spans="1:14" ht="13.5" x14ac:dyDescent="0.25">
      <c r="A222" s="191">
        <v>2630</v>
      </c>
      <c r="B222" s="2987" t="s">
        <v>2789</v>
      </c>
      <c r="C222" s="2987"/>
      <c r="D222" s="2375"/>
      <c r="E222" s="2375"/>
      <c r="F222" s="367">
        <f>'905Hosp'!F223</f>
        <v>0</v>
      </c>
      <c r="H222" s="367" t="e">
        <f>INDEX(PY905Data,MATCH($A222,PY905Row,0),MATCH($C$5,PY905Col,0))</f>
        <v>#N/A</v>
      </c>
      <c r="J222" s="249" t="e">
        <f t="shared" si="46"/>
        <v>#N/A</v>
      </c>
      <c r="L222" s="250" t="e">
        <f t="shared" si="47"/>
        <v>#N/A</v>
      </c>
      <c r="N222" s="2261" t="str">
        <f t="shared" si="48"/>
        <v xml:space="preserve"> </v>
      </c>
    </row>
    <row r="223" spans="1:14" ht="13.5" x14ac:dyDescent="0.25">
      <c r="B223" s="2881" t="s">
        <v>4894</v>
      </c>
      <c r="C223" s="2881"/>
      <c r="D223" s="2347"/>
      <c r="E223" s="2347"/>
      <c r="F223" s="240">
        <f>SUM(F211:F222)</f>
        <v>0</v>
      </c>
      <c r="H223" s="240" t="e">
        <f>SUM(H211:H222)</f>
        <v>#N/A</v>
      </c>
      <c r="J223" s="249" t="e">
        <f t="shared" si="46"/>
        <v>#N/A</v>
      </c>
      <c r="L223" s="250" t="e">
        <f t="shared" si="47"/>
        <v>#N/A</v>
      </c>
    </row>
    <row r="224" spans="1:14" ht="13.5" x14ac:dyDescent="0.25">
      <c r="B224" s="2881" t="s">
        <v>4895</v>
      </c>
      <c r="C224" s="2881"/>
      <c r="D224" s="2347"/>
      <c r="E224" s="2347"/>
      <c r="F224" s="238">
        <f>F208-F223</f>
        <v>0</v>
      </c>
      <c r="H224" s="238" t="e">
        <f>H208-H223</f>
        <v>#N/A</v>
      </c>
      <c r="J224" s="249" t="e">
        <f t="shared" si="46"/>
        <v>#N/A</v>
      </c>
      <c r="L224" s="250" t="e">
        <f t="shared" si="47"/>
        <v>#N/A</v>
      </c>
    </row>
    <row r="225" spans="1:15" ht="3.75" customHeight="1" x14ac:dyDescent="0.25">
      <c r="B225" s="2347"/>
      <c r="C225" s="2347"/>
      <c r="D225" s="2347"/>
      <c r="E225" s="2347"/>
      <c r="F225" s="370"/>
      <c r="H225" s="370"/>
      <c r="J225" s="249"/>
      <c r="L225" s="250"/>
    </row>
    <row r="226" spans="1:15" x14ac:dyDescent="0.2">
      <c r="B226" s="234" t="s">
        <v>2792</v>
      </c>
    </row>
    <row r="227" spans="1:15" ht="13.5" x14ac:dyDescent="0.25">
      <c r="A227" s="191">
        <v>2690</v>
      </c>
      <c r="B227" s="2881" t="s">
        <v>2793</v>
      </c>
      <c r="C227" s="2881"/>
      <c r="D227" s="2347"/>
      <c r="E227" s="2347"/>
      <c r="F227" s="365">
        <f>'905Hosp'!F228</f>
        <v>0</v>
      </c>
      <c r="H227" s="365" t="e">
        <f t="shared" ref="H227:H245" si="49">INDEX(PY905Data,MATCH($A227,PY905Row,0),MATCH($C$5,PY905Col,0))</f>
        <v>#N/A</v>
      </c>
      <c r="J227" s="249" t="e">
        <f>F227-H227</f>
        <v>#N/A</v>
      </c>
      <c r="L227" s="250" t="e">
        <f>IF(H227=0,0,J227/H227)</f>
        <v>#N/A</v>
      </c>
      <c r="N227" s="2261" t="str">
        <f t="shared" ref="N227:N245" si="50">IF($F$88=0," ",IF(AND(ABS(J227)&gt;$L$3,ABS(L227)&gt;$L$2),"C",IF(AND(ABS(F227+H227)&gt;0,H227=0,ABS(J227)&gt;$L$3),"C"," ")))</f>
        <v xml:space="preserve"> </v>
      </c>
    </row>
    <row r="228" spans="1:15" ht="13.5" x14ac:dyDescent="0.25">
      <c r="A228" s="191">
        <v>2691</v>
      </c>
      <c r="B228" s="2881" t="s">
        <v>4896</v>
      </c>
      <c r="C228" s="2881"/>
      <c r="D228" s="2347"/>
      <c r="E228" s="2347"/>
      <c r="F228" s="365">
        <f>'905Hosp'!F229</f>
        <v>0</v>
      </c>
      <c r="H228" s="365" t="e">
        <f t="shared" si="49"/>
        <v>#N/A</v>
      </c>
      <c r="J228" s="249" t="e">
        <f>F228-H228</f>
        <v>#N/A</v>
      </c>
      <c r="L228" s="250" t="e">
        <f>IF(H228=0,0,J228/H228)</f>
        <v>#N/A</v>
      </c>
      <c r="N228" s="2261" t="str">
        <f t="shared" si="50"/>
        <v xml:space="preserve"> </v>
      </c>
    </row>
    <row r="229" spans="1:15" ht="13.5" x14ac:dyDescent="0.25">
      <c r="A229" s="191">
        <v>2692</v>
      </c>
      <c r="B229" s="2881" t="s">
        <v>2795</v>
      </c>
      <c r="C229" s="2881"/>
      <c r="D229" s="2347"/>
      <c r="E229" s="2347"/>
      <c r="F229" s="365">
        <f>'905Hosp'!F230</f>
        <v>0</v>
      </c>
      <c r="H229" s="365" t="e">
        <f t="shared" si="49"/>
        <v>#N/A</v>
      </c>
      <c r="J229" s="249" t="e">
        <f t="shared" ref="J229:J257" si="51">F229-H229</f>
        <v>#N/A</v>
      </c>
      <c r="L229" s="250" t="e">
        <f t="shared" ref="L229:L257" si="52">IF(H229=0,0,J229/H229)</f>
        <v>#N/A</v>
      </c>
      <c r="N229" s="2261" t="str">
        <f t="shared" si="50"/>
        <v xml:space="preserve"> </v>
      </c>
    </row>
    <row r="230" spans="1:15" ht="13.5" x14ac:dyDescent="0.25">
      <c r="A230" s="191">
        <v>2693</v>
      </c>
      <c r="B230" s="2881" t="s">
        <v>2796</v>
      </c>
      <c r="C230" s="2881"/>
      <c r="D230" s="2347"/>
      <c r="E230" s="2347"/>
      <c r="F230" s="365">
        <f>'905Hosp'!F231</f>
        <v>0</v>
      </c>
      <c r="H230" s="365" t="e">
        <f t="shared" si="49"/>
        <v>#N/A</v>
      </c>
      <c r="J230" s="249" t="e">
        <f t="shared" si="51"/>
        <v>#N/A</v>
      </c>
      <c r="L230" s="250" t="e">
        <f t="shared" si="52"/>
        <v>#N/A</v>
      </c>
      <c r="N230" s="2261" t="str">
        <f t="shared" si="50"/>
        <v xml:space="preserve"> </v>
      </c>
    </row>
    <row r="231" spans="1:15" ht="13.5" x14ac:dyDescent="0.25">
      <c r="A231" s="191">
        <v>2700</v>
      </c>
      <c r="B231" s="2881" t="s">
        <v>2798</v>
      </c>
      <c r="C231" s="2881"/>
      <c r="D231" s="2347"/>
      <c r="E231" s="2347"/>
      <c r="F231" s="365">
        <f>'905Hosp'!F232</f>
        <v>0</v>
      </c>
      <c r="H231" s="365" t="e">
        <f t="shared" si="49"/>
        <v>#N/A</v>
      </c>
      <c r="J231" s="249" t="e">
        <f>F231-H231</f>
        <v>#N/A</v>
      </c>
      <c r="L231" s="250" t="e">
        <f>IF(H231=0,0,J231/H231)</f>
        <v>#N/A</v>
      </c>
      <c r="N231" s="2261" t="str">
        <f t="shared" si="50"/>
        <v xml:space="preserve"> </v>
      </c>
    </row>
    <row r="232" spans="1:15" ht="13.5" x14ac:dyDescent="0.25">
      <c r="A232" s="191">
        <v>2701</v>
      </c>
      <c r="B232" s="2881" t="s">
        <v>2800</v>
      </c>
      <c r="C232" s="2881"/>
      <c r="D232" s="2347"/>
      <c r="E232" s="2347"/>
      <c r="F232" s="365">
        <f>'905Hosp'!F233</f>
        <v>0</v>
      </c>
      <c r="H232" s="365" t="e">
        <f t="shared" si="49"/>
        <v>#N/A</v>
      </c>
      <c r="J232" s="249" t="e">
        <f>F232-H232</f>
        <v>#N/A</v>
      </c>
      <c r="L232" s="250" t="e">
        <f>IF(H232=0,0,J232/H232)</f>
        <v>#N/A</v>
      </c>
      <c r="N232" s="2261" t="str">
        <f t="shared" si="50"/>
        <v xml:space="preserve"> </v>
      </c>
    </row>
    <row r="233" spans="1:15" ht="13.5" x14ac:dyDescent="0.25">
      <c r="A233" s="191">
        <v>2710</v>
      </c>
      <c r="B233" s="2881" t="s">
        <v>2802</v>
      </c>
      <c r="C233" s="2881"/>
      <c r="D233" s="2347"/>
      <c r="E233" s="2347"/>
      <c r="F233" s="365">
        <f>'905Hosp'!F234</f>
        <v>0</v>
      </c>
      <c r="H233" s="365" t="e">
        <f t="shared" si="49"/>
        <v>#N/A</v>
      </c>
      <c r="J233" s="249" t="e">
        <f>F233-H233</f>
        <v>#N/A</v>
      </c>
      <c r="L233" s="250" t="e">
        <f>IF(H233=0,0,J233/H233)</f>
        <v>#N/A</v>
      </c>
      <c r="N233" s="2261" t="str">
        <f t="shared" si="50"/>
        <v xml:space="preserve"> </v>
      </c>
    </row>
    <row r="234" spans="1:15" ht="13.5" x14ac:dyDescent="0.25">
      <c r="A234" s="191">
        <v>2711</v>
      </c>
      <c r="B234" s="2881" t="s">
        <v>2803</v>
      </c>
      <c r="C234" s="2881"/>
      <c r="D234" s="2347"/>
      <c r="E234" s="2347"/>
      <c r="F234" s="365">
        <f>'905Hosp'!F235</f>
        <v>0</v>
      </c>
      <c r="H234" s="365" t="e">
        <f t="shared" si="49"/>
        <v>#N/A</v>
      </c>
      <c r="J234" s="249" t="e">
        <f>F234-H234</f>
        <v>#N/A</v>
      </c>
      <c r="L234" s="250" t="e">
        <f>IF(H234=0,0,J234/H234)</f>
        <v>#N/A</v>
      </c>
      <c r="N234" s="2261" t="str">
        <f t="shared" si="50"/>
        <v xml:space="preserve"> </v>
      </c>
    </row>
    <row r="235" spans="1:15" ht="13.5" x14ac:dyDescent="0.25">
      <c r="A235" s="191">
        <v>2720</v>
      </c>
      <c r="B235" s="2881" t="s">
        <v>2804</v>
      </c>
      <c r="C235" s="2881"/>
      <c r="D235" s="2347"/>
      <c r="E235" s="2347"/>
      <c r="F235" s="365">
        <f>'905Hosp'!F236</f>
        <v>0</v>
      </c>
      <c r="H235" s="365" t="e">
        <f t="shared" si="49"/>
        <v>#N/A</v>
      </c>
      <c r="J235" s="249" t="e">
        <f t="shared" si="51"/>
        <v>#N/A</v>
      </c>
      <c r="L235" s="250" t="e">
        <f t="shared" si="52"/>
        <v>#N/A</v>
      </c>
      <c r="N235" s="2261" t="str">
        <f t="shared" si="50"/>
        <v xml:space="preserve"> </v>
      </c>
    </row>
    <row r="236" spans="1:15" ht="13.5" x14ac:dyDescent="0.25">
      <c r="A236" s="191">
        <v>2740</v>
      </c>
      <c r="B236" s="2881" t="s">
        <v>4897</v>
      </c>
      <c r="C236" s="2881"/>
      <c r="D236" s="2347"/>
      <c r="E236" s="2347"/>
      <c r="F236" s="365">
        <f>'905Hosp'!F237</f>
        <v>0</v>
      </c>
      <c r="H236" s="365" t="e">
        <f t="shared" si="49"/>
        <v>#N/A</v>
      </c>
      <c r="J236" s="249" t="e">
        <f t="shared" si="51"/>
        <v>#N/A</v>
      </c>
      <c r="L236" s="250" t="e">
        <f t="shared" si="52"/>
        <v>#N/A</v>
      </c>
      <c r="N236" s="2261" t="str">
        <f t="shared" si="50"/>
        <v xml:space="preserve"> </v>
      </c>
    </row>
    <row r="237" spans="1:15" ht="13.5" x14ac:dyDescent="0.25">
      <c r="A237" s="191">
        <v>2750</v>
      </c>
      <c r="B237" s="2881" t="s">
        <v>4898</v>
      </c>
      <c r="C237" s="2881"/>
      <c r="D237" s="2347"/>
      <c r="E237" s="2347"/>
      <c r="F237" s="365">
        <f>'905Hosp'!F238</f>
        <v>0</v>
      </c>
      <c r="H237" s="365" t="e">
        <f t="shared" si="49"/>
        <v>#N/A</v>
      </c>
      <c r="J237" s="249" t="e">
        <f t="shared" si="51"/>
        <v>#N/A</v>
      </c>
      <c r="L237" s="250" t="e">
        <f t="shared" si="52"/>
        <v>#N/A</v>
      </c>
      <c r="N237" s="2261" t="str">
        <f t="shared" si="50"/>
        <v xml:space="preserve"> </v>
      </c>
    </row>
    <row r="238" spans="1:15" ht="13.5" x14ac:dyDescent="0.25">
      <c r="A238" s="191">
        <v>2755</v>
      </c>
      <c r="B238" s="2881" t="s">
        <v>2807</v>
      </c>
      <c r="C238" s="2881"/>
      <c r="D238" s="2347"/>
      <c r="E238" s="2347"/>
      <c r="F238" s="365">
        <f>'905Hosp'!F239</f>
        <v>0</v>
      </c>
      <c r="H238" s="365" t="e">
        <f t="shared" si="49"/>
        <v>#N/A</v>
      </c>
      <c r="J238" s="249" t="e">
        <f>F238-H238</f>
        <v>#N/A</v>
      </c>
      <c r="L238" s="250" t="e">
        <f>IF(H238=0,0,J238/H238)</f>
        <v>#N/A</v>
      </c>
      <c r="N238" s="2261" t="str">
        <f>IF($F$88=0," ",IF(AND(ABS(J238)&gt;$L$3,ABS(L238)&gt;$L$2),"C",IF(AND(ABS(F238+H238)&gt;0,H238=0,ABS(J238)&gt;$L$3),"C"," ")))</f>
        <v xml:space="preserve"> </v>
      </c>
      <c r="O238" s="1021"/>
    </row>
    <row r="239" spans="1:15" ht="13.5" x14ac:dyDescent="0.25">
      <c r="A239" s="191">
        <v>2760</v>
      </c>
      <c r="B239" s="2881" t="s">
        <v>1228</v>
      </c>
      <c r="C239" s="2881"/>
      <c r="D239" s="2347"/>
      <c r="E239" s="2347"/>
      <c r="F239" s="365">
        <f>'905Hosp'!F240</f>
        <v>0</v>
      </c>
      <c r="H239" s="365" t="e">
        <f t="shared" si="49"/>
        <v>#N/A</v>
      </c>
      <c r="J239" s="249" t="e">
        <f t="shared" si="51"/>
        <v>#N/A</v>
      </c>
      <c r="L239" s="250" t="e">
        <f t="shared" si="52"/>
        <v>#N/A</v>
      </c>
      <c r="N239" s="2261" t="str">
        <f t="shared" si="50"/>
        <v xml:space="preserve"> </v>
      </c>
    </row>
    <row r="240" spans="1:15" ht="13.5" x14ac:dyDescent="0.25">
      <c r="A240" s="191">
        <v>2770</v>
      </c>
      <c r="B240" s="2881" t="s">
        <v>2808</v>
      </c>
      <c r="C240" s="2881"/>
      <c r="D240" s="2347"/>
      <c r="E240" s="2347"/>
      <c r="F240" s="365">
        <f>'905Hosp'!F241</f>
        <v>0</v>
      </c>
      <c r="H240" s="365" t="e">
        <f t="shared" si="49"/>
        <v>#N/A</v>
      </c>
      <c r="J240" s="249" t="e">
        <f t="shared" si="51"/>
        <v>#N/A</v>
      </c>
      <c r="L240" s="250" t="e">
        <f t="shared" si="52"/>
        <v>#N/A</v>
      </c>
      <c r="N240" s="2261" t="str">
        <f t="shared" si="50"/>
        <v xml:space="preserve"> </v>
      </c>
    </row>
    <row r="241" spans="1:14" ht="13.5" x14ac:dyDescent="0.25">
      <c r="A241" s="191">
        <v>2780</v>
      </c>
      <c r="B241" s="2881" t="s">
        <v>2809</v>
      </c>
      <c r="C241" s="2881"/>
      <c r="D241" s="2347"/>
      <c r="E241" s="2347"/>
      <c r="F241" s="365">
        <f>'905Hosp'!F242</f>
        <v>0</v>
      </c>
      <c r="H241" s="365" t="e">
        <f t="shared" si="49"/>
        <v>#N/A</v>
      </c>
      <c r="J241" s="249" t="e">
        <f t="shared" si="51"/>
        <v>#N/A</v>
      </c>
      <c r="L241" s="250" t="e">
        <f t="shared" si="52"/>
        <v>#N/A</v>
      </c>
      <c r="N241" s="2261" t="str">
        <f t="shared" si="50"/>
        <v xml:space="preserve"> </v>
      </c>
    </row>
    <row r="242" spans="1:14" ht="13.5" x14ac:dyDescent="0.25">
      <c r="A242" s="191">
        <v>2785</v>
      </c>
      <c r="B242" s="2881" t="s">
        <v>4899</v>
      </c>
      <c r="C242" s="2881"/>
      <c r="D242" s="2347"/>
      <c r="E242" s="2347"/>
      <c r="F242" s="365">
        <f>'905Hosp'!F243</f>
        <v>0</v>
      </c>
      <c r="H242" s="365" t="e">
        <f t="shared" si="49"/>
        <v>#N/A</v>
      </c>
      <c r="J242" s="249" t="e">
        <f>F242-H242</f>
        <v>#N/A</v>
      </c>
      <c r="L242" s="250" t="e">
        <f>IF(H242=0,0,J242/H242)</f>
        <v>#N/A</v>
      </c>
      <c r="N242" s="2261" t="str">
        <f t="shared" si="50"/>
        <v xml:space="preserve"> </v>
      </c>
    </row>
    <row r="243" spans="1:14" ht="13.5" x14ac:dyDescent="0.25">
      <c r="A243" s="191">
        <v>2786</v>
      </c>
      <c r="B243" s="2881" t="s">
        <v>2811</v>
      </c>
      <c r="C243" s="2881"/>
      <c r="D243" s="2347"/>
      <c r="E243" s="2347"/>
      <c r="F243" s="365">
        <f>'905Hosp'!F244</f>
        <v>0</v>
      </c>
      <c r="H243" s="365" t="e">
        <f t="shared" si="49"/>
        <v>#N/A</v>
      </c>
      <c r="J243" s="249" t="e">
        <f>F243-H243</f>
        <v>#N/A</v>
      </c>
      <c r="L243" s="250" t="e">
        <f>IF(H243=0,0,J243/H243)</f>
        <v>#N/A</v>
      </c>
      <c r="N243" s="2261" t="str">
        <f t="shared" si="50"/>
        <v xml:space="preserve"> </v>
      </c>
    </row>
    <row r="244" spans="1:14" ht="13.5" x14ac:dyDescent="0.25">
      <c r="A244" s="191">
        <v>2800</v>
      </c>
      <c r="B244" s="2881" t="s">
        <v>2812</v>
      </c>
      <c r="C244" s="2881"/>
      <c r="D244" s="2347"/>
      <c r="E244" s="2347"/>
      <c r="F244" s="365">
        <f>'905Hosp'!F245</f>
        <v>0</v>
      </c>
      <c r="H244" s="365" t="e">
        <f t="shared" si="49"/>
        <v>#N/A</v>
      </c>
      <c r="J244" s="249" t="e">
        <f t="shared" si="51"/>
        <v>#N/A</v>
      </c>
      <c r="L244" s="250" t="e">
        <f t="shared" si="52"/>
        <v>#N/A</v>
      </c>
      <c r="N244" s="2261" t="str">
        <f t="shared" si="50"/>
        <v xml:space="preserve"> </v>
      </c>
    </row>
    <row r="245" spans="1:14" ht="13.5" x14ac:dyDescent="0.25">
      <c r="A245" s="191">
        <v>2810</v>
      </c>
      <c r="B245" s="2881" t="s">
        <v>2813</v>
      </c>
      <c r="C245" s="2881"/>
      <c r="D245" s="2347"/>
      <c r="E245" s="2347"/>
      <c r="F245" s="365">
        <f>'905Hosp'!F246</f>
        <v>0</v>
      </c>
      <c r="H245" s="365" t="e">
        <f t="shared" si="49"/>
        <v>#N/A</v>
      </c>
      <c r="J245" s="249" t="e">
        <f t="shared" si="51"/>
        <v>#N/A</v>
      </c>
      <c r="L245" s="250" t="e">
        <f t="shared" si="52"/>
        <v>#N/A</v>
      </c>
      <c r="N245" s="2261" t="str">
        <f t="shared" si="50"/>
        <v xml:space="preserve"> </v>
      </c>
    </row>
    <row r="246" spans="1:14" ht="13.5" x14ac:dyDescent="0.25">
      <c r="B246" s="2881" t="s">
        <v>4900</v>
      </c>
      <c r="C246" s="2881"/>
      <c r="D246" s="2347"/>
      <c r="E246" s="2347"/>
      <c r="F246" s="238">
        <f>SUM(F227:F245)</f>
        <v>0</v>
      </c>
      <c r="H246" s="238" t="e">
        <f>SUM(H227:H245)</f>
        <v>#N/A</v>
      </c>
      <c r="J246" s="249" t="e">
        <f t="shared" si="51"/>
        <v>#N/A</v>
      </c>
      <c r="L246" s="250" t="e">
        <f t="shared" si="52"/>
        <v>#N/A</v>
      </c>
    </row>
    <row r="247" spans="1:14" ht="13.5" x14ac:dyDescent="0.25">
      <c r="B247" s="2881" t="s">
        <v>4901</v>
      </c>
      <c r="C247" s="2881"/>
      <c r="D247" s="2347"/>
      <c r="E247" s="2347"/>
      <c r="F247" s="741">
        <f>F224+F246</f>
        <v>0</v>
      </c>
      <c r="H247" s="741" t="e">
        <f>H224+H246</f>
        <v>#N/A</v>
      </c>
      <c r="J247" s="249" t="e">
        <f t="shared" si="51"/>
        <v>#N/A</v>
      </c>
      <c r="L247" s="250" t="e">
        <f t="shared" si="52"/>
        <v>#N/A</v>
      </c>
    </row>
    <row r="248" spans="1:14" ht="13.5" x14ac:dyDescent="0.25">
      <c r="A248" s="527">
        <v>2870</v>
      </c>
      <c r="B248" s="2881" t="s">
        <v>4902</v>
      </c>
      <c r="C248" s="2881"/>
      <c r="D248" s="2347"/>
      <c r="E248" s="2347"/>
      <c r="F248" s="365">
        <f>'905Hosp'!F249</f>
        <v>0</v>
      </c>
      <c r="H248" s="365" t="e">
        <f t="shared" ref="H248:H254" si="53">INDEX(PY905Data,MATCH($A248,PY905Row,0),MATCH($C$5,PY905Col,0))</f>
        <v>#N/A</v>
      </c>
      <c r="J248" s="249" t="e">
        <f t="shared" si="51"/>
        <v>#N/A</v>
      </c>
      <c r="L248" s="250" t="e">
        <f t="shared" si="52"/>
        <v>#N/A</v>
      </c>
      <c r="N248" s="2261" t="str">
        <f t="shared" ref="N248:N254" si="54">IF($F$88=0," ",IF(AND(ABS(J248)&gt;$L$3,ABS(L248)&gt;$L$2),"C",IF(AND(ABS(F248+H248)&gt;0,H248=0,ABS(J248)&gt;$L$3),"C"," ")))</f>
        <v xml:space="preserve"> </v>
      </c>
    </row>
    <row r="249" spans="1:14" ht="13.5" x14ac:dyDescent="0.25">
      <c r="A249" s="191">
        <v>2880</v>
      </c>
      <c r="B249" s="2881" t="s">
        <v>2817</v>
      </c>
      <c r="C249" s="2881"/>
      <c r="D249" s="2347"/>
      <c r="E249" s="2347"/>
      <c r="F249" s="365">
        <f>'905Hosp'!F250</f>
        <v>0</v>
      </c>
      <c r="H249" s="365" t="e">
        <f t="shared" si="53"/>
        <v>#N/A</v>
      </c>
      <c r="J249" s="249" t="e">
        <f t="shared" si="51"/>
        <v>#N/A</v>
      </c>
      <c r="L249" s="250" t="e">
        <f t="shared" si="52"/>
        <v>#N/A</v>
      </c>
      <c r="N249" s="2261" t="str">
        <f t="shared" si="54"/>
        <v xml:space="preserve"> </v>
      </c>
    </row>
    <row r="250" spans="1:14" ht="13.5" x14ac:dyDescent="0.25">
      <c r="A250" s="191">
        <v>2890</v>
      </c>
      <c r="B250" s="2881" t="s">
        <v>2819</v>
      </c>
      <c r="C250" s="2881"/>
      <c r="D250" s="2347"/>
      <c r="E250" s="2347"/>
      <c r="F250" s="365">
        <f>'905Hosp'!F251</f>
        <v>0</v>
      </c>
      <c r="H250" s="365" t="e">
        <f t="shared" si="53"/>
        <v>#N/A</v>
      </c>
      <c r="J250" s="249" t="e">
        <f t="shared" si="51"/>
        <v>#N/A</v>
      </c>
      <c r="L250" s="250" t="e">
        <f t="shared" si="52"/>
        <v>#N/A</v>
      </c>
      <c r="N250" s="2261" t="str">
        <f t="shared" si="54"/>
        <v xml:space="preserve"> </v>
      </c>
    </row>
    <row r="251" spans="1:14" ht="13.5" x14ac:dyDescent="0.25">
      <c r="A251" s="191">
        <v>2900</v>
      </c>
      <c r="B251" s="2881" t="s">
        <v>2820</v>
      </c>
      <c r="C251" s="2881"/>
      <c r="D251" s="2347"/>
      <c r="E251" s="2347"/>
      <c r="F251" s="365">
        <f>'905Hosp'!F252</f>
        <v>0</v>
      </c>
      <c r="H251" s="365" t="e">
        <f t="shared" si="53"/>
        <v>#N/A</v>
      </c>
      <c r="J251" s="249" t="e">
        <f>F251-H251</f>
        <v>#N/A</v>
      </c>
      <c r="L251" s="250" t="e">
        <f>IF(H251=0,0,J251/H251)</f>
        <v>#N/A</v>
      </c>
      <c r="N251" s="2261" t="str">
        <f t="shared" si="54"/>
        <v xml:space="preserve"> </v>
      </c>
    </row>
    <row r="252" spans="1:14" ht="13.5" x14ac:dyDescent="0.25">
      <c r="A252" s="666">
        <v>2940</v>
      </c>
      <c r="B252" s="2881" t="s">
        <v>4569</v>
      </c>
      <c r="C252" s="2881"/>
      <c r="D252" s="2347"/>
      <c r="E252" s="2347"/>
      <c r="F252" s="365">
        <f>'905Hosp'!F253</f>
        <v>0</v>
      </c>
      <c r="H252" s="365" t="e">
        <f t="shared" si="53"/>
        <v>#N/A</v>
      </c>
      <c r="J252" s="249" t="e">
        <f>F252-H252</f>
        <v>#N/A</v>
      </c>
      <c r="L252" s="250" t="e">
        <f>IF(H252=0,0,J252/H252)</f>
        <v>#N/A</v>
      </c>
      <c r="N252" s="2261" t="str">
        <f t="shared" si="54"/>
        <v xml:space="preserve"> </v>
      </c>
    </row>
    <row r="253" spans="1:14" ht="13.5" x14ac:dyDescent="0.25">
      <c r="A253" s="191">
        <v>2950</v>
      </c>
      <c r="B253" s="2881" t="s">
        <v>2822</v>
      </c>
      <c r="C253" s="2881"/>
      <c r="D253" s="2347"/>
      <c r="E253" s="2347"/>
      <c r="F253" s="365">
        <f>'905Hosp'!F254</f>
        <v>0</v>
      </c>
      <c r="H253" s="365" t="e">
        <f t="shared" si="53"/>
        <v>#N/A</v>
      </c>
      <c r="J253" s="249" t="e">
        <f t="shared" si="51"/>
        <v>#N/A</v>
      </c>
      <c r="L253" s="250" t="e">
        <f t="shared" si="52"/>
        <v>#N/A</v>
      </c>
      <c r="N253" s="2261" t="str">
        <f t="shared" si="54"/>
        <v xml:space="preserve"> </v>
      </c>
    </row>
    <row r="254" spans="1:14" ht="13.5" x14ac:dyDescent="0.25">
      <c r="A254" s="191">
        <v>2960</v>
      </c>
      <c r="B254" s="2881" t="s">
        <v>2823</v>
      </c>
      <c r="C254" s="2881"/>
      <c r="D254" s="2347"/>
      <c r="E254" s="2347"/>
      <c r="F254" s="367">
        <f>'905Hosp'!F255</f>
        <v>0</v>
      </c>
      <c r="H254" s="367" t="e">
        <f t="shared" si="53"/>
        <v>#N/A</v>
      </c>
      <c r="J254" s="249" t="e">
        <f t="shared" si="51"/>
        <v>#N/A</v>
      </c>
      <c r="L254" s="250" t="e">
        <f t="shared" si="52"/>
        <v>#N/A</v>
      </c>
      <c r="N254" s="2261" t="str">
        <f t="shared" si="54"/>
        <v xml:space="preserve"> </v>
      </c>
    </row>
    <row r="255" spans="1:14" ht="13.5" x14ac:dyDescent="0.25">
      <c r="B255" s="2881" t="s">
        <v>4903</v>
      </c>
      <c r="C255" s="2881"/>
      <c r="D255" s="2347"/>
      <c r="E255" s="2347"/>
      <c r="F255" s="741">
        <f>SUM(F247:F254)</f>
        <v>0</v>
      </c>
      <c r="H255" s="741" t="e">
        <f>SUM(H247:H254)</f>
        <v>#N/A</v>
      </c>
      <c r="J255" s="249" t="e">
        <f t="shared" si="51"/>
        <v>#N/A</v>
      </c>
      <c r="L255" s="250" t="e">
        <f t="shared" si="52"/>
        <v>#N/A</v>
      </c>
      <c r="N255" s="986" t="s">
        <v>4904</v>
      </c>
    </row>
    <row r="256" spans="1:14" ht="13.5" x14ac:dyDescent="0.25">
      <c r="A256" s="191">
        <v>2980</v>
      </c>
      <c r="B256" s="2881" t="s">
        <v>4905</v>
      </c>
      <c r="C256" s="2881"/>
      <c r="D256" s="2347"/>
      <c r="E256" s="2347"/>
      <c r="F256" s="365">
        <f>'905Hosp'!F257</f>
        <v>2586929488.8099999</v>
      </c>
      <c r="H256" s="365" t="e">
        <f>INDEX(PY905Data,MATCH($A256,PY905Row,0),MATCH($C$5,PY905Col,0))</f>
        <v>#N/A</v>
      </c>
      <c r="J256" s="249" t="e">
        <f t="shared" si="51"/>
        <v>#N/A</v>
      </c>
      <c r="L256" s="250" t="e">
        <f t="shared" si="52"/>
        <v>#N/A</v>
      </c>
      <c r="N256" s="987" t="s">
        <v>4906</v>
      </c>
    </row>
    <row r="257" spans="1:14" ht="13.5" x14ac:dyDescent="0.25">
      <c r="A257" s="191">
        <v>2990</v>
      </c>
      <c r="B257" s="2881" t="s">
        <v>1737</v>
      </c>
      <c r="C257" s="2881"/>
      <c r="D257" s="2347"/>
      <c r="E257" s="2347"/>
      <c r="F257" s="365">
        <f>'905Hosp'!F258</f>
        <v>0</v>
      </c>
      <c r="H257" s="365" t="e">
        <f>INDEX(PY905Data,MATCH($A257,PY905Row,0),MATCH($C$5,PY905Col,0))</f>
        <v>#N/A</v>
      </c>
      <c r="J257" s="249" t="e">
        <f t="shared" si="51"/>
        <v>#N/A</v>
      </c>
      <c r="L257" s="250" t="e">
        <f t="shared" si="52"/>
        <v>#N/A</v>
      </c>
      <c r="N257" s="988" t="s">
        <v>4907</v>
      </c>
    </row>
    <row r="258" spans="1:14" ht="13.5" thickBot="1" x14ac:dyDescent="0.25">
      <c r="B258" s="2881" t="s">
        <v>4908</v>
      </c>
      <c r="C258" s="2881"/>
      <c r="D258" s="2347"/>
      <c r="E258" s="2347"/>
      <c r="F258" s="241">
        <f>SUM(F255:F257)</f>
        <v>2586929488.8099999</v>
      </c>
      <c r="H258" s="241" t="e">
        <f>SUM(H255:H257)</f>
        <v>#N/A</v>
      </c>
    </row>
    <row r="259" spans="1:14" ht="6" customHeight="1" thickTop="1" x14ac:dyDescent="0.2"/>
    <row r="260" spans="1:14" x14ac:dyDescent="0.2">
      <c r="B260" s="203" t="s">
        <v>4909</v>
      </c>
      <c r="C260" s="203"/>
      <c r="D260" s="203"/>
      <c r="E260" s="203"/>
      <c r="F260" s="242" t="str">
        <f>IF(ROUND(F191-F258,2)=0,"In Bal.","Error")</f>
        <v>Error</v>
      </c>
      <c r="H260" s="242" t="e">
        <f>IF(ROUND(H191-H258,2)=0,"In Bal.","Error")</f>
        <v>#N/A</v>
      </c>
    </row>
    <row r="261" spans="1:14" x14ac:dyDescent="0.2">
      <c r="B261" s="2347"/>
      <c r="C261" s="2347"/>
      <c r="D261" s="2347"/>
      <c r="E261" s="2347"/>
    </row>
  </sheetData>
  <sheetProtection algorithmName="SHA-512" hashValue="M763ge9WNwjj3iloyOYSlAxLpaKl56mS8L9yF12QHogUYtH6BaurHFf32GQ2jSfAMyIoSXnYHQIsVXajMVOWLw==" saltValue="m+Qq/inkhHEmFW3Byo2vhA==" spinCount="100000" sheet="1" objects="1" scenarios="1" autoFilter="0"/>
  <mergeCells count="233">
    <mergeCell ref="B243:C243"/>
    <mergeCell ref="B228:C228"/>
    <mergeCell ref="B229:C229"/>
    <mergeCell ref="P172:Q172"/>
    <mergeCell ref="P175:Q175"/>
    <mergeCell ref="B168:E168"/>
    <mergeCell ref="B169:E169"/>
    <mergeCell ref="B170:E170"/>
    <mergeCell ref="B171:E171"/>
    <mergeCell ref="B172:E172"/>
    <mergeCell ref="B175:E175"/>
    <mergeCell ref="P170:Q170"/>
    <mergeCell ref="P171:Q171"/>
    <mergeCell ref="B176:E176"/>
    <mergeCell ref="B238:C238"/>
    <mergeCell ref="B227:C227"/>
    <mergeCell ref="N1:N3"/>
    <mergeCell ref="I5:L5"/>
    <mergeCell ref="C6:F6"/>
    <mergeCell ref="J6:L6"/>
    <mergeCell ref="A1:G1"/>
    <mergeCell ref="A2:G2"/>
    <mergeCell ref="B3:G3"/>
    <mergeCell ref="A4:G4"/>
    <mergeCell ref="P177:Q177"/>
    <mergeCell ref="P92:Q92"/>
    <mergeCell ref="P97:Q97"/>
    <mergeCell ref="B109:C109"/>
    <mergeCell ref="B110:C110"/>
    <mergeCell ref="B113:C113"/>
    <mergeCell ref="B132:E132"/>
    <mergeCell ref="B103:C103"/>
    <mergeCell ref="B104:C104"/>
    <mergeCell ref="B105:C105"/>
    <mergeCell ref="P95:Q95"/>
    <mergeCell ref="P96:Q96"/>
    <mergeCell ref="B91:E91"/>
    <mergeCell ref="B92:E92"/>
    <mergeCell ref="B95:E95"/>
    <mergeCell ref="B96:E96"/>
    <mergeCell ref="B20:C20"/>
    <mergeCell ref="B21:C21"/>
    <mergeCell ref="B22:C22"/>
    <mergeCell ref="B24:C24"/>
    <mergeCell ref="B25:C25"/>
    <mergeCell ref="B26:C26"/>
    <mergeCell ref="B13:C13"/>
    <mergeCell ref="B14:C14"/>
    <mergeCell ref="B15:C15"/>
    <mergeCell ref="B16:C16"/>
    <mergeCell ref="B17:C17"/>
    <mergeCell ref="B19:C19"/>
    <mergeCell ref="B23:C23"/>
    <mergeCell ref="B37:C37"/>
    <mergeCell ref="B38:C38"/>
    <mergeCell ref="B41:C41"/>
    <mergeCell ref="B42:C42"/>
    <mergeCell ref="B44:C44"/>
    <mergeCell ref="B45:C45"/>
    <mergeCell ref="B27:C27"/>
    <mergeCell ref="B28:C28"/>
    <mergeCell ref="B29:C29"/>
    <mergeCell ref="B32:C32"/>
    <mergeCell ref="B33:C33"/>
    <mergeCell ref="B34:C34"/>
    <mergeCell ref="B36:C36"/>
    <mergeCell ref="B35:C35"/>
    <mergeCell ref="B30:C30"/>
    <mergeCell ref="B31:E31"/>
    <mergeCell ref="B54:C54"/>
    <mergeCell ref="B55:C55"/>
    <mergeCell ref="B56:C56"/>
    <mergeCell ref="B57:C57"/>
    <mergeCell ref="B58:C58"/>
    <mergeCell ref="B61:C61"/>
    <mergeCell ref="B46:C46"/>
    <mergeCell ref="B47:C47"/>
    <mergeCell ref="B48:C48"/>
    <mergeCell ref="B51:C51"/>
    <mergeCell ref="B52:C52"/>
    <mergeCell ref="B53:C53"/>
    <mergeCell ref="B59:C59"/>
    <mergeCell ref="B60:C60"/>
    <mergeCell ref="B49:C49"/>
    <mergeCell ref="B50:E50"/>
    <mergeCell ref="B69:C69"/>
    <mergeCell ref="B71:C71"/>
    <mergeCell ref="B72:C72"/>
    <mergeCell ref="B73:C73"/>
    <mergeCell ref="B74:C74"/>
    <mergeCell ref="B79:C79"/>
    <mergeCell ref="B63:C63"/>
    <mergeCell ref="B64:C64"/>
    <mergeCell ref="B65:C65"/>
    <mergeCell ref="B66:C66"/>
    <mergeCell ref="B67:C67"/>
    <mergeCell ref="B68:C68"/>
    <mergeCell ref="B75:C75"/>
    <mergeCell ref="B76:C76"/>
    <mergeCell ref="B77:C77"/>
    <mergeCell ref="B78:C78"/>
    <mergeCell ref="B97:E97"/>
    <mergeCell ref="B114:C114"/>
    <mergeCell ref="B115:C115"/>
    <mergeCell ref="B80:C80"/>
    <mergeCell ref="B83:C83"/>
    <mergeCell ref="B84:C84"/>
    <mergeCell ref="B85:C85"/>
    <mergeCell ref="B86:C86"/>
    <mergeCell ref="B88:C88"/>
    <mergeCell ref="B94:E94"/>
    <mergeCell ref="B93:E93"/>
    <mergeCell ref="B81:C81"/>
    <mergeCell ref="B82:C82"/>
    <mergeCell ref="B116:C116"/>
    <mergeCell ref="B117:C117"/>
    <mergeCell ref="B118:C118"/>
    <mergeCell ref="B119:C119"/>
    <mergeCell ref="B120:C120"/>
    <mergeCell ref="B121:C121"/>
    <mergeCell ref="B106:C106"/>
    <mergeCell ref="B107:C107"/>
    <mergeCell ref="B98:C98"/>
    <mergeCell ref="B111:C111"/>
    <mergeCell ref="B112:C112"/>
    <mergeCell ref="B133:E133"/>
    <mergeCell ref="B137:C137"/>
    <mergeCell ref="B122:C122"/>
    <mergeCell ref="B124:C124"/>
    <mergeCell ref="B126:C126"/>
    <mergeCell ref="B127:C127"/>
    <mergeCell ref="B129:C129"/>
    <mergeCell ref="B123:C123"/>
    <mergeCell ref="B130:C130"/>
    <mergeCell ref="B135:C135"/>
    <mergeCell ref="B136:C136"/>
    <mergeCell ref="B128:C128"/>
    <mergeCell ref="B125:C125"/>
    <mergeCell ref="B244:C244"/>
    <mergeCell ref="B155:C155"/>
    <mergeCell ref="B156:C156"/>
    <mergeCell ref="B161:C161"/>
    <mergeCell ref="B162:C162"/>
    <mergeCell ref="B154:C154"/>
    <mergeCell ref="B158:E158"/>
    <mergeCell ref="B159:E159"/>
    <mergeCell ref="B200:C200"/>
    <mergeCell ref="B201:C201"/>
    <mergeCell ref="B184:C184"/>
    <mergeCell ref="B185:C185"/>
    <mergeCell ref="B187:C187"/>
    <mergeCell ref="B188:C188"/>
    <mergeCell ref="B189:C189"/>
    <mergeCell ref="B190:C190"/>
    <mergeCell ref="B178:C178"/>
    <mergeCell ref="B181:C181"/>
    <mergeCell ref="B230:C230"/>
    <mergeCell ref="B177:E177"/>
    <mergeCell ref="B183:C183"/>
    <mergeCell ref="B223:C223"/>
    <mergeCell ref="B224:C224"/>
    <mergeCell ref="B199:C199"/>
    <mergeCell ref="B143:C143"/>
    <mergeCell ref="B231:C231"/>
    <mergeCell ref="B216:C216"/>
    <mergeCell ref="B217:C217"/>
    <mergeCell ref="B218:C218"/>
    <mergeCell ref="B258:C258"/>
    <mergeCell ref="B250:C250"/>
    <mergeCell ref="B251:C251"/>
    <mergeCell ref="B252:C252"/>
    <mergeCell ref="B253:C253"/>
    <mergeCell ref="B254:C254"/>
    <mergeCell ref="B255:C255"/>
    <mergeCell ref="B233:C233"/>
    <mergeCell ref="B235:C235"/>
    <mergeCell ref="B236:C236"/>
    <mergeCell ref="B237:C237"/>
    <mergeCell ref="B239:C239"/>
    <mergeCell ref="B240:C240"/>
    <mergeCell ref="B248:C248"/>
    <mergeCell ref="B249:C249"/>
    <mergeCell ref="B256:C256"/>
    <mergeCell ref="B257:C257"/>
    <mergeCell ref="B241:C241"/>
    <mergeCell ref="B242:C242"/>
    <mergeCell ref="B245:C245"/>
    <mergeCell ref="B246:C246"/>
    <mergeCell ref="B247:C247"/>
    <mergeCell ref="P93:Q93"/>
    <mergeCell ref="B131:C131"/>
    <mergeCell ref="B157:C157"/>
    <mergeCell ref="P94:Q94"/>
    <mergeCell ref="B134:C134"/>
    <mergeCell ref="B160:C160"/>
    <mergeCell ref="B173:E173"/>
    <mergeCell ref="P173:Q173"/>
    <mergeCell ref="B174:E174"/>
    <mergeCell ref="P174:Q174"/>
    <mergeCell ref="B163:C163"/>
    <mergeCell ref="B165:C165"/>
    <mergeCell ref="B147:C147"/>
    <mergeCell ref="B148:C148"/>
    <mergeCell ref="B150:C150"/>
    <mergeCell ref="B152:C152"/>
    <mergeCell ref="B153:C153"/>
    <mergeCell ref="B141:C141"/>
    <mergeCell ref="B142:C142"/>
    <mergeCell ref="B232:C232"/>
    <mergeCell ref="B234:C234"/>
    <mergeCell ref="B149:C149"/>
    <mergeCell ref="B144:C144"/>
    <mergeCell ref="B145:C145"/>
    <mergeCell ref="B146:C146"/>
    <mergeCell ref="B220:C220"/>
    <mergeCell ref="B221:C221"/>
    <mergeCell ref="B222:C222"/>
    <mergeCell ref="B214:C214"/>
    <mergeCell ref="B215:C215"/>
    <mergeCell ref="B202:C202"/>
    <mergeCell ref="B203:C203"/>
    <mergeCell ref="B204:C204"/>
    <mergeCell ref="B205:C205"/>
    <mergeCell ref="B206:C206"/>
    <mergeCell ref="B207:C207"/>
    <mergeCell ref="B208:C208"/>
    <mergeCell ref="B211:E211"/>
    <mergeCell ref="B212:C212"/>
    <mergeCell ref="B213:C213"/>
    <mergeCell ref="B191:C191"/>
    <mergeCell ref="B197:C197"/>
    <mergeCell ref="B198:C198"/>
    <mergeCell ref="B151:C151"/>
  </mergeCells>
  <conditionalFormatting sqref="N1:N3">
    <cfRule type="cellIs" dxfId="6" priority="2" stopIfTrue="1" operator="equal">
      <formula>"na"</formula>
    </cfRule>
  </conditionalFormatting>
  <conditionalFormatting sqref="N1:N1048576">
    <cfRule type="containsText" dxfId="5" priority="1" operator="containsText" text="C">
      <formula>NOT(ISERROR(SEARCH("C",N1)))</formula>
    </cfRule>
  </conditionalFormatting>
  <dataValidations disablePrompts="1" count="1">
    <dataValidation type="textLength" operator="equal" allowBlank="1" showInputMessage="1" showErrorMessage="1" errorTitle="Invalid data!" error="GASB number must be 4 digits." sqref="G7" xr:uid="{00000000-0002-0000-5200-000000000000}">
      <formula1>4</formula1>
    </dataValidation>
  </dataValidations>
  <hyperlinks>
    <hyperlink ref="B1:L1" location="Index!A1" display="Index!A1" xr:uid="{00000000-0004-0000-5200-000000000000}"/>
  </hyperlinks>
  <printOptions headings="1"/>
  <pageMargins left="0.75" right="0.5" top="0.5" bottom="0.5" header="0.5" footer="0.25"/>
  <pageSetup scale="72" fitToHeight="0" orientation="portrait" r:id="rId1"/>
  <headerFooter alignWithMargins="0">
    <oddFooter>&amp;L&amp;D &amp;T&amp;R&amp;A (&amp;P of &amp;N)</oddFooter>
  </headerFooter>
  <rowBreaks count="3" manualBreakCount="3">
    <brk id="69" max="13" man="1"/>
    <brk id="134" max="13" man="1"/>
    <brk id="194" max="13" man="1"/>
  </rowBreaks>
  <legacy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6"/>
  <dimension ref="A1:W94"/>
  <sheetViews>
    <sheetView showGridLines="0" zoomScaleNormal="100" workbookViewId="0">
      <selection activeCell="A2" sqref="A2"/>
    </sheetView>
  </sheetViews>
  <sheetFormatPr defaultColWidth="9.42578125" defaultRowHeight="12.75" x14ac:dyDescent="0.2"/>
  <cols>
    <col min="1" max="1" width="4.42578125" customWidth="1"/>
    <col min="2" max="2" width="15.42578125" customWidth="1"/>
    <col min="3" max="3" width="21.42578125" customWidth="1"/>
    <col min="4" max="4" width="19.42578125" style="365" customWidth="1"/>
    <col min="5" max="5" width="1.5703125" customWidth="1"/>
    <col min="6" max="6" width="17.5703125" style="365" customWidth="1"/>
    <col min="7" max="7" width="1.42578125" customWidth="1"/>
    <col min="8" max="8" width="15.5703125" customWidth="1"/>
    <col min="9" max="9" width="1.42578125" customWidth="1"/>
    <col min="10" max="10" width="7.5703125" customWidth="1"/>
    <col min="11" max="11" width="1.42578125" customWidth="1"/>
    <col min="12" max="12" width="4.5703125" customWidth="1"/>
  </cols>
  <sheetData>
    <row r="1" spans="1:23" ht="15.75" x14ac:dyDescent="0.25">
      <c r="B1" s="2455" t="str">
        <f>+Index!$A$1</f>
        <v xml:space="preserve">                                                               Office of the State Controller                                                                </v>
      </c>
      <c r="C1" s="2455"/>
      <c r="D1" s="2455"/>
      <c r="E1" s="2455"/>
      <c r="F1" s="2455"/>
      <c r="G1" s="2455"/>
      <c r="H1" s="2455"/>
      <c r="I1" s="2455"/>
      <c r="J1" s="2455"/>
      <c r="K1" s="2455"/>
      <c r="L1" s="2456" t="str">
        <f>IF(Index!$B$114="na","NA","")</f>
        <v/>
      </c>
      <c r="M1" s="2214"/>
      <c r="O1" s="2214"/>
      <c r="P1" s="2214"/>
      <c r="Q1" s="2214"/>
      <c r="R1" s="2214"/>
      <c r="S1" s="2214"/>
      <c r="T1" s="2214"/>
      <c r="U1" s="2214"/>
      <c r="V1" s="2214"/>
    </row>
    <row r="2" spans="1:23" ht="16.5" x14ac:dyDescent="0.3">
      <c r="B2" s="2439" t="str">
        <f>+Index!$A$2</f>
        <v>2023 ACFR Worksheets</v>
      </c>
      <c r="C2" s="2439"/>
      <c r="D2" s="2439"/>
      <c r="E2" s="2439"/>
      <c r="F2" s="2439"/>
      <c r="G2" s="2439"/>
      <c r="H2" s="2439"/>
      <c r="I2" s="2439"/>
      <c r="J2" s="2439"/>
      <c r="K2" s="2439"/>
      <c r="L2" s="2456"/>
      <c r="M2" s="2208"/>
      <c r="O2" s="353"/>
      <c r="P2" s="353"/>
      <c r="Q2" s="353"/>
      <c r="R2" s="353"/>
      <c r="S2" s="353"/>
      <c r="T2" s="353"/>
      <c r="U2" s="353"/>
      <c r="V2" s="353"/>
    </row>
    <row r="3" spans="1:23" ht="16.5" customHeight="1" x14ac:dyDescent="0.3">
      <c r="B3" s="2978" t="s">
        <v>4917</v>
      </c>
      <c r="C3" s="2978"/>
      <c r="D3" s="2978"/>
      <c r="E3" s="2978"/>
      <c r="F3" s="2978"/>
      <c r="G3" s="2978"/>
      <c r="H3" s="2978"/>
      <c r="I3" s="2978"/>
      <c r="J3" s="2978"/>
      <c r="K3" s="2978"/>
      <c r="L3" s="2456"/>
      <c r="M3" s="2372"/>
      <c r="O3" s="353"/>
      <c r="P3" s="353"/>
      <c r="Q3" s="353"/>
      <c r="R3" s="353"/>
      <c r="S3" s="353"/>
      <c r="T3" s="353"/>
      <c r="U3" s="353"/>
      <c r="V3" s="353"/>
    </row>
    <row r="4" spans="1:23" x14ac:dyDescent="0.2">
      <c r="A4" s="843" t="s">
        <v>4918</v>
      </c>
      <c r="B4" s="804"/>
      <c r="C4" s="804"/>
      <c r="D4" s="804"/>
      <c r="F4"/>
      <c r="J4" s="233"/>
    </row>
    <row r="5" spans="1:23" s="124" customFormat="1" ht="15" customHeight="1" x14ac:dyDescent="0.2">
      <c r="B5" s="124" t="s">
        <v>317</v>
      </c>
      <c r="C5" s="359" t="s">
        <v>4642</v>
      </c>
      <c r="F5" s="455" t="s">
        <v>319</v>
      </c>
      <c r="G5" s="2979" t="str">
        <f>+CONCATENATE(Index!$E$12," ",Index!$E$14)</f>
        <v xml:space="preserve"> </v>
      </c>
      <c r="H5" s="2979"/>
      <c r="I5" s="2979"/>
      <c r="J5" s="2979"/>
      <c r="K5"/>
      <c r="L5"/>
      <c r="M5"/>
      <c r="O5" s="354"/>
      <c r="W5" s="123"/>
    </row>
    <row r="6" spans="1:23" s="124" customFormat="1" ht="15" customHeight="1" x14ac:dyDescent="0.2">
      <c r="B6" s="124" t="s">
        <v>318</v>
      </c>
      <c r="C6" s="2993" t="s">
        <v>4643</v>
      </c>
      <c r="D6" s="2993"/>
      <c r="F6" s="354"/>
      <c r="G6" s="354"/>
      <c r="O6" s="355"/>
      <c r="P6" s="355"/>
      <c r="Q6" s="355"/>
      <c r="R6" s="355"/>
      <c r="S6" s="355"/>
      <c r="T6" s="355"/>
      <c r="U6" s="355"/>
      <c r="V6" s="125"/>
      <c r="W6" s="123"/>
    </row>
    <row r="7" spans="1:23" s="124" customFormat="1" ht="15" customHeight="1" x14ac:dyDescent="0.2">
      <c r="B7" s="124" t="s">
        <v>568</v>
      </c>
      <c r="C7" s="617" t="s">
        <v>4919</v>
      </c>
      <c r="E7" s="354"/>
      <c r="F7" s="455" t="s">
        <v>71</v>
      </c>
      <c r="H7" s="2979">
        <f>+Index!$E$13</f>
        <v>0</v>
      </c>
      <c r="I7" s="2979"/>
      <c r="J7" s="2979"/>
      <c r="W7" s="123"/>
    </row>
    <row r="8" spans="1:23" s="27" customFormat="1" ht="12" customHeight="1" thickBot="1" x14ac:dyDescent="0.25">
      <c r="B8" s="1702"/>
      <c r="C8" s="1702"/>
      <c r="D8" s="1702"/>
      <c r="E8" s="1702"/>
      <c r="F8" s="1702"/>
      <c r="G8" s="1702"/>
      <c r="H8" s="1702"/>
      <c r="I8" s="1702"/>
      <c r="J8" s="1702"/>
      <c r="K8" s="1702"/>
    </row>
    <row r="9" spans="1:23" x14ac:dyDescent="0.2">
      <c r="D9" s="742" t="s">
        <v>4920</v>
      </c>
      <c r="F9" s="742" t="s">
        <v>4921</v>
      </c>
    </row>
    <row r="10" spans="1:23" ht="12.75" customHeight="1" x14ac:dyDescent="0.25">
      <c r="B10" s="232"/>
      <c r="C10" s="232"/>
      <c r="D10" s="244" t="str">
        <f>CONCATENATE("FY",YEAR(Data!$A$3),"-",YEAR(Data!$A$2))</f>
        <v>FY2022-2023</v>
      </c>
      <c r="E10" s="245"/>
      <c r="F10" s="244" t="str">
        <f>CONCATENATE("FY",YEAR(Data!$A$3)-1,"-",YEAR(Data!$A$2)-1)</f>
        <v>FY2021-2022</v>
      </c>
      <c r="G10" s="246"/>
      <c r="H10" s="244" t="s">
        <v>2299</v>
      </c>
      <c r="I10" s="247"/>
      <c r="J10" s="248" t="s">
        <v>4829</v>
      </c>
      <c r="K10" s="247"/>
    </row>
    <row r="12" spans="1:23" x14ac:dyDescent="0.2">
      <c r="B12" s="2371" t="s">
        <v>576</v>
      </c>
      <c r="C12" s="2377"/>
    </row>
    <row r="13" spans="1:23" ht="13.5" x14ac:dyDescent="0.25">
      <c r="B13" s="2881" t="s">
        <v>2624</v>
      </c>
      <c r="C13" s="2881"/>
      <c r="D13" s="366">
        <f>'906-6B'!J11</f>
        <v>0</v>
      </c>
      <c r="F13" s="475">
        <f>HLOOKUP($C$5,PriorYr906!$J$9:$K$87,3,FALSE)</f>
        <v>0</v>
      </c>
      <c r="H13" s="249">
        <f>D13-F13</f>
        <v>0</v>
      </c>
      <c r="J13" s="250">
        <f>IF(F13=0,0,H13/F13)</f>
        <v>0</v>
      </c>
    </row>
    <row r="14" spans="1:23" ht="13.5" x14ac:dyDescent="0.25">
      <c r="B14" s="1978" t="s">
        <v>4646</v>
      </c>
      <c r="C14" s="2347"/>
      <c r="D14" s="366"/>
      <c r="F14" s="2367"/>
      <c r="H14" s="249"/>
      <c r="J14" s="250"/>
    </row>
    <row r="15" spans="1:23" ht="13.5" x14ac:dyDescent="0.25">
      <c r="B15" s="2881" t="s">
        <v>4647</v>
      </c>
      <c r="C15" s="2881"/>
      <c r="D15" s="365">
        <f>'906-6B'!J13</f>
        <v>0</v>
      </c>
      <c r="F15" s="233">
        <f>HLOOKUP($C$5,PriorYr906!$J$9:$K$87,5,FALSE)</f>
        <v>0</v>
      </c>
      <c r="H15" s="249">
        <f>D15-F15</f>
        <v>0</v>
      </c>
      <c r="J15" s="250">
        <f>IF(F15=0,0,H15/F15)</f>
        <v>0</v>
      </c>
    </row>
    <row r="16" spans="1:23" ht="13.5" x14ac:dyDescent="0.25">
      <c r="B16" s="2881" t="s">
        <v>4922</v>
      </c>
      <c r="C16" s="2881"/>
      <c r="D16" s="365">
        <f>'906-6B'!J14</f>
        <v>0</v>
      </c>
      <c r="F16" s="233">
        <f>HLOOKUP($C$5,PriorYr906!$J$9:$K$87,6,FALSE)</f>
        <v>0</v>
      </c>
      <c r="H16" s="249">
        <f t="shared" ref="H16:H40" si="0">D16-F16</f>
        <v>0</v>
      </c>
      <c r="J16" s="250">
        <f t="shared" ref="J16:J40" si="1">IF(F16=0,0,H16/F16)</f>
        <v>0</v>
      </c>
    </row>
    <row r="17" spans="2:10" ht="13.5" x14ac:dyDescent="0.25">
      <c r="B17" s="2881" t="s">
        <v>4923</v>
      </c>
      <c r="C17" s="2881"/>
      <c r="D17" s="365">
        <f>'906-6B'!J15</f>
        <v>0</v>
      </c>
      <c r="F17" s="233">
        <f>HLOOKUP($C$5,PriorYr906!$J$9:$K$87,7,FALSE)</f>
        <v>0</v>
      </c>
      <c r="H17" s="249">
        <f t="shared" si="0"/>
        <v>0</v>
      </c>
      <c r="J17" s="250">
        <f t="shared" si="1"/>
        <v>0</v>
      </c>
    </row>
    <row r="18" spans="2:10" ht="13.5" x14ac:dyDescent="0.25">
      <c r="B18" s="2881" t="s">
        <v>4651</v>
      </c>
      <c r="C18" s="2881"/>
      <c r="D18" s="365">
        <f>'906-6B'!J16</f>
        <v>0</v>
      </c>
      <c r="F18" s="233">
        <f>HLOOKUP($C$5,PriorYr906!$J$9:$K$87,8,FALSE)</f>
        <v>0</v>
      </c>
      <c r="H18" s="249">
        <f t="shared" si="0"/>
        <v>0</v>
      </c>
      <c r="J18" s="250">
        <f t="shared" si="1"/>
        <v>0</v>
      </c>
    </row>
    <row r="19" spans="2:10" ht="13.5" x14ac:dyDescent="0.25">
      <c r="B19" s="2881" t="s">
        <v>4652</v>
      </c>
      <c r="C19" s="2881"/>
      <c r="D19" s="365">
        <f>'906-6B'!J17</f>
        <v>0</v>
      </c>
      <c r="F19" s="233">
        <f>HLOOKUP($C$5,PriorYr906!$J$9:$K$87,9,FALSE)</f>
        <v>0</v>
      </c>
      <c r="H19" s="249">
        <f t="shared" si="0"/>
        <v>0</v>
      </c>
      <c r="J19" s="250">
        <f t="shared" si="1"/>
        <v>0</v>
      </c>
    </row>
    <row r="20" spans="2:10" ht="13.5" x14ac:dyDescent="0.25">
      <c r="B20" s="2881" t="s">
        <v>4653</v>
      </c>
      <c r="C20" s="2881"/>
      <c r="D20" s="365">
        <f>'906-6B'!J18</f>
        <v>0</v>
      </c>
      <c r="F20" s="233">
        <f>HLOOKUP($C$5,PriorYr906!$J$9:$K$87,10,FALSE)</f>
        <v>0</v>
      </c>
      <c r="H20" s="249">
        <f>D20-F20</f>
        <v>0</v>
      </c>
      <c r="J20" s="250">
        <f>IF(F20=0,0,H20/F20)</f>
        <v>0</v>
      </c>
    </row>
    <row r="21" spans="2:10" ht="13.5" x14ac:dyDescent="0.25">
      <c r="B21" s="2881" t="s">
        <v>4654</v>
      </c>
      <c r="C21" s="2881"/>
      <c r="D21" s="365">
        <f>'906-6B'!J19</f>
        <v>0</v>
      </c>
      <c r="F21" s="233">
        <f>HLOOKUP($C$5,PriorYr906!$J$9:$K$87,11,FALSE)</f>
        <v>0</v>
      </c>
      <c r="H21" s="249">
        <f t="shared" si="0"/>
        <v>0</v>
      </c>
      <c r="J21" s="250">
        <f t="shared" si="1"/>
        <v>0</v>
      </c>
    </row>
    <row r="22" spans="2:10" ht="13.5" x14ac:dyDescent="0.25">
      <c r="B22" s="2881" t="s">
        <v>4655</v>
      </c>
      <c r="C22" s="2881"/>
      <c r="D22" s="365">
        <f>'906-6B'!J20</f>
        <v>0</v>
      </c>
      <c r="F22" s="233">
        <f>HLOOKUP($C$5,PriorYr906!$J$9:$K$87,12,FALSE)</f>
        <v>0</v>
      </c>
      <c r="H22" s="249">
        <f t="shared" si="0"/>
        <v>0</v>
      </c>
      <c r="J22" s="250">
        <f t="shared" si="1"/>
        <v>0</v>
      </c>
    </row>
    <row r="23" spans="2:10" ht="13.5" x14ac:dyDescent="0.25">
      <c r="B23" s="2881" t="s">
        <v>4656</v>
      </c>
      <c r="C23" s="2881"/>
      <c r="D23" s="365">
        <f>'906-6B'!J21</f>
        <v>0</v>
      </c>
      <c r="F23" s="233">
        <f>HLOOKUP($C$5,PriorYr906!$J$9:$K$87,13,FALSE)</f>
        <v>0</v>
      </c>
      <c r="H23" s="249">
        <f t="shared" si="0"/>
        <v>0</v>
      </c>
      <c r="J23" s="250">
        <f t="shared" si="1"/>
        <v>0</v>
      </c>
    </row>
    <row r="24" spans="2:10" ht="13.5" x14ac:dyDescent="0.25">
      <c r="B24" s="2881" t="s">
        <v>4657</v>
      </c>
      <c r="C24" s="2881"/>
      <c r="D24" s="365">
        <f>'906-6B'!J22</f>
        <v>0</v>
      </c>
      <c r="F24" s="233">
        <f>HLOOKUP($C$5,PriorYr906!$J$9:$K$87,14,FALSE)</f>
        <v>0</v>
      </c>
      <c r="H24" s="249">
        <f t="shared" si="0"/>
        <v>0</v>
      </c>
      <c r="J24" s="250">
        <f t="shared" si="1"/>
        <v>0</v>
      </c>
    </row>
    <row r="25" spans="2:10" ht="13.5" x14ac:dyDescent="0.25">
      <c r="B25" s="2881" t="s">
        <v>4658</v>
      </c>
      <c r="C25" s="2881"/>
      <c r="D25" s="365">
        <f>'906-6B'!J23</f>
        <v>0</v>
      </c>
      <c r="F25" s="233">
        <f>HLOOKUP($C$5,PriorYr906!$J$9:$K$87,15,FALSE)</f>
        <v>0</v>
      </c>
      <c r="H25" s="249">
        <f t="shared" si="0"/>
        <v>0</v>
      </c>
      <c r="J25" s="250">
        <f t="shared" si="1"/>
        <v>0</v>
      </c>
    </row>
    <row r="26" spans="2:10" ht="13.5" x14ac:dyDescent="0.25">
      <c r="B26" s="2881" t="s">
        <v>4924</v>
      </c>
      <c r="C26" s="2881"/>
      <c r="D26" s="365">
        <f>'906-6B'!J24</f>
        <v>0</v>
      </c>
      <c r="F26" s="233">
        <f>HLOOKUP($C$5,PriorYr906!$J$9:$K$87,16,FALSE)</f>
        <v>6920601.2800000003</v>
      </c>
      <c r="H26" s="249">
        <f t="shared" si="0"/>
        <v>-6920601.2800000003</v>
      </c>
      <c r="J26" s="250">
        <f t="shared" si="1"/>
        <v>-1</v>
      </c>
    </row>
    <row r="27" spans="2:10" ht="13.5" x14ac:dyDescent="0.25">
      <c r="B27" s="2881" t="s">
        <v>4661</v>
      </c>
      <c r="C27" s="2881"/>
      <c r="D27" s="365">
        <f>'906-6B'!J25</f>
        <v>0</v>
      </c>
      <c r="F27" s="233">
        <f>HLOOKUP($C$5,PriorYr906!$J$9:$K$87,17,FALSE)</f>
        <v>0</v>
      </c>
      <c r="H27" s="249">
        <f>D27-F27</f>
        <v>0</v>
      </c>
      <c r="J27" s="250">
        <f>IF(F27=0,0,H27/F27)</f>
        <v>0</v>
      </c>
    </row>
    <row r="28" spans="2:10" ht="13.5" x14ac:dyDescent="0.25">
      <c r="B28" s="2881" t="s">
        <v>4662</v>
      </c>
      <c r="C28" s="2881"/>
      <c r="D28" s="365">
        <f>'906-6B'!J26</f>
        <v>0</v>
      </c>
      <c r="F28" s="233">
        <f>HLOOKUP($C$5,PriorYr906!$J$9:$K$87,18,FALSE)</f>
        <v>40189699.240000002</v>
      </c>
      <c r="H28" s="249">
        <f>D28-F28</f>
        <v>-40189699.240000002</v>
      </c>
      <c r="J28" s="250">
        <f>IF(F28=0,0,H28/F28)</f>
        <v>-1</v>
      </c>
    </row>
    <row r="29" spans="2:10" ht="13.5" x14ac:dyDescent="0.25">
      <c r="B29" s="2881" t="s">
        <v>4664</v>
      </c>
      <c r="C29" s="2881"/>
      <c r="D29" s="365">
        <f>'906-6B'!J27</f>
        <v>0</v>
      </c>
      <c r="F29" s="233">
        <f>HLOOKUP($C$5,PriorYr906!$J$9:$K$87,19,FALSE)</f>
        <v>339253945.89999998</v>
      </c>
      <c r="H29" s="249">
        <f>D29-F29</f>
        <v>-339253945.89999998</v>
      </c>
      <c r="J29" s="250">
        <f>IF(F29=0,0,H29/F29)</f>
        <v>-1</v>
      </c>
    </row>
    <row r="30" spans="2:10" ht="13.5" x14ac:dyDescent="0.25">
      <c r="B30" s="2881" t="s">
        <v>4925</v>
      </c>
      <c r="C30" s="2881"/>
      <c r="D30" s="365">
        <f>'906-6B'!J28</f>
        <v>0</v>
      </c>
      <c r="F30" s="233">
        <f>HLOOKUP($C$5,PriorYr906!$J$9:$K$87,20,FALSE)</f>
        <v>1580511862.3599999</v>
      </c>
      <c r="H30" s="249">
        <f>D30-F30</f>
        <v>-1580511862.3599999</v>
      </c>
      <c r="J30" s="250">
        <f>IF(F30=0,0,H30/F30)</f>
        <v>-1</v>
      </c>
    </row>
    <row r="31" spans="2:10" ht="13.5" x14ac:dyDescent="0.25">
      <c r="B31" s="2881" t="s">
        <v>2930</v>
      </c>
      <c r="C31" s="2881"/>
      <c r="D31" s="365">
        <f>'906-6B'!J29</f>
        <v>0</v>
      </c>
      <c r="F31" s="233">
        <f>HLOOKUP($C$5,PriorYr906!$J$9:$K$87,21,FALSE)</f>
        <v>0</v>
      </c>
      <c r="H31" s="249">
        <f>D31-F31</f>
        <v>0</v>
      </c>
      <c r="J31" s="250">
        <f>IF(F31=0,0,H31/F31)</f>
        <v>0</v>
      </c>
    </row>
    <row r="32" spans="2:10" ht="13.5" x14ac:dyDescent="0.25">
      <c r="B32" s="1978" t="s">
        <v>2629</v>
      </c>
      <c r="C32" s="2347"/>
      <c r="F32" s="233">
        <f>HLOOKUP($C$5,PriorYr906!$J$9:$K$87,22,FALSE)</f>
        <v>0</v>
      </c>
      <c r="H32" s="249"/>
      <c r="J32" s="250"/>
    </row>
    <row r="33" spans="2:10" ht="13.5" x14ac:dyDescent="0.25">
      <c r="B33" s="2976" t="s">
        <v>3091</v>
      </c>
      <c r="C33" s="2976"/>
      <c r="D33" s="365">
        <f>'906-6B'!J31</f>
        <v>0</v>
      </c>
      <c r="F33" s="233">
        <f>HLOOKUP($C$5,PriorYr906!$J$9:$K$87,23,FALSE)</f>
        <v>1154.6600000000001</v>
      </c>
      <c r="H33" s="249">
        <f t="shared" si="0"/>
        <v>-1154.6600000000001</v>
      </c>
      <c r="J33" s="250">
        <f t="shared" si="1"/>
        <v>-1</v>
      </c>
    </row>
    <row r="34" spans="2:10" ht="13.5" x14ac:dyDescent="0.25">
      <c r="B34" s="2987" t="s">
        <v>2632</v>
      </c>
      <c r="C34" s="2987"/>
      <c r="D34" s="365">
        <f>'906-6B'!J32</f>
        <v>0</v>
      </c>
      <c r="F34" s="233">
        <f>HLOOKUP($C$5,PriorYr906!$J$9:$K$87,24,FALSE)</f>
        <v>0</v>
      </c>
      <c r="H34" s="249">
        <f t="shared" si="0"/>
        <v>0</v>
      </c>
      <c r="J34" s="250">
        <f t="shared" si="1"/>
        <v>0</v>
      </c>
    </row>
    <row r="35" spans="2:10" ht="13.5" x14ac:dyDescent="0.25">
      <c r="B35" s="2987" t="s">
        <v>3100</v>
      </c>
      <c r="C35" s="2987"/>
      <c r="D35" s="365">
        <f>'906-6B'!J33</f>
        <v>0</v>
      </c>
      <c r="F35" s="233">
        <f>HLOOKUP($C$5,PriorYr906!$J$9:$K$87,25,FALSE)</f>
        <v>659638.49</v>
      </c>
      <c r="H35" s="249">
        <f t="shared" si="0"/>
        <v>-659638.49</v>
      </c>
      <c r="J35" s="250">
        <f t="shared" si="1"/>
        <v>-1</v>
      </c>
    </row>
    <row r="36" spans="2:10" ht="13.5" x14ac:dyDescent="0.25">
      <c r="B36" s="2881" t="s">
        <v>2640</v>
      </c>
      <c r="C36" s="2881"/>
      <c r="D36" s="365">
        <f>'906-6B'!J34</f>
        <v>0</v>
      </c>
      <c r="F36" s="233">
        <f>HLOOKUP($C$5,PriorYr906!$J$9:$K$87,26,FALSE)</f>
        <v>20710751.27</v>
      </c>
      <c r="H36" s="249">
        <f t="shared" si="0"/>
        <v>-20710751.27</v>
      </c>
      <c r="J36" s="250">
        <f t="shared" si="1"/>
        <v>-1</v>
      </c>
    </row>
    <row r="37" spans="2:10" ht="13.5" x14ac:dyDescent="0.25">
      <c r="B37" s="2881" t="s">
        <v>2638</v>
      </c>
      <c r="C37" s="2881"/>
      <c r="D37" s="365">
        <f>'906-6B'!J35</f>
        <v>0</v>
      </c>
      <c r="F37" s="233">
        <f>HLOOKUP($C$5,PriorYr906!$J$9:$K$87,27,FALSE)</f>
        <v>0</v>
      </c>
      <c r="H37" s="249">
        <f t="shared" si="0"/>
        <v>0</v>
      </c>
      <c r="J37" s="250">
        <f t="shared" si="1"/>
        <v>0</v>
      </c>
    </row>
    <row r="38" spans="2:10" ht="13.5" x14ac:dyDescent="0.25">
      <c r="B38" s="2881" t="s">
        <v>4670</v>
      </c>
      <c r="C38" s="2881"/>
      <c r="D38" s="365">
        <f>'906-6B'!J36</f>
        <v>0</v>
      </c>
      <c r="F38" s="233">
        <f>HLOOKUP($C$5,PriorYr906!$J$9:$K$87,28,FALSE)</f>
        <v>0</v>
      </c>
      <c r="H38" s="249">
        <f t="shared" si="0"/>
        <v>0</v>
      </c>
      <c r="J38" s="250">
        <f t="shared" si="1"/>
        <v>0</v>
      </c>
    </row>
    <row r="39" spans="2:10" ht="13.5" x14ac:dyDescent="0.25">
      <c r="B39" s="2881" t="s">
        <v>4733</v>
      </c>
      <c r="C39" s="2881"/>
      <c r="D39" s="365">
        <f>'906-6B'!J37</f>
        <v>0</v>
      </c>
      <c r="F39" s="233">
        <f>HLOOKUP($C$5,PriorYr906!$J$9:$K$87,29,FALSE)</f>
        <v>0</v>
      </c>
      <c r="H39" s="249">
        <f t="shared" si="0"/>
        <v>0</v>
      </c>
      <c r="J39" s="250">
        <f t="shared" si="1"/>
        <v>0</v>
      </c>
    </row>
    <row r="40" spans="2:10" ht="13.5" x14ac:dyDescent="0.25">
      <c r="B40" s="2881" t="s">
        <v>4926</v>
      </c>
      <c r="C40" s="2881"/>
      <c r="D40" s="365">
        <f>'906-6B'!J38</f>
        <v>0</v>
      </c>
      <c r="F40" s="233">
        <f>HLOOKUP($C$5,PriorYr906!$J$9:$K$87,30,FALSE)</f>
        <v>0</v>
      </c>
      <c r="H40" s="249">
        <f t="shared" si="0"/>
        <v>0</v>
      </c>
      <c r="J40" s="250">
        <f t="shared" si="1"/>
        <v>0</v>
      </c>
    </row>
    <row r="41" spans="2:10" ht="13.5" x14ac:dyDescent="0.25">
      <c r="B41" s="2881" t="s">
        <v>1742</v>
      </c>
      <c r="C41" s="2881"/>
      <c r="D41" s="238">
        <f>SUM(D13:D40)</f>
        <v>0</v>
      </c>
      <c r="F41" s="403">
        <f>SUM(F12:F40)</f>
        <v>1988247653.2</v>
      </c>
      <c r="H41" s="249"/>
      <c r="J41" s="250"/>
    </row>
    <row r="42" spans="2:10" x14ac:dyDescent="0.2">
      <c r="B42" s="2377"/>
      <c r="C42" s="2377"/>
      <c r="F42" s="2347"/>
    </row>
    <row r="43" spans="2:10" x14ac:dyDescent="0.2">
      <c r="B43" s="2377" t="s">
        <v>4857</v>
      </c>
      <c r="C43" s="2377"/>
      <c r="F43" s="2347"/>
    </row>
    <row r="44" spans="2:10" x14ac:dyDescent="0.2">
      <c r="B44" s="191" t="s">
        <v>2691</v>
      </c>
      <c r="C44" s="191"/>
      <c r="F44" s="2347"/>
    </row>
    <row r="45" spans="2:10" ht="13.5" x14ac:dyDescent="0.25">
      <c r="B45" s="2987" t="s">
        <v>2729</v>
      </c>
      <c r="C45" s="2987"/>
      <c r="D45" s="365">
        <f>'906-6B'!J43</f>
        <v>0</v>
      </c>
      <c r="F45" s="233">
        <f>HLOOKUP($C$5,PriorYr906!$J$9:$K$87,35,FALSE)</f>
        <v>292326.01</v>
      </c>
      <c r="H45" s="249">
        <f t="shared" ref="H45:H53" si="2">D45-F45</f>
        <v>-292326.01</v>
      </c>
      <c r="J45" s="250">
        <f t="shared" ref="J45:J53" si="3">IF(F45=0,0,H45/F45)</f>
        <v>-1</v>
      </c>
    </row>
    <row r="46" spans="2:10" ht="13.5" x14ac:dyDescent="0.25">
      <c r="B46" s="2987" t="s">
        <v>2694</v>
      </c>
      <c r="C46" s="2987"/>
      <c r="D46" s="365">
        <f>'906-6B'!J44</f>
        <v>0</v>
      </c>
      <c r="F46" s="233">
        <f>HLOOKUP($C$5,PriorYr906!$J$9:$K$87,36,FALSE)</f>
        <v>0</v>
      </c>
      <c r="H46" s="249">
        <f t="shared" si="2"/>
        <v>0</v>
      </c>
      <c r="J46" s="250">
        <f t="shared" si="3"/>
        <v>0</v>
      </c>
    </row>
    <row r="47" spans="2:10" ht="13.5" x14ac:dyDescent="0.25">
      <c r="B47" s="2987" t="s">
        <v>4674</v>
      </c>
      <c r="C47" s="2987"/>
      <c r="D47" s="365">
        <f>'906-6B'!J45</f>
        <v>0</v>
      </c>
      <c r="F47" s="233">
        <f>HLOOKUP($C$5,PriorYr906!$J$9:$K$87,37,FALSE)</f>
        <v>0</v>
      </c>
      <c r="H47" s="249">
        <f t="shared" si="2"/>
        <v>0</v>
      </c>
      <c r="J47" s="250">
        <f t="shared" si="3"/>
        <v>0</v>
      </c>
    </row>
    <row r="48" spans="2:10" ht="13.5" x14ac:dyDescent="0.25">
      <c r="B48" s="2881" t="s">
        <v>2708</v>
      </c>
      <c r="C48" s="2881"/>
      <c r="D48" s="365">
        <f>'906-6B'!J46</f>
        <v>0</v>
      </c>
      <c r="F48" s="233">
        <f>HLOOKUP($C$5,PriorYr906!$J$9:$K$87,38,FALSE)</f>
        <v>0</v>
      </c>
      <c r="H48" s="249">
        <f>D48-F48</f>
        <v>0</v>
      </c>
      <c r="J48" s="250">
        <f>IF(F48=0,0,H48/F48)</f>
        <v>0</v>
      </c>
    </row>
    <row r="49" spans="2:10" ht="13.5" x14ac:dyDescent="0.25">
      <c r="B49" s="2881" t="s">
        <v>2706</v>
      </c>
      <c r="C49" s="2881"/>
      <c r="D49" s="365">
        <f>'906-6B'!J47</f>
        <v>0</v>
      </c>
      <c r="F49" s="233">
        <f>HLOOKUP($C$5,PriorYr906!$J$9:$K$87,39,FALSE)</f>
        <v>0</v>
      </c>
      <c r="H49" s="249">
        <f t="shared" si="2"/>
        <v>0</v>
      </c>
      <c r="J49" s="250">
        <f t="shared" si="3"/>
        <v>0</v>
      </c>
    </row>
    <row r="50" spans="2:10" ht="13.5" x14ac:dyDescent="0.25">
      <c r="B50" s="2881" t="s">
        <v>2709</v>
      </c>
      <c r="C50" s="2881"/>
      <c r="D50" s="365">
        <f>'906-6B'!J48</f>
        <v>0</v>
      </c>
      <c r="F50" s="233">
        <f>HLOOKUP($C$5,PriorYr906!$J$9:$K$87,40,FALSE)</f>
        <v>0</v>
      </c>
      <c r="H50" s="249">
        <f t="shared" si="2"/>
        <v>0</v>
      </c>
      <c r="J50" s="250">
        <f t="shared" si="3"/>
        <v>0</v>
      </c>
    </row>
    <row r="51" spans="2:10" ht="13.5" x14ac:dyDescent="0.25">
      <c r="B51" s="2881" t="s">
        <v>2710</v>
      </c>
      <c r="C51" s="2881"/>
      <c r="D51" s="365">
        <f>'906-6B'!J49</f>
        <v>0</v>
      </c>
      <c r="F51" s="233">
        <f>HLOOKUP($C$5,PriorYr906!$J$9:$K$87,41,FALSE)</f>
        <v>0</v>
      </c>
      <c r="H51" s="249">
        <f t="shared" si="2"/>
        <v>0</v>
      </c>
      <c r="J51" s="250">
        <f t="shared" si="3"/>
        <v>0</v>
      </c>
    </row>
    <row r="52" spans="2:10" ht="13.5" x14ac:dyDescent="0.25">
      <c r="B52" s="2881" t="s">
        <v>1049</v>
      </c>
      <c r="C52" s="2881"/>
      <c r="D52" s="365">
        <f>'906-6B'!J50</f>
        <v>0</v>
      </c>
      <c r="F52" s="233">
        <f>HLOOKUP($C$5,PriorYr906!$J$9:$K$87,42,FALSE)</f>
        <v>0</v>
      </c>
      <c r="H52" s="249">
        <f t="shared" si="2"/>
        <v>0</v>
      </c>
      <c r="J52" s="250">
        <f t="shared" si="3"/>
        <v>0</v>
      </c>
    </row>
    <row r="53" spans="2:10" ht="13.5" x14ac:dyDescent="0.25">
      <c r="B53" s="2881" t="s">
        <v>1746</v>
      </c>
      <c r="C53" s="2881"/>
      <c r="D53" s="238">
        <f>SUM(D45:D52)</f>
        <v>0</v>
      </c>
      <c r="F53" s="403">
        <f>SUM(F44:F52)</f>
        <v>292326.01</v>
      </c>
      <c r="H53" s="249">
        <f t="shared" si="2"/>
        <v>-292326.01</v>
      </c>
      <c r="J53" s="250">
        <f t="shared" si="3"/>
        <v>-1</v>
      </c>
    </row>
    <row r="54" spans="2:10" ht="13.5" x14ac:dyDescent="0.25">
      <c r="B54" s="2347"/>
      <c r="C54" s="2347"/>
      <c r="F54" s="2375"/>
      <c r="H54" s="249"/>
      <c r="J54" s="250"/>
    </row>
    <row r="55" spans="2:10" ht="13.5" x14ac:dyDescent="0.25">
      <c r="B55" s="234" t="s">
        <v>1666</v>
      </c>
      <c r="C55" s="234"/>
      <c r="D55" s="363"/>
      <c r="E55" s="245"/>
      <c r="F55" s="2375"/>
      <c r="G55" s="246"/>
      <c r="H55" s="363"/>
      <c r="I55" s="247"/>
      <c r="J55" s="364"/>
    </row>
    <row r="56" spans="2:10" ht="13.5" x14ac:dyDescent="0.25">
      <c r="B56" s="191" t="s">
        <v>4927</v>
      </c>
      <c r="C56" s="191"/>
      <c r="H56" s="249"/>
      <c r="J56" s="250"/>
    </row>
    <row r="57" spans="2:10" ht="13.5" x14ac:dyDescent="0.25">
      <c r="B57" s="2987" t="s">
        <v>4928</v>
      </c>
      <c r="C57" s="2987"/>
      <c r="D57" s="365">
        <f>'906-6B'!J55</f>
        <v>0</v>
      </c>
      <c r="F57" s="233">
        <f>HLOOKUP($C$5,PriorYr906!$J$9:$K$87,47,FALSE)</f>
        <v>1987955327.1900001</v>
      </c>
      <c r="H57" s="249">
        <f>D57-F57</f>
        <v>-1987955327.1900001</v>
      </c>
      <c r="J57" s="250">
        <f>IF(F57=0,0,H57/F57)</f>
        <v>-1</v>
      </c>
    </row>
    <row r="58" spans="2:10" ht="14.25" thickBot="1" x14ac:dyDescent="0.3">
      <c r="B58" s="2881" t="s">
        <v>1630</v>
      </c>
      <c r="C58" s="2881"/>
      <c r="D58" s="241">
        <f>SUM(D56:D57)</f>
        <v>0</v>
      </c>
      <c r="F58" s="404">
        <f>SUM(F55:F57)</f>
        <v>1987955327.1900001</v>
      </c>
      <c r="H58" s="249"/>
      <c r="J58" s="250"/>
    </row>
    <row r="59" spans="2:10" ht="14.25" thickTop="1" x14ac:dyDescent="0.25">
      <c r="B59" s="2347"/>
      <c r="C59" s="2347"/>
      <c r="F59" s="2347"/>
      <c r="H59" s="249"/>
      <c r="J59" s="250"/>
    </row>
    <row r="60" spans="2:10" x14ac:dyDescent="0.2">
      <c r="B60" s="191" t="s">
        <v>4889</v>
      </c>
      <c r="C60" s="191"/>
      <c r="D60" s="242" t="str">
        <f>IF(D41-D53=D58,"In Bal.","NOT BALANCED")</f>
        <v>In Bal.</v>
      </c>
      <c r="F60" s="242" t="str">
        <f>IF(F41-F53=F58,"In Bal.","NOT BALANCED")</f>
        <v>In Bal.</v>
      </c>
    </row>
    <row r="61" spans="2:10" x14ac:dyDescent="0.2">
      <c r="B61" s="368"/>
      <c r="C61" s="368"/>
      <c r="D61" s="369"/>
    </row>
    <row r="62" spans="2:10" x14ac:dyDescent="0.2">
      <c r="B62" s="243" t="s">
        <v>4678</v>
      </c>
      <c r="C62" s="243"/>
      <c r="D62" s="2344" t="str">
        <f>CONCATENATE("FYE ",+TEXT(Data!$A$2,"mmmm d,yyyy"))</f>
        <v>FYE June 30,2023</v>
      </c>
      <c r="F62" s="2353" t="str">
        <f>CONCATENATE("FYE ",+TEXT(Data!$A$4,"mmmm d,yyyy"))</f>
        <v>FYE June 30,2022</v>
      </c>
    </row>
    <row r="63" spans="2:10" x14ac:dyDescent="0.2">
      <c r="B63" s="1981" t="s">
        <v>4679</v>
      </c>
      <c r="C63" s="243"/>
      <c r="F63" s="2347"/>
    </row>
    <row r="64" spans="2:10" ht="13.5" x14ac:dyDescent="0.25">
      <c r="B64" s="2881" t="s">
        <v>4929</v>
      </c>
      <c r="C64" s="2881"/>
      <c r="D64" s="366">
        <f>'906-6B'!J62</f>
        <v>0</v>
      </c>
      <c r="F64" s="475">
        <f>HLOOKUP($C$5,PriorYr906!$J$9:$K$87,54,FALSE)</f>
        <v>4521121.71</v>
      </c>
      <c r="H64" s="249">
        <f>D64-F64</f>
        <v>-4521121.71</v>
      </c>
      <c r="J64" s="250">
        <f>IF(F64=0,0,H64/F64)</f>
        <v>-1</v>
      </c>
    </row>
    <row r="65" spans="2:10" ht="13.5" x14ac:dyDescent="0.25">
      <c r="B65" s="2881" t="s">
        <v>4930</v>
      </c>
      <c r="C65" s="2881"/>
      <c r="D65" s="365">
        <f>'906-6B'!J63</f>
        <v>0</v>
      </c>
      <c r="F65" s="233">
        <f>HLOOKUP($C$5,PriorYr906!$J$9:$K$87,55,FALSE)</f>
        <v>88847584.730000004</v>
      </c>
      <c r="H65" s="249">
        <f>D65-F65</f>
        <v>-88847584.730000004</v>
      </c>
      <c r="J65" s="250">
        <f>IF(F65=0,0,H65/F65)</f>
        <v>-1</v>
      </c>
    </row>
    <row r="66" spans="2:10" ht="13.5" x14ac:dyDescent="0.25">
      <c r="B66" s="2881" t="s">
        <v>4931</v>
      </c>
      <c r="C66" s="2881"/>
      <c r="D66" s="365">
        <f>'906-6B'!J64</f>
        <v>0</v>
      </c>
      <c r="F66" s="233">
        <f>HLOOKUP($C$5,PriorYr906!$J$9:$K$87,56,FALSE)</f>
        <v>0</v>
      </c>
      <c r="H66" s="249">
        <f>D66-F66</f>
        <v>0</v>
      </c>
      <c r="J66" s="250">
        <f>IF(F66=0,0,H66/F66)</f>
        <v>0</v>
      </c>
    </row>
    <row r="67" spans="2:10" ht="13.5" x14ac:dyDescent="0.25">
      <c r="B67" s="2881" t="s">
        <v>4932</v>
      </c>
      <c r="C67" s="2881"/>
      <c r="D67" s="367">
        <f>'906-6B'!J65</f>
        <v>0</v>
      </c>
      <c r="F67" s="233">
        <f>HLOOKUP($C$5,PriorYr906!$J$9:$K$87,57,FALSE)</f>
        <v>0</v>
      </c>
      <c r="H67" s="249">
        <f>D67-F67</f>
        <v>0</v>
      </c>
      <c r="J67" s="250">
        <f>IF(F67=0,0,H67/F67)</f>
        <v>0</v>
      </c>
    </row>
    <row r="68" spans="2:10" ht="13.5" x14ac:dyDescent="0.25">
      <c r="B68" s="2881" t="s">
        <v>4933</v>
      </c>
      <c r="C68" s="2881"/>
      <c r="D68" s="238">
        <f>SUM(D64:D67)</f>
        <v>0</v>
      </c>
      <c r="F68" s="403">
        <f>SUM(F64:F67)</f>
        <v>93368706.439999998</v>
      </c>
      <c r="H68" s="249">
        <f>D68-F68</f>
        <v>-93368706.439999998</v>
      </c>
      <c r="J68" s="250">
        <f>IF(F68=0,0,H68/F68)</f>
        <v>-1</v>
      </c>
    </row>
    <row r="69" spans="2:10" ht="13.5" x14ac:dyDescent="0.25">
      <c r="B69" s="1981" t="s">
        <v>4685</v>
      </c>
      <c r="C69" s="2347"/>
      <c r="F69" s="2347"/>
      <c r="H69" s="249"/>
      <c r="J69" s="250"/>
    </row>
    <row r="70" spans="2:10" ht="13.5" x14ac:dyDescent="0.25">
      <c r="B70" s="2881" t="s">
        <v>4934</v>
      </c>
      <c r="C70" s="2881"/>
      <c r="D70" s="365">
        <f>'906-6B'!J68</f>
        <v>0</v>
      </c>
      <c r="F70" s="233">
        <f>HLOOKUP($C$5,PriorYr906!$J$9:$K$87,60,FALSE)</f>
        <v>223910709.19999999</v>
      </c>
      <c r="H70" s="249">
        <f>D70-F70</f>
        <v>-223910709.19999999</v>
      </c>
      <c r="J70" s="250">
        <f>IF(F70=0,0,H70/F70)</f>
        <v>-1</v>
      </c>
    </row>
    <row r="71" spans="2:10" ht="13.5" x14ac:dyDescent="0.25">
      <c r="B71" s="2881" t="s">
        <v>4935</v>
      </c>
      <c r="C71" s="2881"/>
      <c r="D71" s="367">
        <f>'906-6B'!J69</f>
        <v>0</v>
      </c>
      <c r="F71" s="233">
        <f>HLOOKUP($C$5,PriorYr906!$J$9:$K$87,61,FALSE)</f>
        <v>-2693535.46</v>
      </c>
      <c r="H71" s="249">
        <f>D71-F71</f>
        <v>2693535.46</v>
      </c>
      <c r="J71" s="250">
        <f>IF(F71=0,0,H71/F71)</f>
        <v>-1</v>
      </c>
    </row>
    <row r="72" spans="2:10" ht="13.5" x14ac:dyDescent="0.25">
      <c r="B72" s="2881" t="s">
        <v>4936</v>
      </c>
      <c r="C72" s="2881"/>
      <c r="D72" s="238">
        <f>SUM(D70:D71)</f>
        <v>0</v>
      </c>
      <c r="F72" s="403">
        <f>SUM(F70:F71)</f>
        <v>221217173.74000001</v>
      </c>
      <c r="H72" s="249">
        <f>D72-F72</f>
        <v>-221217173.74000001</v>
      </c>
      <c r="J72" s="250">
        <f>IF(F72=0,0,H72/F72)</f>
        <v>-1</v>
      </c>
    </row>
    <row r="73" spans="2:10" ht="13.5" x14ac:dyDescent="0.25">
      <c r="B73" s="1981" t="s">
        <v>4689</v>
      </c>
      <c r="C73" s="2347"/>
      <c r="F73" s="2375"/>
      <c r="H73" s="249"/>
      <c r="J73" s="250"/>
    </row>
    <row r="74" spans="2:10" ht="13.5" x14ac:dyDescent="0.25">
      <c r="B74" s="2881" t="s">
        <v>4937</v>
      </c>
      <c r="C74" s="2881"/>
      <c r="D74" s="365">
        <f>'906-6B'!J72</f>
        <v>0</v>
      </c>
      <c r="F74" s="233">
        <f>HLOOKUP($C$5,PriorYr906!$J$9:$K$87,64,FALSE)</f>
        <v>0</v>
      </c>
      <c r="H74" s="249">
        <f>D74-F74</f>
        <v>0</v>
      </c>
      <c r="J74" s="250">
        <f>IF(F74=0,0,H74/F74)</f>
        <v>0</v>
      </c>
    </row>
    <row r="75" spans="2:10" ht="13.5" x14ac:dyDescent="0.25">
      <c r="B75" s="2881" t="s">
        <v>4938</v>
      </c>
      <c r="C75" s="2881"/>
      <c r="D75" s="365">
        <f>'906-6B'!J73</f>
        <v>0</v>
      </c>
      <c r="F75" s="233">
        <f>HLOOKUP($C$5,PriorYr906!$J$9:$K$87,65,FALSE)</f>
        <v>1109407.24</v>
      </c>
      <c r="H75" s="249">
        <f>D75-F75</f>
        <v>-1109407.24</v>
      </c>
      <c r="J75" s="250">
        <f>IF(F75=0,0,H75/F75)</f>
        <v>-1</v>
      </c>
    </row>
    <row r="76" spans="2:10" ht="13.5" x14ac:dyDescent="0.25">
      <c r="B76" s="2881" t="s">
        <v>4939</v>
      </c>
      <c r="C76" s="2881"/>
      <c r="D76" s="367">
        <f>'906-6B'!J74</f>
        <v>0</v>
      </c>
      <c r="F76" s="233">
        <f>HLOOKUP($C$5,PriorYr906!$J$9:$K$87,66,FALSE)</f>
        <v>508763.32</v>
      </c>
      <c r="H76" s="249">
        <f>D76-F76</f>
        <v>-508763.32</v>
      </c>
      <c r="J76" s="250">
        <f>IF(F76=0,0,H76/F76)</f>
        <v>-1</v>
      </c>
    </row>
    <row r="77" spans="2:10" ht="13.5" x14ac:dyDescent="0.25">
      <c r="B77" s="2881" t="s">
        <v>4940</v>
      </c>
      <c r="C77" s="2881"/>
      <c r="D77" s="370">
        <f>SUM(D74:D76)</f>
        <v>0</v>
      </c>
      <c r="F77" s="403">
        <f>SUM(F74:F76)</f>
        <v>1618170.56</v>
      </c>
      <c r="H77" s="249"/>
      <c r="J77" s="250"/>
    </row>
    <row r="78" spans="2:10" ht="13.5" x14ac:dyDescent="0.25">
      <c r="B78" s="2881" t="s">
        <v>4694</v>
      </c>
      <c r="C78" s="2881"/>
      <c r="D78" s="238">
        <f>D68+D72+D77</f>
        <v>0</v>
      </c>
      <c r="F78" s="403">
        <f>F68+F72+F77</f>
        <v>316204050.74000001</v>
      </c>
      <c r="H78" s="249">
        <f>D78-F78</f>
        <v>-316204050.74000001</v>
      </c>
      <c r="J78" s="250">
        <f>IF(F78=0,0,H78/F78)</f>
        <v>-1</v>
      </c>
    </row>
    <row r="79" spans="2:10" ht="13.5" x14ac:dyDescent="0.25">
      <c r="B79" s="2347"/>
      <c r="C79" s="2347"/>
      <c r="D79" s="370"/>
      <c r="F79" s="2347"/>
      <c r="H79" s="249"/>
      <c r="J79" s="250"/>
    </row>
    <row r="80" spans="2:10" ht="13.5" x14ac:dyDescent="0.25">
      <c r="B80" s="243" t="s">
        <v>4695</v>
      </c>
      <c r="C80" s="243"/>
      <c r="F80" s="2347"/>
      <c r="H80" s="249"/>
      <c r="J80" s="250"/>
    </row>
    <row r="81" spans="2:10" ht="13.5" x14ac:dyDescent="0.25">
      <c r="B81" s="2881" t="s">
        <v>2784</v>
      </c>
      <c r="C81" s="2881"/>
      <c r="D81" s="365">
        <f>'906-6B'!J79</f>
        <v>0</v>
      </c>
      <c r="F81" s="233">
        <f>HLOOKUP($C$5,PriorYr906!$J$9:$K$87,71,FALSE)</f>
        <v>122309834.73</v>
      </c>
      <c r="H81" s="249">
        <f t="shared" ref="H81:H88" si="4">D81-F81</f>
        <v>-122309834.73</v>
      </c>
      <c r="J81" s="250">
        <f>IF(F81=0,0,H81/F81)</f>
        <v>-1</v>
      </c>
    </row>
    <row r="82" spans="2:10" ht="13.5" x14ac:dyDescent="0.25">
      <c r="B82" s="2881" t="s">
        <v>4316</v>
      </c>
      <c r="C82" s="2881"/>
      <c r="D82" s="365">
        <f>'906-6B'!J80</f>
        <v>0</v>
      </c>
      <c r="F82" s="233">
        <f>HLOOKUP($C$5,PriorYr906!$J$9:$K$87,72,FALSE)</f>
        <v>0</v>
      </c>
      <c r="H82" s="249">
        <f t="shared" si="4"/>
        <v>0</v>
      </c>
      <c r="J82" s="250">
        <f t="shared" ref="J82:J88" si="5">IF(F82=0,0,H82/F82)</f>
        <v>0</v>
      </c>
    </row>
    <row r="83" spans="2:10" ht="13.5" x14ac:dyDescent="0.25">
      <c r="B83" s="2881" t="s">
        <v>4696</v>
      </c>
      <c r="C83" s="2881"/>
      <c r="D83" s="365">
        <f>'906-6B'!J81</f>
        <v>0</v>
      </c>
      <c r="F83" s="233">
        <f>HLOOKUP($C$5,PriorYr906!$J$9:$K$87,73,FALSE)</f>
        <v>1966162.13</v>
      </c>
      <c r="H83" s="249">
        <f t="shared" si="4"/>
        <v>-1966162.13</v>
      </c>
      <c r="J83" s="250">
        <f t="shared" si="5"/>
        <v>-1</v>
      </c>
    </row>
    <row r="84" spans="2:10" ht="13.5" x14ac:dyDescent="0.25">
      <c r="B84" s="2881" t="s">
        <v>4698</v>
      </c>
      <c r="C84" s="2881"/>
      <c r="D84" s="367">
        <f>'906-6B'!J82</f>
        <v>0</v>
      </c>
      <c r="F84" s="233">
        <f>HLOOKUP($C$5,PriorYr906!$J$9:$K$87,74,FALSE)</f>
        <v>0</v>
      </c>
      <c r="H84" s="249">
        <f t="shared" si="4"/>
        <v>0</v>
      </c>
      <c r="J84" s="250">
        <f t="shared" si="5"/>
        <v>0</v>
      </c>
    </row>
    <row r="85" spans="2:10" ht="13.5" x14ac:dyDescent="0.25">
      <c r="B85" s="2881" t="s">
        <v>4699</v>
      </c>
      <c r="C85" s="2881"/>
      <c r="D85" s="240">
        <f>SUM(D81:D84)</f>
        <v>0</v>
      </c>
      <c r="F85" s="403">
        <f>SUM(F81:F84)</f>
        <v>124275996.86</v>
      </c>
      <c r="H85" s="249">
        <f t="shared" si="4"/>
        <v>-124275996.86</v>
      </c>
      <c r="J85" s="250">
        <f t="shared" si="5"/>
        <v>-1</v>
      </c>
    </row>
    <row r="86" spans="2:10" ht="13.5" x14ac:dyDescent="0.25">
      <c r="B86" s="2881" t="s">
        <v>4941</v>
      </c>
      <c r="C86" s="2881"/>
      <c r="D86" s="760">
        <f>D78-D85</f>
        <v>0</v>
      </c>
      <c r="F86" s="760">
        <f>F78-F85</f>
        <v>191928053.88</v>
      </c>
      <c r="H86" s="249">
        <f t="shared" si="4"/>
        <v>-191928053.88</v>
      </c>
      <c r="J86" s="250">
        <f t="shared" si="5"/>
        <v>-1</v>
      </c>
    </row>
    <row r="87" spans="2:10" ht="13.5" x14ac:dyDescent="0.25">
      <c r="B87" s="2881" t="s">
        <v>4942</v>
      </c>
      <c r="C87" s="2881"/>
      <c r="D87" s="616">
        <f>'906-6B'!J85</f>
        <v>1987955327.1900001</v>
      </c>
      <c r="F87" s="616">
        <f>HLOOKUP($C$5,PriorYr906!$J$9:$K$87,77,FALSE)</f>
        <v>1796027273.3099999</v>
      </c>
      <c r="H87" s="249">
        <f t="shared" si="4"/>
        <v>191928053.88</v>
      </c>
      <c r="J87" s="250">
        <f t="shared" si="5"/>
        <v>0.1069</v>
      </c>
    </row>
    <row r="88" spans="2:10" ht="13.5" x14ac:dyDescent="0.25">
      <c r="B88" s="2881" t="s">
        <v>1737</v>
      </c>
      <c r="C88" s="2881"/>
      <c r="D88" s="365">
        <f>'906-6B'!J86</f>
        <v>0</v>
      </c>
      <c r="F88" s="233">
        <f>HLOOKUP($C$5,PriorYr906!$J$9:$K$87,78,FALSE)</f>
        <v>0</v>
      </c>
      <c r="H88" s="249">
        <f t="shared" si="4"/>
        <v>0</v>
      </c>
      <c r="J88" s="250">
        <f t="shared" si="5"/>
        <v>0</v>
      </c>
    </row>
    <row r="89" spans="2:10" ht="13.5" thickBot="1" x14ac:dyDescent="0.25">
      <c r="B89" s="2881" t="s">
        <v>4943</v>
      </c>
      <c r="C89" s="2881"/>
      <c r="D89" s="241">
        <f>SUM(D86:D88)</f>
        <v>1987955327.1900001</v>
      </c>
      <c r="F89" s="405">
        <f>SUM(F86:F88)</f>
        <v>1987955327.1900001</v>
      </c>
    </row>
    <row r="90" spans="2:10" ht="13.5" thickTop="1" x14ac:dyDescent="0.2">
      <c r="F90" s="239"/>
    </row>
    <row r="91" spans="2:10" x14ac:dyDescent="0.2">
      <c r="B91" s="203" t="s">
        <v>4944</v>
      </c>
      <c r="C91" s="203"/>
      <c r="D91" s="242" t="str">
        <f>IF(D58=D89,"In Bal.","NOT")</f>
        <v>NOT</v>
      </c>
      <c r="F91" s="242" t="str">
        <f>IF(F58=F89,"In Bal.","NOT")</f>
        <v>In Bal.</v>
      </c>
    </row>
    <row r="92" spans="2:10" x14ac:dyDescent="0.2">
      <c r="B92" s="2347"/>
      <c r="C92" s="2347"/>
    </row>
    <row r="93" spans="2:10" x14ac:dyDescent="0.2">
      <c r="B93" s="191" t="s">
        <v>4945</v>
      </c>
      <c r="C93" s="159"/>
      <c r="D93" s="159"/>
      <c r="E93" s="159"/>
      <c r="F93" s="159"/>
      <c r="G93" s="159"/>
      <c r="H93" s="159"/>
      <c r="I93" s="159"/>
      <c r="J93" s="159"/>
    </row>
    <row r="94" spans="2:10" x14ac:dyDescent="0.2">
      <c r="B94" s="193" t="s">
        <v>4946</v>
      </c>
    </row>
  </sheetData>
  <sheetProtection algorithmName="SHA-512" hashValue="BsdB8fkf4FF7zCjjjsCD1fKJbmwoAIgEFo7O48TOC6KJXjiUjFgOn0srQipdnZ031OH6ppEeqT0fbZGs7pguzA==" saltValue="TM1YPd9pYPTZD7dJCdpmxg==" spinCount="100000" sheet="1" objects="1" scenarios="1" autoFilter="0"/>
  <customSheetViews>
    <customSheetView guid="{9FCFC836-1CA5-48BF-958D-24D2EA94B219}" showGridLines="0" fitToPage="1">
      <selection activeCell="F9" sqref="F9"/>
      <pageMargins left="0" right="0" top="0" bottom="0" header="0" footer="0"/>
      <pageSetup scale="86" fitToHeight="2" orientation="portrait" r:id="rId1"/>
      <headerFooter alignWithMargins="0">
        <oddFooter>&amp;R&amp;A (&amp;P of &amp;N)</oddFooter>
      </headerFooter>
    </customSheetView>
    <customSheetView guid="{B08879A4-635B-4C39-9937-AC7883D562FC}" showGridLines="0" fitToPage="1">
      <selection activeCell="F9" sqref="F9"/>
      <pageMargins left="0" right="0" top="0" bottom="0" header="0" footer="0"/>
      <pageSetup scale="86" fitToHeight="2" orientation="portrait" r:id="rId2"/>
      <headerFooter alignWithMargins="0">
        <oddFooter>&amp;R&amp;A (&amp;P of &amp;N)</oddFooter>
      </headerFooter>
    </customSheetView>
  </customSheetViews>
  <mergeCells count="67">
    <mergeCell ref="B15:C15"/>
    <mergeCell ref="L1:L3"/>
    <mergeCell ref="B13:C13"/>
    <mergeCell ref="C6:D6"/>
    <mergeCell ref="G5:J5"/>
    <mergeCell ref="B1:K1"/>
    <mergeCell ref="B2:K2"/>
    <mergeCell ref="B3:K3"/>
    <mergeCell ref="H7:J7"/>
    <mergeCell ref="B16:C16"/>
    <mergeCell ref="B17:C17"/>
    <mergeCell ref="B18:C18"/>
    <mergeCell ref="B33:C33"/>
    <mergeCell ref="B23:C23"/>
    <mergeCell ref="B24:C24"/>
    <mergeCell ref="B20:C20"/>
    <mergeCell ref="B27:C27"/>
    <mergeCell ref="B22:C22"/>
    <mergeCell ref="B28:C28"/>
    <mergeCell ref="B25:C25"/>
    <mergeCell ref="B19:C19"/>
    <mergeCell ref="B21:C21"/>
    <mergeCell ref="B30:C30"/>
    <mergeCell ref="B26:C26"/>
    <mergeCell ref="B29:C29"/>
    <mergeCell ref="B53:C53"/>
    <mergeCell ref="B57:C57"/>
    <mergeCell ref="B64:C64"/>
    <mergeCell ref="B49:C49"/>
    <mergeCell ref="B50:C50"/>
    <mergeCell ref="B51:C51"/>
    <mergeCell ref="B52:C52"/>
    <mergeCell ref="B58:C58"/>
    <mergeCell ref="B38:C38"/>
    <mergeCell ref="B36:C36"/>
    <mergeCell ref="B39:C39"/>
    <mergeCell ref="B37:C37"/>
    <mergeCell ref="B48:C48"/>
    <mergeCell ref="B47:C47"/>
    <mergeCell ref="B34:C34"/>
    <mergeCell ref="B31:C31"/>
    <mergeCell ref="B41:C41"/>
    <mergeCell ref="B45:C45"/>
    <mergeCell ref="B87:C87"/>
    <mergeCell ref="B78:C78"/>
    <mergeCell ref="B81:C81"/>
    <mergeCell ref="B82:C82"/>
    <mergeCell ref="B35:C35"/>
    <mergeCell ref="B86:C86"/>
    <mergeCell ref="B84:C84"/>
    <mergeCell ref="B85:C85"/>
    <mergeCell ref="B83:C83"/>
    <mergeCell ref="B40:C40"/>
    <mergeCell ref="B46:C46"/>
    <mergeCell ref="B66:C66"/>
    <mergeCell ref="B89:C89"/>
    <mergeCell ref="B65:C65"/>
    <mergeCell ref="B77:C77"/>
    <mergeCell ref="B74:C74"/>
    <mergeCell ref="B72:C72"/>
    <mergeCell ref="B75:C75"/>
    <mergeCell ref="B76:C76"/>
    <mergeCell ref="B67:C67"/>
    <mergeCell ref="B68:C68"/>
    <mergeCell ref="B70:C70"/>
    <mergeCell ref="B71:C71"/>
    <mergeCell ref="B88:C88"/>
  </mergeCells>
  <phoneticPr fontId="16" type="noConversion"/>
  <conditionalFormatting sqref="L1:L3">
    <cfRule type="cellIs" dxfId="4" priority="1" stopIfTrue="1" operator="equal">
      <formula>"na"</formula>
    </cfRule>
  </conditionalFormatting>
  <dataValidations disablePrompts="1" count="1">
    <dataValidation type="textLength" operator="equal" allowBlank="1" showInputMessage="1" showErrorMessage="1" errorTitle="Invalid data!" error="GASB number must be 4 digits." sqref="E7" xr:uid="{00000000-0002-0000-5300-000000000000}">
      <formula1>4</formula1>
    </dataValidation>
  </dataValidations>
  <hyperlinks>
    <hyperlink ref="B1:J1" location="Index!A1" display="Index!A1" xr:uid="{00000000-0004-0000-5300-000000000000}"/>
  </hyperlinks>
  <pageMargins left="0.75" right="0.5" top="0.5" bottom="0.5" header="0.5" footer="0.25"/>
  <pageSetup scale="84" fitToHeight="2" orientation="portrait" r:id="rId3"/>
  <headerFooter alignWithMargins="0">
    <oddFooter>&amp;R&amp;A (&amp;P of &amp;N)</oddFooter>
  </headerFooter>
  <rowBreaks count="1" manualBreakCount="1">
    <brk id="61" max="1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1"/>
  <dimension ref="A1:W94"/>
  <sheetViews>
    <sheetView showGridLines="0" zoomScaleNormal="100" workbookViewId="0">
      <selection activeCell="B2" sqref="B2:K2"/>
    </sheetView>
  </sheetViews>
  <sheetFormatPr defaultColWidth="9.42578125" defaultRowHeight="12.75" x14ac:dyDescent="0.2"/>
  <cols>
    <col min="1" max="1" width="4.42578125" customWidth="1"/>
    <col min="2" max="2" width="15.42578125" customWidth="1"/>
    <col min="3" max="3" width="21.42578125" customWidth="1"/>
    <col min="4" max="4" width="19.42578125" style="365" customWidth="1"/>
    <col min="5" max="5" width="1.5703125" customWidth="1"/>
    <col min="6" max="6" width="17.5703125" style="365" customWidth="1"/>
    <col min="7" max="7" width="1.42578125" customWidth="1"/>
    <col min="8" max="8" width="15.5703125" customWidth="1"/>
    <col min="9" max="9" width="1.42578125" customWidth="1"/>
    <col min="10" max="10" width="7.5703125" customWidth="1"/>
    <col min="11" max="11" width="1.42578125" customWidth="1"/>
    <col min="12" max="12" width="4.5703125" customWidth="1"/>
  </cols>
  <sheetData>
    <row r="1" spans="1:23" ht="15.75" x14ac:dyDescent="0.25">
      <c r="B1" s="2455" t="str">
        <f>+Index!$A$1</f>
        <v xml:space="preserve">                                                               Office of the State Controller                                                                </v>
      </c>
      <c r="C1" s="2455"/>
      <c r="D1" s="2455"/>
      <c r="E1" s="2455"/>
      <c r="F1" s="2455"/>
      <c r="G1" s="2455"/>
      <c r="H1" s="2455"/>
      <c r="I1" s="2455"/>
      <c r="J1" s="2455"/>
      <c r="K1" s="2455"/>
      <c r="L1" s="2456" t="str">
        <f>IF(Index!$B$115="na","NA","")</f>
        <v/>
      </c>
      <c r="M1" s="2214"/>
      <c r="O1" s="2214"/>
      <c r="P1" s="2214"/>
      <c r="Q1" s="2214"/>
      <c r="R1" s="2214"/>
      <c r="S1" s="2214"/>
      <c r="T1" s="2214"/>
      <c r="U1" s="2214"/>
      <c r="V1" s="2214"/>
    </row>
    <row r="2" spans="1:23" ht="16.5" x14ac:dyDescent="0.3">
      <c r="B2" s="2439" t="str">
        <f>+Index!$A$2</f>
        <v>2023 ACFR Worksheets</v>
      </c>
      <c r="C2" s="2439"/>
      <c r="D2" s="2439"/>
      <c r="E2" s="2439"/>
      <c r="F2" s="2439"/>
      <c r="G2" s="2439"/>
      <c r="H2" s="2439"/>
      <c r="I2" s="2439"/>
      <c r="J2" s="2439"/>
      <c r="K2" s="2439"/>
      <c r="L2" s="2456"/>
      <c r="M2" s="2208"/>
      <c r="O2" s="353"/>
      <c r="P2" s="353"/>
      <c r="Q2" s="353"/>
      <c r="R2" s="353"/>
      <c r="S2" s="353"/>
      <c r="T2" s="353"/>
      <c r="U2" s="353"/>
      <c r="V2" s="353"/>
    </row>
    <row r="3" spans="1:23" ht="16.5" x14ac:dyDescent="0.3">
      <c r="B3" s="2978" t="s">
        <v>4947</v>
      </c>
      <c r="C3" s="2978"/>
      <c r="D3" s="2978"/>
      <c r="E3" s="2978"/>
      <c r="F3" s="2978"/>
      <c r="G3" s="2978"/>
      <c r="H3" s="2978"/>
      <c r="I3" s="2978"/>
      <c r="J3" s="2978"/>
      <c r="K3" s="2978"/>
      <c r="L3" s="2456"/>
      <c r="M3" s="2372"/>
      <c r="O3" s="353"/>
      <c r="P3" s="353"/>
      <c r="Q3" s="353"/>
      <c r="R3" s="353"/>
      <c r="S3" s="353"/>
      <c r="T3" s="353"/>
      <c r="U3" s="353"/>
      <c r="V3" s="353"/>
    </row>
    <row r="4" spans="1:23" x14ac:dyDescent="0.2">
      <c r="A4" s="843" t="s">
        <v>4948</v>
      </c>
      <c r="B4" s="804"/>
      <c r="C4" s="804"/>
      <c r="D4" s="804"/>
      <c r="F4"/>
      <c r="J4" s="233"/>
    </row>
    <row r="5" spans="1:23" s="124" customFormat="1" ht="15" customHeight="1" x14ac:dyDescent="0.2">
      <c r="B5" s="124" t="s">
        <v>317</v>
      </c>
      <c r="C5" s="359" t="s">
        <v>4708</v>
      </c>
      <c r="F5" s="455" t="s">
        <v>319</v>
      </c>
      <c r="G5" s="2979" t="str">
        <f>+CONCATENATE(Index!$E$12," ",Index!$E$14)</f>
        <v xml:space="preserve"> </v>
      </c>
      <c r="H5" s="2979"/>
      <c r="I5" s="2979"/>
      <c r="J5" s="2979"/>
      <c r="K5"/>
      <c r="L5"/>
      <c r="M5"/>
      <c r="O5" s="354"/>
      <c r="W5" s="123"/>
    </row>
    <row r="6" spans="1:23" s="124" customFormat="1" ht="15" customHeight="1" x14ac:dyDescent="0.2">
      <c r="B6" s="124" t="s">
        <v>318</v>
      </c>
      <c r="C6" s="2993" t="s">
        <v>4709</v>
      </c>
      <c r="D6" s="2993"/>
      <c r="F6" s="354"/>
      <c r="G6" s="354"/>
      <c r="O6" s="355"/>
      <c r="P6" s="355"/>
      <c r="Q6" s="355"/>
      <c r="R6" s="355"/>
      <c r="S6" s="355"/>
      <c r="T6" s="355"/>
      <c r="U6" s="355"/>
      <c r="V6" s="125"/>
      <c r="W6" s="123"/>
    </row>
    <row r="7" spans="1:23" s="124" customFormat="1" ht="15" customHeight="1" x14ac:dyDescent="0.2">
      <c r="B7" s="124" t="s">
        <v>568</v>
      </c>
      <c r="C7" s="617" t="s">
        <v>4949</v>
      </c>
      <c r="E7" s="354"/>
      <c r="F7" s="455" t="s">
        <v>71</v>
      </c>
      <c r="H7" s="2979">
        <f>+Index!$E$13</f>
        <v>0</v>
      </c>
      <c r="I7" s="2979"/>
      <c r="J7" s="2979"/>
      <c r="W7" s="123"/>
    </row>
    <row r="8" spans="1:23" s="27" customFormat="1" ht="12" customHeight="1" thickBot="1" x14ac:dyDescent="0.25">
      <c r="B8" s="1702"/>
      <c r="C8" s="1702"/>
      <c r="D8" s="1702"/>
      <c r="E8" s="1702"/>
      <c r="F8" s="1702"/>
      <c r="G8" s="1702"/>
      <c r="H8" s="1702"/>
      <c r="I8" s="1702"/>
      <c r="J8" s="1702"/>
      <c r="K8" s="1702"/>
    </row>
    <row r="9" spans="1:23" x14ac:dyDescent="0.2">
      <c r="D9" s="742" t="s">
        <v>4950</v>
      </c>
      <c r="F9" s="742" t="s">
        <v>4921</v>
      </c>
    </row>
    <row r="10" spans="1:23" ht="12.75" customHeight="1" x14ac:dyDescent="0.25">
      <c r="B10" s="232"/>
      <c r="C10" s="232"/>
      <c r="D10" s="244" t="str">
        <f>CONCATENATE("FY",YEAR(Data!$A$3),"-",YEAR(Data!$A$2))</f>
        <v>FY2022-2023</v>
      </c>
      <c r="E10" s="245"/>
      <c r="F10" s="244" t="str">
        <f>CONCATENATE("FY",YEAR(Data!$A$3)-1,"-",YEAR(Data!$A$2)-1)</f>
        <v>FY2021-2022</v>
      </c>
      <c r="G10" s="246"/>
      <c r="H10" s="244" t="s">
        <v>2299</v>
      </c>
      <c r="I10" s="247"/>
      <c r="J10" s="248" t="s">
        <v>4829</v>
      </c>
      <c r="K10" s="247"/>
    </row>
    <row r="12" spans="1:23" x14ac:dyDescent="0.2">
      <c r="B12" s="2371" t="s">
        <v>576</v>
      </c>
      <c r="C12" s="2377"/>
    </row>
    <row r="13" spans="1:23" ht="13.5" x14ac:dyDescent="0.25">
      <c r="B13" s="2881" t="s">
        <v>2624</v>
      </c>
      <c r="C13" s="2881"/>
      <c r="D13" s="366">
        <f>'906-6C'!J11</f>
        <v>0</v>
      </c>
      <c r="F13" s="475">
        <f>HLOOKUP($C$5,PriorYr906!$J$9:$K$87,3,FALSE)</f>
        <v>0</v>
      </c>
      <c r="H13" s="249">
        <f>D13-F13</f>
        <v>0</v>
      </c>
      <c r="J13" s="250">
        <f>IF(F13=0,0,H13/F13)</f>
        <v>0</v>
      </c>
    </row>
    <row r="14" spans="1:23" ht="13.5" x14ac:dyDescent="0.25">
      <c r="B14" s="1978" t="s">
        <v>4646</v>
      </c>
      <c r="C14" s="2347"/>
      <c r="D14" s="366"/>
      <c r="F14" s="2367"/>
      <c r="H14" s="249"/>
      <c r="J14" s="250"/>
    </row>
    <row r="15" spans="1:23" ht="13.5" x14ac:dyDescent="0.25">
      <c r="B15" s="2881" t="s">
        <v>4647</v>
      </c>
      <c r="C15" s="2881"/>
      <c r="D15" s="365">
        <f>'906-6C'!J13</f>
        <v>0</v>
      </c>
      <c r="F15" s="233">
        <f>HLOOKUP($C$5,PriorYr906!$J$9:$K$87,5,FALSE)</f>
        <v>0</v>
      </c>
      <c r="H15" s="249">
        <f>D15-F15</f>
        <v>0</v>
      </c>
      <c r="J15" s="250">
        <f>IF(F15=0,0,H15/F15)</f>
        <v>0</v>
      </c>
    </row>
    <row r="16" spans="1:23" ht="13.5" x14ac:dyDescent="0.25">
      <c r="B16" s="2881" t="s">
        <v>4922</v>
      </c>
      <c r="C16" s="2881"/>
      <c r="D16" s="365">
        <f>'906-6C'!J14</f>
        <v>0</v>
      </c>
      <c r="F16" s="233">
        <f>HLOOKUP($C$5,PriorYr906!$J$9:$K$87,6,FALSE)</f>
        <v>0</v>
      </c>
      <c r="H16" s="249">
        <f t="shared" ref="H16:H40" si="0">D16-F16</f>
        <v>0</v>
      </c>
      <c r="J16" s="250">
        <f t="shared" ref="J16:J40" si="1">IF(F16=0,0,H16/F16)</f>
        <v>0</v>
      </c>
    </row>
    <row r="17" spans="2:10" ht="13.5" x14ac:dyDescent="0.25">
      <c r="B17" s="2881" t="s">
        <v>4923</v>
      </c>
      <c r="C17" s="2881"/>
      <c r="D17" s="365">
        <f>'906-6C'!J15</f>
        <v>0</v>
      </c>
      <c r="F17" s="233">
        <f>HLOOKUP($C$5,PriorYr906!$J$9:$K$87,7,FALSE)</f>
        <v>0</v>
      </c>
      <c r="H17" s="249">
        <f t="shared" si="0"/>
        <v>0</v>
      </c>
      <c r="J17" s="250">
        <f t="shared" si="1"/>
        <v>0</v>
      </c>
    </row>
    <row r="18" spans="2:10" ht="13.5" x14ac:dyDescent="0.25">
      <c r="B18" s="2881" t="s">
        <v>4651</v>
      </c>
      <c r="C18" s="2881"/>
      <c r="D18" s="365">
        <f>'906-6C'!J16</f>
        <v>0</v>
      </c>
      <c r="F18" s="233">
        <f>HLOOKUP($C$5,PriorYr906!$J$9:$K$87,8,FALSE)</f>
        <v>0</v>
      </c>
      <c r="H18" s="249">
        <f t="shared" si="0"/>
        <v>0</v>
      </c>
      <c r="J18" s="250">
        <f t="shared" si="1"/>
        <v>0</v>
      </c>
    </row>
    <row r="19" spans="2:10" ht="13.5" x14ac:dyDescent="0.25">
      <c r="B19" s="2881" t="s">
        <v>4652</v>
      </c>
      <c r="C19" s="2881"/>
      <c r="D19" s="365">
        <f>'906-6C'!J17</f>
        <v>0</v>
      </c>
      <c r="F19" s="233">
        <f>HLOOKUP($C$5,PriorYr906!$J$9:$K$87,9,FALSE)</f>
        <v>0</v>
      </c>
      <c r="H19" s="249">
        <f t="shared" si="0"/>
        <v>0</v>
      </c>
      <c r="J19" s="250">
        <f t="shared" si="1"/>
        <v>0</v>
      </c>
    </row>
    <row r="20" spans="2:10" ht="13.5" x14ac:dyDescent="0.25">
      <c r="B20" s="2881" t="s">
        <v>4653</v>
      </c>
      <c r="C20" s="2881"/>
      <c r="D20" s="365">
        <f>'906-6C'!J18</f>
        <v>0</v>
      </c>
      <c r="F20" s="233">
        <f>HLOOKUP($C$5,PriorYr906!$J$9:$K$87,10,FALSE)</f>
        <v>0</v>
      </c>
      <c r="H20" s="249">
        <f>D20-F20</f>
        <v>0</v>
      </c>
      <c r="J20" s="250">
        <f>IF(F20=0,0,H20/F20)</f>
        <v>0</v>
      </c>
    </row>
    <row r="21" spans="2:10" ht="13.5" x14ac:dyDescent="0.25">
      <c r="B21" s="2881" t="s">
        <v>4654</v>
      </c>
      <c r="C21" s="2881"/>
      <c r="D21" s="365">
        <f>'906-6C'!J19</f>
        <v>0</v>
      </c>
      <c r="F21" s="233">
        <f>HLOOKUP($C$5,PriorYr906!$J$9:$K$87,11,FALSE)</f>
        <v>0</v>
      </c>
      <c r="H21" s="249">
        <f t="shared" si="0"/>
        <v>0</v>
      </c>
      <c r="J21" s="250">
        <f t="shared" si="1"/>
        <v>0</v>
      </c>
    </row>
    <row r="22" spans="2:10" ht="13.5" x14ac:dyDescent="0.25">
      <c r="B22" s="2881" t="s">
        <v>4655</v>
      </c>
      <c r="C22" s="2881"/>
      <c r="D22" s="365">
        <f>'906-6C'!J20</f>
        <v>0</v>
      </c>
      <c r="F22" s="233">
        <f>HLOOKUP($C$5,PriorYr906!$J$9:$K$87,12,FALSE)</f>
        <v>0</v>
      </c>
      <c r="H22" s="249">
        <f t="shared" si="0"/>
        <v>0</v>
      </c>
      <c r="J22" s="250">
        <f t="shared" si="1"/>
        <v>0</v>
      </c>
    </row>
    <row r="23" spans="2:10" ht="13.5" x14ac:dyDescent="0.25">
      <c r="B23" s="2881" t="s">
        <v>4656</v>
      </c>
      <c r="C23" s="2881"/>
      <c r="D23" s="365">
        <f>'906-6C'!J21</f>
        <v>0</v>
      </c>
      <c r="F23" s="233">
        <f>HLOOKUP($C$5,PriorYr906!$J$9:$K$87,13,FALSE)</f>
        <v>0</v>
      </c>
      <c r="H23" s="249">
        <f t="shared" si="0"/>
        <v>0</v>
      </c>
      <c r="J23" s="250">
        <f t="shared" si="1"/>
        <v>0</v>
      </c>
    </row>
    <row r="24" spans="2:10" ht="13.5" x14ac:dyDescent="0.25">
      <c r="B24" s="2881" t="s">
        <v>4657</v>
      </c>
      <c r="C24" s="2881"/>
      <c r="D24" s="365">
        <f>'906-6C'!J22</f>
        <v>0</v>
      </c>
      <c r="F24" s="233">
        <f>HLOOKUP($C$5,PriorYr906!$J$9:$K$87,14,FALSE)</f>
        <v>0</v>
      </c>
      <c r="H24" s="249">
        <f t="shared" si="0"/>
        <v>0</v>
      </c>
      <c r="J24" s="250">
        <f t="shared" si="1"/>
        <v>0</v>
      </c>
    </row>
    <row r="25" spans="2:10" ht="13.5" x14ac:dyDescent="0.25">
      <c r="B25" s="2881" t="s">
        <v>4658</v>
      </c>
      <c r="C25" s="2881"/>
      <c r="D25" s="365">
        <f>'906-6C'!J23</f>
        <v>0</v>
      </c>
      <c r="F25" s="233">
        <f>HLOOKUP($C$5,PriorYr906!$J$9:$K$87,15,FALSE)</f>
        <v>0</v>
      </c>
      <c r="H25" s="249">
        <f t="shared" si="0"/>
        <v>0</v>
      </c>
      <c r="J25" s="250">
        <f t="shared" si="1"/>
        <v>0</v>
      </c>
    </row>
    <row r="26" spans="2:10" ht="13.5" x14ac:dyDescent="0.25">
      <c r="B26" s="2881" t="s">
        <v>4924</v>
      </c>
      <c r="C26" s="2881"/>
      <c r="D26" s="365">
        <f>'906-6C'!J24</f>
        <v>0</v>
      </c>
      <c r="F26" s="233">
        <f>HLOOKUP($C$5,PriorYr906!$J$9:$K$87,16,FALSE)</f>
        <v>35799159.719999999</v>
      </c>
      <c r="H26" s="249">
        <f t="shared" si="0"/>
        <v>-35799159.719999999</v>
      </c>
      <c r="J26" s="250">
        <f t="shared" si="1"/>
        <v>-1</v>
      </c>
    </row>
    <row r="27" spans="2:10" ht="13.5" x14ac:dyDescent="0.25">
      <c r="B27" s="2881" t="s">
        <v>4661</v>
      </c>
      <c r="C27" s="2881"/>
      <c r="D27" s="365">
        <f>'906-6C'!J25</f>
        <v>0</v>
      </c>
      <c r="F27" s="233">
        <f>HLOOKUP($C$5,PriorYr906!$J$9:$K$87,17,FALSE)</f>
        <v>0</v>
      </c>
      <c r="H27" s="249">
        <f>D27-F27</f>
        <v>0</v>
      </c>
      <c r="J27" s="250">
        <f>IF(F27=0,0,H27/F27)</f>
        <v>0</v>
      </c>
    </row>
    <row r="28" spans="2:10" ht="13.5" x14ac:dyDescent="0.25">
      <c r="B28" s="2881" t="s">
        <v>4662</v>
      </c>
      <c r="C28" s="2881"/>
      <c r="D28" s="365">
        <f>'906-6C'!J26</f>
        <v>0</v>
      </c>
      <c r="F28" s="233">
        <f>HLOOKUP($C$5,PriorYr906!$J$9:$K$87,18,FALSE)</f>
        <v>207894863.94</v>
      </c>
      <c r="H28" s="249">
        <f>D28-F28</f>
        <v>-207894863.94</v>
      </c>
      <c r="J28" s="250">
        <f>IF(F28=0,0,H28/F28)</f>
        <v>-1</v>
      </c>
    </row>
    <row r="29" spans="2:10" ht="13.5" x14ac:dyDescent="0.25">
      <c r="B29" s="2881" t="s">
        <v>4664</v>
      </c>
      <c r="C29" s="2881"/>
      <c r="D29" s="365">
        <f>'906-6C'!J27</f>
        <v>0</v>
      </c>
      <c r="F29" s="233">
        <f>HLOOKUP($C$5,PriorYr906!$J$9:$K$87,19,FALSE)</f>
        <v>1755275330.28</v>
      </c>
      <c r="H29" s="249">
        <f>D29-F29</f>
        <v>-1755275330.28</v>
      </c>
      <c r="J29" s="250">
        <f>IF(F29=0,0,H29/F29)</f>
        <v>-1</v>
      </c>
    </row>
    <row r="30" spans="2:10" ht="13.5" x14ac:dyDescent="0.25">
      <c r="B30" s="2881" t="s">
        <v>4925</v>
      </c>
      <c r="C30" s="2881"/>
      <c r="D30" s="365">
        <f>'906-6C'!J28</f>
        <v>0</v>
      </c>
      <c r="F30" s="233">
        <f>HLOOKUP($C$5,PriorYr906!$J$9:$K$87,20,FALSE)</f>
        <v>12401909088.870001</v>
      </c>
      <c r="H30" s="249">
        <f>D30-F30</f>
        <v>-12401909088.870001</v>
      </c>
      <c r="J30" s="250">
        <f>IF(F30=0,0,H30/F30)</f>
        <v>-1</v>
      </c>
    </row>
    <row r="31" spans="2:10" ht="13.5" x14ac:dyDescent="0.25">
      <c r="B31" s="2881" t="s">
        <v>2930</v>
      </c>
      <c r="C31" s="2881"/>
      <c r="D31" s="365">
        <f>'906-6C'!J29</f>
        <v>0</v>
      </c>
      <c r="F31" s="233">
        <f>HLOOKUP($C$5,PriorYr906!$J$9:$K$87,21,FALSE)</f>
        <v>0</v>
      </c>
      <c r="H31" s="249">
        <f>D31-F31</f>
        <v>0</v>
      </c>
      <c r="J31" s="250">
        <f>IF(F31=0,0,H31/F31)</f>
        <v>0</v>
      </c>
    </row>
    <row r="32" spans="2:10" ht="13.5" x14ac:dyDescent="0.25">
      <c r="B32" s="1978" t="s">
        <v>2629</v>
      </c>
      <c r="C32" s="2347"/>
      <c r="F32" s="233">
        <f>HLOOKUP($C$5,PriorYr906!$J$9:$K$87,22,FALSE)</f>
        <v>0</v>
      </c>
      <c r="H32" s="249"/>
      <c r="J32" s="250"/>
    </row>
    <row r="33" spans="2:10" ht="13.5" x14ac:dyDescent="0.25">
      <c r="B33" s="2976" t="s">
        <v>3091</v>
      </c>
      <c r="C33" s="2976"/>
      <c r="D33" s="365">
        <f>'906-6C'!J31</f>
        <v>0</v>
      </c>
      <c r="F33" s="233">
        <f>HLOOKUP($C$5,PriorYr906!$J$9:$K$87,23,FALSE)</f>
        <v>23725.53</v>
      </c>
      <c r="H33" s="249">
        <f t="shared" si="0"/>
        <v>-23725.53</v>
      </c>
      <c r="J33" s="250">
        <f t="shared" si="1"/>
        <v>-1</v>
      </c>
    </row>
    <row r="34" spans="2:10" ht="13.5" x14ac:dyDescent="0.25">
      <c r="B34" s="2987" t="s">
        <v>2632</v>
      </c>
      <c r="C34" s="2987"/>
      <c r="D34" s="365">
        <f>'906-6C'!J32</f>
        <v>0</v>
      </c>
      <c r="F34" s="233">
        <f>HLOOKUP($C$5,PriorYr906!$J$9:$K$87,24,FALSE)</f>
        <v>0</v>
      </c>
      <c r="H34" s="249">
        <f t="shared" si="0"/>
        <v>0</v>
      </c>
      <c r="J34" s="250">
        <f t="shared" si="1"/>
        <v>0</v>
      </c>
    </row>
    <row r="35" spans="2:10" ht="13.5" x14ac:dyDescent="0.25">
      <c r="B35" s="2987" t="s">
        <v>3100</v>
      </c>
      <c r="C35" s="2987"/>
      <c r="D35" s="365">
        <f>'906-6C'!J33</f>
        <v>0</v>
      </c>
      <c r="F35" s="233">
        <f>HLOOKUP($C$5,PriorYr906!$J$9:$K$87,25,FALSE)</f>
        <v>6623495.5499999998</v>
      </c>
      <c r="H35" s="249">
        <f t="shared" si="0"/>
        <v>-6623495.5499999998</v>
      </c>
      <c r="J35" s="250">
        <f t="shared" si="1"/>
        <v>-1</v>
      </c>
    </row>
    <row r="36" spans="2:10" ht="13.5" x14ac:dyDescent="0.25">
      <c r="B36" s="2881" t="s">
        <v>2640</v>
      </c>
      <c r="C36" s="2881"/>
      <c r="D36" s="365">
        <f>'906-6C'!J34</f>
        <v>0</v>
      </c>
      <c r="F36" s="233">
        <f>HLOOKUP($C$5,PriorYr906!$J$9:$K$87,26,FALSE)</f>
        <v>258241301.66999999</v>
      </c>
      <c r="H36" s="249">
        <f t="shared" si="0"/>
        <v>-258241301.66999999</v>
      </c>
      <c r="J36" s="250">
        <f t="shared" si="1"/>
        <v>-1</v>
      </c>
    </row>
    <row r="37" spans="2:10" ht="13.5" x14ac:dyDescent="0.25">
      <c r="B37" s="2881" t="s">
        <v>2638</v>
      </c>
      <c r="C37" s="2881"/>
      <c r="D37" s="365">
        <f>'906-6C'!J35</f>
        <v>0</v>
      </c>
      <c r="F37" s="233">
        <f>HLOOKUP($C$5,PriorYr906!$J$9:$K$87,27,FALSE)</f>
        <v>0</v>
      </c>
      <c r="H37" s="249">
        <f t="shared" si="0"/>
        <v>0</v>
      </c>
      <c r="J37" s="250">
        <f t="shared" si="1"/>
        <v>0</v>
      </c>
    </row>
    <row r="38" spans="2:10" ht="13.5" x14ac:dyDescent="0.25">
      <c r="B38" s="2881" t="s">
        <v>4670</v>
      </c>
      <c r="C38" s="2881"/>
      <c r="D38" s="365">
        <f>'906-6C'!J36</f>
        <v>0</v>
      </c>
      <c r="F38" s="233">
        <f>HLOOKUP($C$5,PriorYr906!$J$9:$K$87,28,FALSE)</f>
        <v>0</v>
      </c>
      <c r="H38" s="249">
        <f t="shared" si="0"/>
        <v>0</v>
      </c>
      <c r="J38" s="250">
        <f t="shared" si="1"/>
        <v>0</v>
      </c>
    </row>
    <row r="39" spans="2:10" ht="13.5" x14ac:dyDescent="0.25">
      <c r="B39" s="2881" t="s">
        <v>4733</v>
      </c>
      <c r="C39" s="2881"/>
      <c r="D39" s="365">
        <f>'906-6C'!J37</f>
        <v>0</v>
      </c>
      <c r="F39" s="233">
        <f>HLOOKUP($C$5,PriorYr906!$J$9:$K$87,29,FALSE)</f>
        <v>0</v>
      </c>
      <c r="H39" s="249">
        <f t="shared" si="0"/>
        <v>0</v>
      </c>
      <c r="J39" s="250">
        <f t="shared" si="1"/>
        <v>0</v>
      </c>
    </row>
    <row r="40" spans="2:10" ht="13.5" x14ac:dyDescent="0.25">
      <c r="B40" s="2881" t="s">
        <v>4926</v>
      </c>
      <c r="C40" s="2881"/>
      <c r="D40" s="365">
        <f>'906-6C'!J38</f>
        <v>0</v>
      </c>
      <c r="F40" s="233">
        <f>HLOOKUP($C$5,PriorYr906!$J$9:$K$87,30,FALSE)</f>
        <v>0</v>
      </c>
      <c r="H40" s="249">
        <f t="shared" si="0"/>
        <v>0</v>
      </c>
      <c r="J40" s="250">
        <f t="shared" si="1"/>
        <v>0</v>
      </c>
    </row>
    <row r="41" spans="2:10" ht="13.5" x14ac:dyDescent="0.25">
      <c r="B41" s="2881" t="s">
        <v>1742</v>
      </c>
      <c r="C41" s="2881"/>
      <c r="D41" s="238">
        <f>SUM(D13:D40)</f>
        <v>0</v>
      </c>
      <c r="F41" s="403">
        <f>SUM(F12:F40)</f>
        <v>14665766965.559999</v>
      </c>
      <c r="H41" s="249"/>
      <c r="J41" s="250"/>
    </row>
    <row r="42" spans="2:10" x14ac:dyDescent="0.2">
      <c r="B42" s="2377"/>
      <c r="C42" s="2377"/>
      <c r="F42" s="2347"/>
    </row>
    <row r="43" spans="2:10" x14ac:dyDescent="0.2">
      <c r="B43" s="2377" t="s">
        <v>4857</v>
      </c>
      <c r="C43" s="2377"/>
      <c r="F43" s="2347"/>
    </row>
    <row r="44" spans="2:10" x14ac:dyDescent="0.2">
      <c r="B44" s="191" t="s">
        <v>2691</v>
      </c>
      <c r="C44" s="191"/>
      <c r="F44" s="2347"/>
    </row>
    <row r="45" spans="2:10" ht="13.5" x14ac:dyDescent="0.25">
      <c r="B45" s="2987" t="s">
        <v>2729</v>
      </c>
      <c r="C45" s="2987"/>
      <c r="D45" s="365">
        <f>'906-6C'!J43</f>
        <v>0</v>
      </c>
      <c r="F45" s="233">
        <f>HLOOKUP($C$5,PriorYr906!$J$9:$K$87,35,FALSE)</f>
        <v>1753695.75</v>
      </c>
      <c r="H45" s="249">
        <f t="shared" ref="H45:H53" si="2">D45-F45</f>
        <v>-1753695.75</v>
      </c>
      <c r="J45" s="250">
        <f t="shared" ref="J45:J53" si="3">IF(F45=0,0,H45/F45)</f>
        <v>-1</v>
      </c>
    </row>
    <row r="46" spans="2:10" ht="13.5" x14ac:dyDescent="0.25">
      <c r="B46" s="2987" t="s">
        <v>2694</v>
      </c>
      <c r="C46" s="2987"/>
      <c r="D46" s="365">
        <f>'906-6C'!J44</f>
        <v>0</v>
      </c>
      <c r="F46" s="233">
        <f>HLOOKUP($C$5,PriorYr906!$J$9:$K$87,36,FALSE)</f>
        <v>0</v>
      </c>
      <c r="H46" s="249">
        <f t="shared" si="2"/>
        <v>0</v>
      </c>
      <c r="J46" s="250">
        <f t="shared" si="3"/>
        <v>0</v>
      </c>
    </row>
    <row r="47" spans="2:10" ht="13.5" x14ac:dyDescent="0.25">
      <c r="B47" s="2987" t="s">
        <v>4674</v>
      </c>
      <c r="C47" s="2987"/>
      <c r="D47" s="365">
        <f>'906-6C'!J45</f>
        <v>0</v>
      </c>
      <c r="F47" s="233">
        <f>HLOOKUP($C$5,PriorYr906!$J$9:$K$87,37,FALSE)</f>
        <v>0</v>
      </c>
      <c r="H47" s="249">
        <f t="shared" si="2"/>
        <v>0</v>
      </c>
      <c r="J47" s="250">
        <f t="shared" si="3"/>
        <v>0</v>
      </c>
    </row>
    <row r="48" spans="2:10" ht="13.5" x14ac:dyDescent="0.25">
      <c r="B48" s="2881" t="s">
        <v>2708</v>
      </c>
      <c r="C48" s="2881"/>
      <c r="D48" s="365">
        <f>'906-6C'!J46</f>
        <v>0</v>
      </c>
      <c r="F48" s="233">
        <f>HLOOKUP($C$5,PriorYr906!$J$9:$K$87,38,FALSE)</f>
        <v>0</v>
      </c>
      <c r="H48" s="249">
        <f>D48-F48</f>
        <v>0</v>
      </c>
      <c r="J48" s="250">
        <f>IF(F48=0,0,H48/F48)</f>
        <v>0</v>
      </c>
    </row>
    <row r="49" spans="2:10" ht="13.5" x14ac:dyDescent="0.25">
      <c r="B49" s="2881" t="s">
        <v>2706</v>
      </c>
      <c r="C49" s="2881"/>
      <c r="D49" s="365">
        <f>'906-6C'!J47</f>
        <v>0</v>
      </c>
      <c r="F49" s="233">
        <f>HLOOKUP($C$5,PriorYr906!$J$9:$K$87,39,FALSE)</f>
        <v>0</v>
      </c>
      <c r="H49" s="249">
        <f t="shared" si="2"/>
        <v>0</v>
      </c>
      <c r="J49" s="250">
        <f t="shared" si="3"/>
        <v>0</v>
      </c>
    </row>
    <row r="50" spans="2:10" ht="13.5" x14ac:dyDescent="0.25">
      <c r="B50" s="2881" t="s">
        <v>2709</v>
      </c>
      <c r="C50" s="2881"/>
      <c r="D50" s="365">
        <f>'906-6C'!J48</f>
        <v>0</v>
      </c>
      <c r="F50" s="233">
        <f>HLOOKUP($C$5,PriorYr906!$J$9:$K$87,40,FALSE)</f>
        <v>0</v>
      </c>
      <c r="H50" s="249">
        <f t="shared" si="2"/>
        <v>0</v>
      </c>
      <c r="J50" s="250">
        <f t="shared" si="3"/>
        <v>0</v>
      </c>
    </row>
    <row r="51" spans="2:10" ht="13.5" x14ac:dyDescent="0.25">
      <c r="B51" s="2881" t="s">
        <v>2710</v>
      </c>
      <c r="C51" s="2881"/>
      <c r="D51" s="365">
        <f>'906-6C'!J49</f>
        <v>0</v>
      </c>
      <c r="F51" s="233">
        <f>HLOOKUP($C$5,PriorYr906!$J$9:$K$87,41,FALSE)</f>
        <v>0</v>
      </c>
      <c r="H51" s="249">
        <f t="shared" si="2"/>
        <v>0</v>
      </c>
      <c r="J51" s="250">
        <f t="shared" si="3"/>
        <v>0</v>
      </c>
    </row>
    <row r="52" spans="2:10" ht="13.5" x14ac:dyDescent="0.25">
      <c r="B52" s="2881" t="s">
        <v>1049</v>
      </c>
      <c r="C52" s="2881"/>
      <c r="D52" s="365">
        <f>'906-6C'!J50</f>
        <v>0</v>
      </c>
      <c r="F52" s="233">
        <f>HLOOKUP($C$5,PriorYr906!$J$9:$K$87,42,FALSE)</f>
        <v>0</v>
      </c>
      <c r="H52" s="249">
        <f t="shared" si="2"/>
        <v>0</v>
      </c>
      <c r="J52" s="250">
        <f t="shared" si="3"/>
        <v>0</v>
      </c>
    </row>
    <row r="53" spans="2:10" ht="13.5" x14ac:dyDescent="0.25">
      <c r="B53" s="2881" t="s">
        <v>1746</v>
      </c>
      <c r="C53" s="2881"/>
      <c r="D53" s="238">
        <f>SUM(D45:D52)</f>
        <v>0</v>
      </c>
      <c r="F53" s="403">
        <f>SUM(F44:F52)</f>
        <v>1753695.75</v>
      </c>
      <c r="H53" s="249">
        <f t="shared" si="2"/>
        <v>-1753695.75</v>
      </c>
      <c r="J53" s="250">
        <f t="shared" si="3"/>
        <v>-1</v>
      </c>
    </row>
    <row r="54" spans="2:10" ht="13.5" x14ac:dyDescent="0.25">
      <c r="B54" s="2347"/>
      <c r="C54" s="2347"/>
      <c r="F54" s="2375"/>
      <c r="H54" s="249"/>
      <c r="J54" s="250"/>
    </row>
    <row r="55" spans="2:10" ht="13.5" x14ac:dyDescent="0.25">
      <c r="B55" s="234" t="s">
        <v>1666</v>
      </c>
      <c r="C55" s="234"/>
      <c r="D55" s="363"/>
      <c r="E55" s="245"/>
      <c r="F55" s="2375"/>
      <c r="G55" s="246"/>
      <c r="H55" s="363"/>
      <c r="I55" s="247"/>
      <c r="J55" s="364"/>
    </row>
    <row r="56" spans="2:10" ht="13.5" x14ac:dyDescent="0.25">
      <c r="B56" s="191" t="s">
        <v>4927</v>
      </c>
      <c r="C56" s="191"/>
      <c r="H56" s="249"/>
      <c r="J56" s="250"/>
    </row>
    <row r="57" spans="2:10" ht="13.5" x14ac:dyDescent="0.25">
      <c r="B57" s="2987" t="s">
        <v>4928</v>
      </c>
      <c r="C57" s="2987"/>
      <c r="D57" s="365">
        <f>'906-6C'!J55</f>
        <v>0</v>
      </c>
      <c r="F57" s="233">
        <f>HLOOKUP($C$5,PriorYr906!$J$9:$K$87,47,FALSE)</f>
        <v>14664013269.809999</v>
      </c>
      <c r="H57" s="249">
        <f>D57-F57</f>
        <v>-14664013269.809999</v>
      </c>
      <c r="J57" s="250">
        <f>IF(F57=0,0,H57/F57)</f>
        <v>-1</v>
      </c>
    </row>
    <row r="58" spans="2:10" ht="14.25" thickBot="1" x14ac:dyDescent="0.3">
      <c r="B58" s="2881" t="s">
        <v>1630</v>
      </c>
      <c r="C58" s="2881"/>
      <c r="D58" s="241">
        <f>SUM(D56:D57)</f>
        <v>0</v>
      </c>
      <c r="F58" s="404">
        <f>SUM(F55:F57)</f>
        <v>14664013269.809999</v>
      </c>
      <c r="H58" s="249"/>
      <c r="J58" s="250"/>
    </row>
    <row r="59" spans="2:10" ht="14.25" thickTop="1" x14ac:dyDescent="0.25">
      <c r="B59" s="2347"/>
      <c r="C59" s="2347"/>
      <c r="F59" s="2347"/>
      <c r="H59" s="249"/>
      <c r="J59" s="250"/>
    </row>
    <row r="60" spans="2:10" x14ac:dyDescent="0.2">
      <c r="B60" s="191" t="s">
        <v>4889</v>
      </c>
      <c r="C60" s="191"/>
      <c r="D60" s="242" t="str">
        <f>IF(D41-D53=D58,"In Bal.","NOT BALANCED")</f>
        <v>In Bal.</v>
      </c>
      <c r="F60" s="242" t="str">
        <f>IF(F41-F53=F58,"In Bal.","NOT BALANCED")</f>
        <v>In Bal.</v>
      </c>
    </row>
    <row r="61" spans="2:10" x14ac:dyDescent="0.2">
      <c r="B61" s="368"/>
      <c r="C61" s="368"/>
      <c r="D61" s="369"/>
    </row>
    <row r="62" spans="2:10" x14ac:dyDescent="0.2">
      <c r="B62" s="243" t="s">
        <v>4678</v>
      </c>
      <c r="C62" s="243"/>
      <c r="D62" s="2344" t="str">
        <f>CONCATENATE("FYE ",+TEXT(Data!$A$2,"mmmm d,yyyy"))</f>
        <v>FYE June 30,2023</v>
      </c>
      <c r="F62" s="2353" t="str">
        <f>CONCATENATE("FYE ",+TEXT(Data!$A$4,"mmmm d,yyyy"))</f>
        <v>FYE June 30,2022</v>
      </c>
    </row>
    <row r="63" spans="2:10" x14ac:dyDescent="0.2">
      <c r="B63" s="1981" t="s">
        <v>4679</v>
      </c>
      <c r="C63" s="243"/>
      <c r="F63" s="2347"/>
    </row>
    <row r="64" spans="2:10" ht="13.5" x14ac:dyDescent="0.25">
      <c r="B64" s="2881" t="s">
        <v>4929</v>
      </c>
      <c r="C64" s="2881"/>
      <c r="D64" s="366">
        <f>'906-6C'!J62</f>
        <v>0</v>
      </c>
      <c r="F64" s="475">
        <f>HLOOKUP($C$5,PriorYr906!$J$9:$K$87,54,FALSE)</f>
        <v>245978380.83000001</v>
      </c>
      <c r="H64" s="249">
        <f>D64-F64</f>
        <v>-245978380.83000001</v>
      </c>
      <c r="J64" s="250">
        <f>IF(F64=0,0,H64/F64)</f>
        <v>-1</v>
      </c>
    </row>
    <row r="65" spans="2:10" ht="13.5" x14ac:dyDescent="0.25">
      <c r="B65" s="2881" t="s">
        <v>4930</v>
      </c>
      <c r="C65" s="2881"/>
      <c r="D65" s="365">
        <f>'906-6C'!J63</f>
        <v>0</v>
      </c>
      <c r="F65" s="233">
        <f>HLOOKUP($C$5,PriorYr906!$J$9:$K$87,55,FALSE)</f>
        <v>443477282.44</v>
      </c>
      <c r="H65" s="249">
        <f>D65-F65</f>
        <v>-443477282.44</v>
      </c>
      <c r="J65" s="250">
        <f>IF(F65=0,0,H65/F65)</f>
        <v>-1</v>
      </c>
    </row>
    <row r="66" spans="2:10" ht="13.5" x14ac:dyDescent="0.25">
      <c r="B66" s="2881" t="s">
        <v>4931</v>
      </c>
      <c r="C66" s="2881"/>
      <c r="D66" s="365">
        <f>'906-6C'!J64</f>
        <v>0</v>
      </c>
      <c r="F66" s="233">
        <f>HLOOKUP($C$5,PriorYr906!$J$9:$K$87,56,FALSE)</f>
        <v>0</v>
      </c>
      <c r="H66" s="249">
        <f>D66-F66</f>
        <v>0</v>
      </c>
      <c r="J66" s="250">
        <f>IF(F66=0,0,H66/F66)</f>
        <v>0</v>
      </c>
    </row>
    <row r="67" spans="2:10" ht="13.5" x14ac:dyDescent="0.25">
      <c r="B67" s="2881" t="s">
        <v>4932</v>
      </c>
      <c r="C67" s="2881"/>
      <c r="D67" s="367">
        <f>'906-6C'!J65</f>
        <v>0</v>
      </c>
      <c r="F67" s="233">
        <f>HLOOKUP($C$5,PriorYr906!$J$9:$K$87,57,FALSE)</f>
        <v>0</v>
      </c>
      <c r="H67" s="249">
        <f>D67-F67</f>
        <v>0</v>
      </c>
      <c r="J67" s="250">
        <f>IF(F67=0,0,H67/F67)</f>
        <v>0</v>
      </c>
    </row>
    <row r="68" spans="2:10" ht="13.5" x14ac:dyDescent="0.25">
      <c r="B68" s="2881" t="s">
        <v>4933</v>
      </c>
      <c r="C68" s="2881"/>
      <c r="D68" s="238">
        <f>SUM(D64:D67)</f>
        <v>0</v>
      </c>
      <c r="F68" s="403">
        <f>SUM(F64:F67)</f>
        <v>689455663.26999998</v>
      </c>
      <c r="H68" s="249">
        <f>D68-F68</f>
        <v>-689455663.26999998</v>
      </c>
      <c r="J68" s="250">
        <f>IF(F68=0,0,H68/F68)</f>
        <v>-1</v>
      </c>
    </row>
    <row r="69" spans="2:10" ht="13.5" x14ac:dyDescent="0.25">
      <c r="B69" s="1981" t="s">
        <v>4685</v>
      </c>
      <c r="C69" s="2347"/>
      <c r="F69" s="2347"/>
      <c r="H69" s="249"/>
      <c r="J69" s="250"/>
    </row>
    <row r="70" spans="2:10" ht="13.5" x14ac:dyDescent="0.25">
      <c r="B70" s="2881" t="s">
        <v>4934</v>
      </c>
      <c r="C70" s="2881"/>
      <c r="D70" s="365">
        <f>'906-6C'!J68</f>
        <v>0</v>
      </c>
      <c r="F70" s="233">
        <f>HLOOKUP($C$5,PriorYr906!$J$9:$K$87,60,FALSE)</f>
        <v>1657864246.3399999</v>
      </c>
      <c r="H70" s="249">
        <f>D70-F70</f>
        <v>-1657864246.3399999</v>
      </c>
      <c r="J70" s="250">
        <f>IF(F70=0,0,H70/F70)</f>
        <v>-1</v>
      </c>
    </row>
    <row r="71" spans="2:10" ht="13.5" x14ac:dyDescent="0.25">
      <c r="B71" s="2881" t="s">
        <v>4935</v>
      </c>
      <c r="C71" s="2881"/>
      <c r="D71" s="367">
        <f>'906-6C'!J69</f>
        <v>0</v>
      </c>
      <c r="F71" s="233">
        <f>HLOOKUP($C$5,PriorYr906!$J$9:$K$87,61,FALSE)</f>
        <v>-19188275.52</v>
      </c>
      <c r="H71" s="249">
        <f>D71-F71</f>
        <v>19188275.52</v>
      </c>
      <c r="J71" s="250">
        <f>IF(F71=0,0,H71/F71)</f>
        <v>-1</v>
      </c>
    </row>
    <row r="72" spans="2:10" ht="13.5" x14ac:dyDescent="0.25">
      <c r="B72" s="2881" t="s">
        <v>4936</v>
      </c>
      <c r="C72" s="2881"/>
      <c r="D72" s="238">
        <f>SUM(D70:D71)</f>
        <v>0</v>
      </c>
      <c r="F72" s="403">
        <f>SUM(F70:F71)</f>
        <v>1638675970.8199999</v>
      </c>
      <c r="H72" s="249">
        <f>D72-F72</f>
        <v>-1638675970.8199999</v>
      </c>
      <c r="J72" s="250">
        <f>IF(F72=0,0,H72/F72)</f>
        <v>-1</v>
      </c>
    </row>
    <row r="73" spans="2:10" ht="13.5" x14ac:dyDescent="0.25">
      <c r="B73" s="1981" t="s">
        <v>4689</v>
      </c>
      <c r="C73" s="2347"/>
      <c r="F73" s="2375"/>
      <c r="H73" s="249"/>
      <c r="J73" s="250"/>
    </row>
    <row r="74" spans="2:10" ht="13.5" x14ac:dyDescent="0.25">
      <c r="B74" s="2881" t="s">
        <v>4937</v>
      </c>
      <c r="C74" s="2881"/>
      <c r="D74" s="365">
        <f>'906-6C'!J72</f>
        <v>0</v>
      </c>
      <c r="F74" s="233">
        <f>HLOOKUP($C$5,PriorYr906!$J$9:$K$87,64,FALSE)</f>
        <v>0</v>
      </c>
      <c r="H74" s="249">
        <f>D74-F74</f>
        <v>0</v>
      </c>
      <c r="J74" s="250">
        <f>IF(F74=0,0,H74/F74)</f>
        <v>0</v>
      </c>
    </row>
    <row r="75" spans="2:10" ht="13.5" x14ac:dyDescent="0.25">
      <c r="B75" s="2881" t="s">
        <v>4938</v>
      </c>
      <c r="C75" s="2881"/>
      <c r="D75" s="365">
        <f>'906-6C'!J73</f>
        <v>0</v>
      </c>
      <c r="F75" s="233">
        <f>HLOOKUP($C$5,PriorYr906!$J$9:$K$87,65,FALSE)</f>
        <v>14010076.33</v>
      </c>
      <c r="H75" s="249">
        <f>D75-F75</f>
        <v>-14010076.33</v>
      </c>
      <c r="J75" s="250">
        <f>IF(F75=0,0,H75/F75)</f>
        <v>-1</v>
      </c>
    </row>
    <row r="76" spans="2:10" ht="13.5" x14ac:dyDescent="0.25">
      <c r="B76" s="2881" t="s">
        <v>4939</v>
      </c>
      <c r="C76" s="2881"/>
      <c r="D76" s="367">
        <f>'906-6C'!J74</f>
        <v>0</v>
      </c>
      <c r="F76" s="233">
        <f>HLOOKUP($C$5,PriorYr906!$J$9:$K$87,66,FALSE)</f>
        <v>3413496.62</v>
      </c>
      <c r="H76" s="249">
        <f>D76-F76</f>
        <v>-3413496.62</v>
      </c>
      <c r="J76" s="250">
        <f>IF(F76=0,0,H76/F76)</f>
        <v>-1</v>
      </c>
    </row>
    <row r="77" spans="2:10" ht="13.5" x14ac:dyDescent="0.25">
      <c r="B77" s="2881" t="s">
        <v>4940</v>
      </c>
      <c r="C77" s="2881"/>
      <c r="D77" s="370">
        <f>SUM(D74:D76)</f>
        <v>0</v>
      </c>
      <c r="F77" s="403">
        <f>SUM(F74:F76)</f>
        <v>17423572.949999999</v>
      </c>
      <c r="H77" s="249"/>
      <c r="J77" s="250"/>
    </row>
    <row r="78" spans="2:10" ht="13.5" x14ac:dyDescent="0.25">
      <c r="B78" s="2881" t="s">
        <v>4694</v>
      </c>
      <c r="C78" s="2881"/>
      <c r="D78" s="238">
        <f>D68+D72+D77</f>
        <v>0</v>
      </c>
      <c r="F78" s="403">
        <f>F68+F72+F77</f>
        <v>2345555207.04</v>
      </c>
      <c r="H78" s="249">
        <f>D78-F78</f>
        <v>-2345555207.04</v>
      </c>
      <c r="J78" s="250">
        <f>IF(F78=0,0,H78/F78)</f>
        <v>-1</v>
      </c>
    </row>
    <row r="79" spans="2:10" ht="13.5" x14ac:dyDescent="0.25">
      <c r="B79" s="2347"/>
      <c r="C79" s="2347"/>
      <c r="D79" s="370"/>
      <c r="F79" s="2347"/>
      <c r="H79" s="249"/>
      <c r="J79" s="250"/>
    </row>
    <row r="80" spans="2:10" ht="13.5" x14ac:dyDescent="0.25">
      <c r="B80" s="243" t="s">
        <v>4695</v>
      </c>
      <c r="C80" s="243"/>
      <c r="F80" s="2347"/>
      <c r="H80" s="249"/>
      <c r="J80" s="250"/>
    </row>
    <row r="81" spans="2:10" ht="13.5" x14ac:dyDescent="0.25">
      <c r="B81" s="2881" t="s">
        <v>2784</v>
      </c>
      <c r="C81" s="2881"/>
      <c r="D81" s="365">
        <f>'906-6C'!J79</f>
        <v>0</v>
      </c>
      <c r="F81" s="233">
        <f>HLOOKUP($C$5,PriorYr906!$J$9:$K$87,71,FALSE)</f>
        <v>766986896.95000005</v>
      </c>
      <c r="H81" s="249">
        <f t="shared" ref="H81:H88" si="4">D81-F81</f>
        <v>-766986896.95000005</v>
      </c>
      <c r="J81" s="250">
        <f>IF(F81=0,0,H81/F81)</f>
        <v>-1</v>
      </c>
    </row>
    <row r="82" spans="2:10" ht="13.5" x14ac:dyDescent="0.25">
      <c r="B82" s="2881" t="s">
        <v>4316</v>
      </c>
      <c r="C82" s="2881"/>
      <c r="D82" s="365">
        <f>'906-6C'!J80</f>
        <v>0</v>
      </c>
      <c r="F82" s="233">
        <f>HLOOKUP($C$5,PriorYr906!$J$9:$K$87,72,FALSE)</f>
        <v>0</v>
      </c>
      <c r="H82" s="249">
        <f t="shared" si="4"/>
        <v>0</v>
      </c>
      <c r="J82" s="250">
        <f t="shared" ref="J82:J88" si="5">IF(F82=0,0,H82/F82)</f>
        <v>0</v>
      </c>
    </row>
    <row r="83" spans="2:10" ht="13.5" x14ac:dyDescent="0.25">
      <c r="B83" s="2881" t="s">
        <v>4696</v>
      </c>
      <c r="C83" s="2881"/>
      <c r="D83" s="365">
        <f>'906-6C'!J81</f>
        <v>0</v>
      </c>
      <c r="F83" s="233">
        <f>HLOOKUP($C$5,PriorYr906!$J$9:$K$87,73,FALSE)</f>
        <v>10132639.289999999</v>
      </c>
      <c r="H83" s="249">
        <f t="shared" si="4"/>
        <v>-10132639.289999999</v>
      </c>
      <c r="J83" s="250">
        <f t="shared" si="5"/>
        <v>-1</v>
      </c>
    </row>
    <row r="84" spans="2:10" ht="13.5" x14ac:dyDescent="0.25">
      <c r="B84" s="2881" t="s">
        <v>4698</v>
      </c>
      <c r="C84" s="2881"/>
      <c r="D84" s="367">
        <f>'906-6C'!J82</f>
        <v>0</v>
      </c>
      <c r="F84" s="233">
        <f>HLOOKUP($C$5,PriorYr906!$J$9:$K$87,74,FALSE)</f>
        <v>0</v>
      </c>
      <c r="H84" s="249">
        <f t="shared" si="4"/>
        <v>0</v>
      </c>
      <c r="J84" s="250">
        <f t="shared" si="5"/>
        <v>0</v>
      </c>
    </row>
    <row r="85" spans="2:10" ht="13.5" x14ac:dyDescent="0.25">
      <c r="B85" s="2881" t="s">
        <v>4699</v>
      </c>
      <c r="C85" s="2881"/>
      <c r="D85" s="240">
        <f>SUM(D81:D84)</f>
        <v>0</v>
      </c>
      <c r="F85" s="403">
        <f>SUM(F81:F84)</f>
        <v>777119536.24000001</v>
      </c>
      <c r="H85" s="249">
        <f t="shared" si="4"/>
        <v>-777119536.24000001</v>
      </c>
      <c r="J85" s="250">
        <f t="shared" si="5"/>
        <v>-1</v>
      </c>
    </row>
    <row r="86" spans="2:10" ht="13.5" x14ac:dyDescent="0.25">
      <c r="B86" s="2881" t="s">
        <v>4951</v>
      </c>
      <c r="C86" s="2881"/>
      <c r="D86" s="760">
        <f>D78-D85</f>
        <v>0</v>
      </c>
      <c r="F86" s="760">
        <f>F78-F85</f>
        <v>1568435670.8</v>
      </c>
      <c r="H86" s="249">
        <f t="shared" si="4"/>
        <v>-1568435670.8</v>
      </c>
      <c r="J86" s="250">
        <f t="shared" si="5"/>
        <v>-1</v>
      </c>
    </row>
    <row r="87" spans="2:10" ht="13.5" x14ac:dyDescent="0.25">
      <c r="B87" s="2881" t="s">
        <v>4942</v>
      </c>
      <c r="C87" s="2881"/>
      <c r="D87" s="616">
        <f>'906-6C'!J85</f>
        <v>14664013269.809999</v>
      </c>
      <c r="F87" s="616">
        <f>HLOOKUP($C$5,PriorYr906!$J$9:$K$87,77,FALSE)</f>
        <v>13095577599.01</v>
      </c>
      <c r="H87" s="249">
        <f t="shared" si="4"/>
        <v>1568435670.8</v>
      </c>
      <c r="J87" s="250">
        <f t="shared" si="5"/>
        <v>0.1198</v>
      </c>
    </row>
    <row r="88" spans="2:10" ht="13.5" x14ac:dyDescent="0.25">
      <c r="B88" s="2881" t="s">
        <v>1737</v>
      </c>
      <c r="C88" s="2881"/>
      <c r="D88" s="365">
        <f>'906-6C'!J86</f>
        <v>0</v>
      </c>
      <c r="F88" s="233">
        <f>HLOOKUP($C$5,PriorYr906!$J$9:$K$87,78,FALSE)</f>
        <v>0</v>
      </c>
      <c r="H88" s="249">
        <f t="shared" si="4"/>
        <v>0</v>
      </c>
      <c r="J88" s="250">
        <f t="shared" si="5"/>
        <v>0</v>
      </c>
    </row>
    <row r="89" spans="2:10" ht="13.5" thickBot="1" x14ac:dyDescent="0.25">
      <c r="B89" s="2881" t="s">
        <v>4943</v>
      </c>
      <c r="C89" s="2881"/>
      <c r="D89" s="241">
        <f>SUM(D86:D88)</f>
        <v>14664013269.809999</v>
      </c>
      <c r="F89" s="405">
        <f>SUM(F86:F88)</f>
        <v>14664013269.809999</v>
      </c>
    </row>
    <row r="90" spans="2:10" ht="13.5" thickTop="1" x14ac:dyDescent="0.2">
      <c r="F90" s="239"/>
    </row>
    <row r="91" spans="2:10" x14ac:dyDescent="0.2">
      <c r="B91" s="203" t="s">
        <v>4944</v>
      </c>
      <c r="C91" s="203"/>
      <c r="D91" s="242" t="str">
        <f>IF(D58=D89,"In Bal.","NOT")</f>
        <v>NOT</v>
      </c>
      <c r="F91" s="242" t="str">
        <f>IF(F58=F89,"In Bal.","NOT")</f>
        <v>In Bal.</v>
      </c>
    </row>
    <row r="92" spans="2:10" x14ac:dyDescent="0.2">
      <c r="B92" s="2347"/>
      <c r="C92" s="2347"/>
    </row>
    <row r="93" spans="2:10" x14ac:dyDescent="0.2">
      <c r="B93" s="191" t="s">
        <v>4945</v>
      </c>
      <c r="C93" s="191"/>
      <c r="D93" s="191"/>
      <c r="E93" s="191"/>
      <c r="F93" s="191"/>
      <c r="G93" s="191"/>
      <c r="H93" s="191"/>
      <c r="I93" s="191"/>
      <c r="J93" s="191"/>
    </row>
    <row r="94" spans="2:10" x14ac:dyDescent="0.2">
      <c r="B94" s="193" t="s">
        <v>4946</v>
      </c>
      <c r="C94" s="193"/>
      <c r="D94" s="193"/>
      <c r="E94" s="193"/>
      <c r="F94" s="193"/>
      <c r="G94" s="193"/>
      <c r="H94" s="193"/>
      <c r="I94" s="193"/>
      <c r="J94" s="193"/>
    </row>
  </sheetData>
  <sheetProtection algorithmName="SHA-512" hashValue="lOzqxyHkn69Pi7XN77dZt/Ebk27aOGB8NtnABqqbYEOA7lyn2FuxDsUacKv07npjuoqwKc3G43PrrXFrHEbwNA==" saltValue="D7P3h2IM4qwYHMhyBKXM2A==" spinCount="100000" sheet="1" objects="1" scenarios="1" autoFilter="0"/>
  <mergeCells count="67">
    <mergeCell ref="B89:C89"/>
    <mergeCell ref="B83:C83"/>
    <mergeCell ref="B84:C84"/>
    <mergeCell ref="B85:C85"/>
    <mergeCell ref="B86:C86"/>
    <mergeCell ref="B87:C87"/>
    <mergeCell ref="B88:C88"/>
    <mergeCell ref="B76:C76"/>
    <mergeCell ref="B77:C77"/>
    <mergeCell ref="B78:C78"/>
    <mergeCell ref="B81:C81"/>
    <mergeCell ref="B82:C82"/>
    <mergeCell ref="B70:C70"/>
    <mergeCell ref="B71:C71"/>
    <mergeCell ref="B72:C72"/>
    <mergeCell ref="B74:C74"/>
    <mergeCell ref="B75:C75"/>
    <mergeCell ref="B64:C64"/>
    <mergeCell ref="B65:C65"/>
    <mergeCell ref="B66:C66"/>
    <mergeCell ref="B67:C67"/>
    <mergeCell ref="B68:C68"/>
    <mergeCell ref="B51:C51"/>
    <mergeCell ref="B52:C52"/>
    <mergeCell ref="B53:C53"/>
    <mergeCell ref="B57:C57"/>
    <mergeCell ref="B58:C58"/>
    <mergeCell ref="B46:C46"/>
    <mergeCell ref="B47:C47"/>
    <mergeCell ref="B48:C48"/>
    <mergeCell ref="B49:C49"/>
    <mergeCell ref="B50:C50"/>
    <mergeCell ref="B38:C38"/>
    <mergeCell ref="B39:C39"/>
    <mergeCell ref="B40:C40"/>
    <mergeCell ref="B41:C41"/>
    <mergeCell ref="B45:C45"/>
    <mergeCell ref="B33:C33"/>
    <mergeCell ref="B34:C34"/>
    <mergeCell ref="B35:C35"/>
    <mergeCell ref="B36:C36"/>
    <mergeCell ref="B37:C37"/>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C6:D6"/>
    <mergeCell ref="H7:J7"/>
    <mergeCell ref="B13:C13"/>
    <mergeCell ref="B15:C15"/>
    <mergeCell ref="B16:C16"/>
    <mergeCell ref="B1:K1"/>
    <mergeCell ref="L1:L3"/>
    <mergeCell ref="B2:K2"/>
    <mergeCell ref="B3:K3"/>
    <mergeCell ref="G5:J5"/>
  </mergeCells>
  <conditionalFormatting sqref="L1:L3">
    <cfRule type="cellIs" dxfId="3" priority="1" stopIfTrue="1" operator="equal">
      <formula>"na"</formula>
    </cfRule>
  </conditionalFormatting>
  <dataValidations disablePrompts="1" count="1">
    <dataValidation type="textLength" operator="equal" allowBlank="1" showInputMessage="1" showErrorMessage="1" errorTitle="Invalid data!" error="GASB number must be 4 digits." sqref="E7" xr:uid="{00000000-0002-0000-5400-000000000000}">
      <formula1>4</formula1>
    </dataValidation>
  </dataValidations>
  <hyperlinks>
    <hyperlink ref="B1:J1" location="Index!A1" display="Index!A1" xr:uid="{00000000-0004-0000-5400-000000000000}"/>
  </hyperlinks>
  <pageMargins left="0.75" right="0.5" top="0.5" bottom="0.5" header="0.5" footer="0.25"/>
  <pageSetup scale="83" fitToHeight="2" orientation="portrait" r:id="rId1"/>
  <headerFooter alignWithMargins="0">
    <oddFooter>&amp;R&amp;A (&amp;P of &amp;N)</oddFooter>
  </headerFooter>
  <rowBreaks count="1" manualBreakCount="1">
    <brk id="61" max="11"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7"/>
  <dimension ref="A1:AA166"/>
  <sheetViews>
    <sheetView showGridLines="0" zoomScaleNormal="100" workbookViewId="0">
      <selection sqref="A1:M1"/>
    </sheetView>
  </sheetViews>
  <sheetFormatPr defaultColWidth="9.42578125" defaultRowHeight="11.25" x14ac:dyDescent="0.2"/>
  <cols>
    <col min="1" max="1" width="8" style="28" customWidth="1"/>
    <col min="2" max="2" width="0.5703125" style="28" customWidth="1"/>
    <col min="3" max="3" width="2.5703125" style="28" customWidth="1"/>
    <col min="4" max="4" width="10.5703125" style="28" customWidth="1"/>
    <col min="5" max="5" width="2.5703125" style="28" customWidth="1"/>
    <col min="6" max="6" width="4.5703125" style="28" customWidth="1"/>
    <col min="7" max="7" width="2.5703125" style="28" customWidth="1"/>
    <col min="8" max="8" width="4.42578125" style="28" customWidth="1"/>
    <col min="9" max="9" width="14.5703125" style="28" customWidth="1"/>
    <col min="10" max="10" width="1.42578125" style="28" customWidth="1"/>
    <col min="11" max="11" width="13.42578125" style="28" customWidth="1"/>
    <col min="12" max="12" width="2.42578125" style="28" customWidth="1"/>
    <col min="13" max="13" width="14.5703125" style="28" customWidth="1"/>
    <col min="14" max="14" width="4.5703125" style="28" customWidth="1"/>
    <col min="15" max="16384" width="9.42578125" style="28"/>
  </cols>
  <sheetData>
    <row r="1" spans="1:27" s="29" customFormat="1" ht="15" customHeight="1" x14ac:dyDescent="0.25">
      <c r="A1" s="2455" t="str">
        <f>+Index!$A$1</f>
        <v xml:space="preserve">                                                               Office of the State Controller                                                                </v>
      </c>
      <c r="B1" s="2455"/>
      <c r="C1" s="2455"/>
      <c r="D1" s="2455"/>
      <c r="E1" s="2455"/>
      <c r="F1" s="2455"/>
      <c r="G1" s="2455"/>
      <c r="H1" s="2455"/>
      <c r="I1" s="2455"/>
      <c r="J1" s="2455"/>
      <c r="K1" s="2455"/>
      <c r="L1" s="2455"/>
      <c r="M1" s="2455"/>
      <c r="N1" s="2456" t="str">
        <f>IF(Index!$B$116="na","NA","")</f>
        <v/>
      </c>
      <c r="AA1" s="30"/>
    </row>
    <row r="2" spans="1:27" s="29" customFormat="1" ht="15" customHeight="1" x14ac:dyDescent="0.25">
      <c r="A2" s="2493" t="str">
        <f>Index!A2</f>
        <v>2023 ACFR Worksheets</v>
      </c>
      <c r="B2" s="2493"/>
      <c r="C2" s="2493"/>
      <c r="D2" s="2493"/>
      <c r="E2" s="2493"/>
      <c r="F2" s="2493"/>
      <c r="G2" s="2493"/>
      <c r="H2" s="2493"/>
      <c r="I2" s="2493"/>
      <c r="J2" s="2493"/>
      <c r="K2" s="2493"/>
      <c r="L2" s="2493"/>
      <c r="M2" s="2493"/>
      <c r="N2" s="2456"/>
    </row>
    <row r="3" spans="1:27" s="29" customFormat="1" ht="15" customHeight="1" x14ac:dyDescent="0.25">
      <c r="A3" s="2493" t="s">
        <v>4952</v>
      </c>
      <c r="B3" s="2493"/>
      <c r="C3" s="2493"/>
      <c r="D3" s="2493"/>
      <c r="E3" s="2493"/>
      <c r="F3" s="2493"/>
      <c r="G3" s="2493"/>
      <c r="H3" s="2493"/>
      <c r="I3" s="2493"/>
      <c r="J3" s="2493"/>
      <c r="K3" s="2493"/>
      <c r="L3" s="2493"/>
      <c r="M3" s="2493"/>
      <c r="N3" s="2456"/>
    </row>
    <row r="4" spans="1:27" s="89" customFormat="1" ht="15" customHeight="1" x14ac:dyDescent="0.2">
      <c r="A4" s="160"/>
      <c r="B4" s="160"/>
      <c r="C4" s="160"/>
      <c r="D4" s="160"/>
      <c r="E4" s="160"/>
      <c r="F4" s="160"/>
      <c r="G4" s="160"/>
      <c r="H4" s="2260"/>
      <c r="I4" s="160"/>
      <c r="J4" s="160"/>
      <c r="K4" s="160"/>
      <c r="L4" s="160"/>
      <c r="M4" s="160"/>
      <c r="N4" s="160"/>
      <c r="O4" s="160"/>
      <c r="P4" s="160"/>
      <c r="Q4" s="160"/>
      <c r="R4" s="160"/>
      <c r="S4" s="160"/>
      <c r="T4" s="160"/>
      <c r="U4" s="160"/>
      <c r="V4" s="160"/>
      <c r="W4" s="160"/>
      <c r="X4" s="160"/>
      <c r="Y4" s="160"/>
      <c r="Z4" s="160"/>
      <c r="AA4" s="160"/>
    </row>
    <row r="5" spans="1:27" s="89" customFormat="1" ht="15" customHeight="1" x14ac:dyDescent="0.2">
      <c r="A5" s="160"/>
      <c r="B5" s="160"/>
      <c r="C5" s="160"/>
      <c r="D5" s="2260"/>
      <c r="E5" s="160"/>
      <c r="F5" s="160"/>
      <c r="G5" s="160"/>
      <c r="H5" s="160"/>
      <c r="I5" s="1733" t="s">
        <v>317</v>
      </c>
      <c r="J5" s="2999" t="str">
        <f>+Index!$E$10</f>
        <v>01</v>
      </c>
      <c r="K5" s="2999"/>
      <c r="L5" s="2999"/>
      <c r="M5" s="2999"/>
      <c r="N5" s="160"/>
      <c r="O5" s="160"/>
      <c r="P5" s="160"/>
      <c r="Q5" s="160"/>
      <c r="R5" s="160"/>
      <c r="S5" s="160"/>
      <c r="T5" s="160"/>
      <c r="U5" s="160"/>
      <c r="V5" s="160"/>
      <c r="W5" s="160"/>
      <c r="X5" s="160"/>
      <c r="Y5" s="160"/>
      <c r="Z5" s="160"/>
      <c r="AA5" s="160"/>
    </row>
    <row r="6" spans="1:27" s="89" customFormat="1" ht="15" customHeight="1" x14ac:dyDescent="0.2">
      <c r="A6" s="160"/>
      <c r="B6" s="160"/>
      <c r="C6" s="160"/>
      <c r="D6" s="160"/>
      <c r="E6" s="160"/>
      <c r="F6" s="160"/>
      <c r="G6" s="160"/>
      <c r="H6" s="160"/>
      <c r="I6" s="1733" t="s">
        <v>318</v>
      </c>
      <c r="J6" s="3000" t="str">
        <f>+Index!$E$11</f>
        <v>North Carolina General Assembly</v>
      </c>
      <c r="K6" s="3000"/>
      <c r="L6" s="3000"/>
      <c r="M6" s="3000"/>
      <c r="N6" s="160"/>
      <c r="O6" s="160"/>
      <c r="P6" s="160"/>
      <c r="Q6" s="160"/>
      <c r="R6" s="160"/>
      <c r="S6" s="160"/>
      <c r="T6" s="160"/>
      <c r="U6" s="160"/>
      <c r="V6" s="160"/>
      <c r="W6" s="160"/>
      <c r="X6" s="160"/>
      <c r="Y6" s="160"/>
      <c r="Z6" s="160"/>
      <c r="AA6" s="160"/>
    </row>
    <row r="7" spans="1:27" s="89" customFormat="1" ht="15" customHeight="1" x14ac:dyDescent="0.2">
      <c r="A7" s="1982" t="s">
        <v>4953</v>
      </c>
      <c r="B7" s="160"/>
      <c r="C7" s="160"/>
      <c r="D7" s="160"/>
      <c r="E7" s="2260"/>
      <c r="F7" s="160"/>
      <c r="G7" s="160"/>
      <c r="H7" s="160"/>
      <c r="I7" s="1733" t="s">
        <v>319</v>
      </c>
      <c r="J7" s="2997" t="str">
        <f>CONCATENATE(Index!$E$12," ",Index!$E$14)</f>
        <v xml:space="preserve"> </v>
      </c>
      <c r="K7" s="2997"/>
      <c r="L7" s="2997"/>
      <c r="M7" s="2997"/>
      <c r="N7" s="160"/>
      <c r="O7" s="160"/>
      <c r="P7" s="160"/>
      <c r="Q7" s="160"/>
      <c r="R7" s="160"/>
      <c r="S7" s="160"/>
      <c r="T7" s="160"/>
      <c r="U7" s="160"/>
      <c r="V7" s="160"/>
      <c r="W7" s="160"/>
      <c r="X7" s="160"/>
      <c r="Y7" s="160"/>
      <c r="Z7" s="160"/>
      <c r="AA7" s="160"/>
    </row>
    <row r="8" spans="1:27" s="89" customFormat="1" ht="15" customHeight="1" thickBot="1" x14ac:dyDescent="0.25">
      <c r="A8" s="1735"/>
      <c r="B8" s="1735"/>
      <c r="C8" s="1735"/>
      <c r="D8" s="1735"/>
      <c r="E8" s="1735"/>
      <c r="F8" s="1735"/>
      <c r="G8" s="1735"/>
      <c r="H8" s="1735"/>
      <c r="I8" s="1735"/>
      <c r="J8" s="1735"/>
      <c r="K8" s="1735"/>
      <c r="L8" s="1735"/>
      <c r="M8" s="1735"/>
      <c r="N8" s="160"/>
      <c r="O8" s="160"/>
      <c r="P8" s="160"/>
      <c r="Q8" s="160"/>
      <c r="R8" s="160"/>
      <c r="S8" s="160"/>
      <c r="T8" s="160"/>
      <c r="U8" s="160"/>
      <c r="V8" s="160"/>
      <c r="W8" s="160"/>
      <c r="X8" s="160"/>
      <c r="Y8" s="160"/>
      <c r="Z8" s="160"/>
      <c r="AA8" s="160"/>
    </row>
    <row r="9" spans="1:27" s="89" customFormat="1" ht="12.75" customHeight="1" x14ac:dyDescent="0.2">
      <c r="A9" s="418"/>
      <c r="B9" s="418"/>
      <c r="C9" s="418"/>
      <c r="D9" s="418"/>
      <c r="E9" s="418"/>
      <c r="F9" s="418"/>
      <c r="G9" s="418"/>
      <c r="H9" s="418"/>
      <c r="I9" s="418"/>
      <c r="J9" s="418"/>
      <c r="K9" s="418"/>
      <c r="L9" s="418"/>
      <c r="M9" s="418"/>
      <c r="N9" s="160"/>
      <c r="O9" s="160"/>
      <c r="P9" s="160"/>
      <c r="Q9" s="160"/>
      <c r="R9" s="160"/>
      <c r="S9" s="160"/>
      <c r="T9" s="160"/>
      <c r="U9" s="160"/>
      <c r="V9" s="160"/>
      <c r="W9" s="160"/>
      <c r="X9" s="160"/>
      <c r="Y9" s="160"/>
      <c r="Z9" s="160"/>
      <c r="AA9" s="160"/>
    </row>
    <row r="10" spans="1:27" ht="15" customHeight="1" x14ac:dyDescent="0.25">
      <c r="A10" s="419" t="s">
        <v>4954</v>
      </c>
      <c r="B10" s="418"/>
      <c r="C10" s="2998" t="s">
        <v>1703</v>
      </c>
      <c r="D10" s="2998"/>
      <c r="E10" s="2998"/>
      <c r="F10" s="2998"/>
      <c r="G10" s="2998"/>
      <c r="H10" s="2998"/>
      <c r="I10" s="2998"/>
      <c r="J10" s="2998"/>
      <c r="K10" s="2998"/>
      <c r="L10" s="2998"/>
      <c r="M10" s="2998"/>
    </row>
    <row r="11" spans="1:27" ht="15" customHeight="1" x14ac:dyDescent="0.2">
      <c r="A11" s="416"/>
      <c r="B11" s="418"/>
      <c r="C11" s="2996"/>
      <c r="D11" s="2996"/>
      <c r="E11" s="2996"/>
      <c r="F11" s="2996"/>
      <c r="G11" s="2996"/>
      <c r="H11" s="2996"/>
      <c r="I11" s="2996"/>
      <c r="J11" s="2996"/>
      <c r="K11" s="2996"/>
      <c r="L11" s="2996"/>
      <c r="M11" s="2996"/>
    </row>
    <row r="12" spans="1:27" ht="15" customHeight="1" x14ac:dyDescent="0.2">
      <c r="A12" s="416"/>
      <c r="B12" s="418"/>
      <c r="C12" s="2996"/>
      <c r="D12" s="2996"/>
      <c r="E12" s="2996"/>
      <c r="F12" s="2996"/>
      <c r="G12" s="2996"/>
      <c r="H12" s="2996"/>
      <c r="I12" s="2996"/>
      <c r="J12" s="2996"/>
      <c r="K12" s="2996"/>
      <c r="L12" s="2996"/>
      <c r="M12" s="2996"/>
    </row>
    <row r="13" spans="1:27" ht="15" customHeight="1" x14ac:dyDescent="0.2">
      <c r="A13" s="416"/>
      <c r="B13" s="418"/>
      <c r="C13" s="2996"/>
      <c r="D13" s="2996"/>
      <c r="E13" s="2996"/>
      <c r="F13" s="2996"/>
      <c r="G13" s="2996"/>
      <c r="H13" s="2996"/>
      <c r="I13" s="2996"/>
      <c r="J13" s="2996"/>
      <c r="K13" s="2996"/>
      <c r="L13" s="2996"/>
      <c r="M13" s="2996"/>
    </row>
    <row r="14" spans="1:27" ht="15" customHeight="1" x14ac:dyDescent="0.2">
      <c r="A14" s="416"/>
      <c r="B14" s="418"/>
      <c r="C14" s="2996"/>
      <c r="D14" s="2996"/>
      <c r="E14" s="2996"/>
      <c r="F14" s="2996"/>
      <c r="G14" s="2996"/>
      <c r="H14" s="2996"/>
      <c r="I14" s="2996"/>
      <c r="J14" s="2996"/>
      <c r="K14" s="2996"/>
      <c r="L14" s="2996"/>
      <c r="M14" s="2996"/>
    </row>
    <row r="15" spans="1:27" ht="15" customHeight="1" x14ac:dyDescent="0.2">
      <c r="A15" s="416"/>
      <c r="B15" s="418"/>
      <c r="C15" s="2996"/>
      <c r="D15" s="2996"/>
      <c r="E15" s="2996"/>
      <c r="F15" s="2996"/>
      <c r="G15" s="2996"/>
      <c r="H15" s="2996"/>
      <c r="I15" s="2996"/>
      <c r="J15" s="2996"/>
      <c r="K15" s="2996"/>
      <c r="L15" s="2996"/>
      <c r="M15" s="2996"/>
    </row>
    <row r="16" spans="1:27" ht="15" customHeight="1" x14ac:dyDescent="0.2">
      <c r="A16" s="416"/>
      <c r="B16" s="418"/>
      <c r="C16" s="2996"/>
      <c r="D16" s="2996"/>
      <c r="E16" s="2996"/>
      <c r="F16" s="2996"/>
      <c r="G16" s="2996"/>
      <c r="H16" s="2996"/>
      <c r="I16" s="2996"/>
      <c r="J16" s="2996"/>
      <c r="K16" s="2996"/>
      <c r="L16" s="2996"/>
      <c r="M16" s="2996"/>
    </row>
    <row r="17" spans="1:13" ht="15" customHeight="1" x14ac:dyDescent="0.2">
      <c r="A17" s="416"/>
      <c r="B17" s="418"/>
      <c r="C17" s="2996"/>
      <c r="D17" s="2996"/>
      <c r="E17" s="2996"/>
      <c r="F17" s="2996"/>
      <c r="G17" s="2996"/>
      <c r="H17" s="2996"/>
      <c r="I17" s="2996"/>
      <c r="J17" s="2996"/>
      <c r="K17" s="2996"/>
      <c r="L17" s="2996"/>
      <c r="M17" s="2996"/>
    </row>
    <row r="18" spans="1:13" ht="15" customHeight="1" x14ac:dyDescent="0.2">
      <c r="A18" s="416"/>
      <c r="B18" s="418"/>
      <c r="C18" s="2996"/>
      <c r="D18" s="2996"/>
      <c r="E18" s="2996"/>
      <c r="F18" s="2996"/>
      <c r="G18" s="2996"/>
      <c r="H18" s="2996"/>
      <c r="I18" s="2996"/>
      <c r="J18" s="2996"/>
      <c r="K18" s="2996"/>
      <c r="L18" s="2996"/>
      <c r="M18" s="2996"/>
    </row>
    <row r="19" spans="1:13" ht="15" customHeight="1" x14ac:dyDescent="0.2">
      <c r="A19" s="416"/>
      <c r="B19" s="418"/>
      <c r="C19" s="2996"/>
      <c r="D19" s="2996"/>
      <c r="E19" s="2996"/>
      <c r="F19" s="2996"/>
      <c r="G19" s="2996"/>
      <c r="H19" s="2996"/>
      <c r="I19" s="2996"/>
      <c r="J19" s="2996"/>
      <c r="K19" s="2996"/>
      <c r="L19" s="2996"/>
      <c r="M19" s="2996"/>
    </row>
    <row r="20" spans="1:13" ht="15" customHeight="1" x14ac:dyDescent="0.2">
      <c r="A20" s="416"/>
      <c r="B20" s="418"/>
      <c r="C20" s="2996"/>
      <c r="D20" s="2996"/>
      <c r="E20" s="2996"/>
      <c r="F20" s="2996"/>
      <c r="G20" s="2996"/>
      <c r="H20" s="2996"/>
      <c r="I20" s="2996"/>
      <c r="J20" s="2996"/>
      <c r="K20" s="2996"/>
      <c r="L20" s="2996"/>
      <c r="M20" s="2996"/>
    </row>
    <row r="21" spans="1:13" ht="15" customHeight="1" x14ac:dyDescent="0.2">
      <c r="A21" s="416"/>
      <c r="B21" s="418"/>
      <c r="C21" s="2996"/>
      <c r="D21" s="2996"/>
      <c r="E21" s="2996"/>
      <c r="F21" s="2996"/>
      <c r="G21" s="2996"/>
      <c r="H21" s="2996"/>
      <c r="I21" s="2996"/>
      <c r="J21" s="2996"/>
      <c r="K21" s="2996"/>
      <c r="L21" s="2996"/>
      <c r="M21" s="2996"/>
    </row>
    <row r="22" spans="1:13" ht="15" customHeight="1" x14ac:dyDescent="0.2">
      <c r="A22" s="416"/>
      <c r="B22" s="418"/>
      <c r="C22" s="2996"/>
      <c r="D22" s="2996"/>
      <c r="E22" s="2996"/>
      <c r="F22" s="2996"/>
      <c r="G22" s="2996"/>
      <c r="H22" s="2996"/>
      <c r="I22" s="2996"/>
      <c r="J22" s="2996"/>
      <c r="K22" s="2996"/>
      <c r="L22" s="2996"/>
      <c r="M22" s="2996"/>
    </row>
    <row r="23" spans="1:13" ht="15" customHeight="1" x14ac:dyDescent="0.2">
      <c r="A23" s="416"/>
      <c r="B23" s="418"/>
      <c r="C23" s="2996"/>
      <c r="D23" s="2996"/>
      <c r="E23" s="2996"/>
      <c r="F23" s="2996"/>
      <c r="G23" s="2996"/>
      <c r="H23" s="2996"/>
      <c r="I23" s="2996"/>
      <c r="J23" s="2996"/>
      <c r="K23" s="2996"/>
      <c r="L23" s="2996"/>
      <c r="M23" s="2996"/>
    </row>
    <row r="24" spans="1:13" ht="15" customHeight="1" x14ac:dyDescent="0.2">
      <c r="A24" s="416"/>
      <c r="B24" s="418"/>
      <c r="C24" s="2996"/>
      <c r="D24" s="2996"/>
      <c r="E24" s="2996"/>
      <c r="F24" s="2996"/>
      <c r="G24" s="2996"/>
      <c r="H24" s="2996"/>
      <c r="I24" s="2996"/>
      <c r="J24" s="2996"/>
      <c r="K24" s="2996"/>
      <c r="L24" s="2996"/>
      <c r="M24" s="2996"/>
    </row>
    <row r="25" spans="1:13" ht="15" customHeight="1" x14ac:dyDescent="0.2">
      <c r="A25" s="416"/>
      <c r="B25" s="418"/>
      <c r="C25" s="2996"/>
      <c r="D25" s="2996"/>
      <c r="E25" s="2996"/>
      <c r="F25" s="2996"/>
      <c r="G25" s="2996"/>
      <c r="H25" s="2996"/>
      <c r="I25" s="2996"/>
      <c r="J25" s="2996"/>
      <c r="K25" s="2996"/>
      <c r="L25" s="2996"/>
      <c r="M25" s="2996"/>
    </row>
    <row r="26" spans="1:13" ht="15" customHeight="1" x14ac:dyDescent="0.2">
      <c r="A26" s="416"/>
      <c r="B26" s="418"/>
      <c r="C26" s="2996"/>
      <c r="D26" s="2996"/>
      <c r="E26" s="2996"/>
      <c r="F26" s="2996"/>
      <c r="G26" s="2996"/>
      <c r="H26" s="2996"/>
      <c r="I26" s="2996"/>
      <c r="J26" s="2996"/>
      <c r="K26" s="2996"/>
      <c r="L26" s="2996"/>
      <c r="M26" s="2996"/>
    </row>
    <row r="27" spans="1:13" ht="15" customHeight="1" x14ac:dyDescent="0.2">
      <c r="A27" s="416"/>
      <c r="B27" s="418"/>
      <c r="C27" s="2996"/>
      <c r="D27" s="2996"/>
      <c r="E27" s="2996"/>
      <c r="F27" s="2996"/>
      <c r="G27" s="2996"/>
      <c r="H27" s="2996"/>
      <c r="I27" s="2996"/>
      <c r="J27" s="2996"/>
      <c r="K27" s="2996"/>
      <c r="L27" s="2996"/>
      <c r="M27" s="2996"/>
    </row>
    <row r="28" spans="1:13" ht="15" customHeight="1" x14ac:dyDescent="0.2">
      <c r="A28" s="416"/>
      <c r="B28" s="418"/>
      <c r="C28" s="2996"/>
      <c r="D28" s="2996"/>
      <c r="E28" s="2996"/>
      <c r="F28" s="2996"/>
      <c r="G28" s="2996"/>
      <c r="H28" s="2996"/>
      <c r="I28" s="2996"/>
      <c r="J28" s="2996"/>
      <c r="K28" s="2996"/>
      <c r="L28" s="2996"/>
      <c r="M28" s="2996"/>
    </row>
    <row r="29" spans="1:13" ht="15" customHeight="1" x14ac:dyDescent="0.2">
      <c r="A29" s="416"/>
      <c r="B29" s="418"/>
      <c r="C29" s="2996"/>
      <c r="D29" s="2996"/>
      <c r="E29" s="2996"/>
      <c r="F29" s="2996"/>
      <c r="G29" s="2996"/>
      <c r="H29" s="2996"/>
      <c r="I29" s="2996"/>
      <c r="J29" s="2996"/>
      <c r="K29" s="2996"/>
      <c r="L29" s="2996"/>
      <c r="M29" s="2996"/>
    </row>
    <row r="30" spans="1:13" ht="15" customHeight="1" x14ac:dyDescent="0.2">
      <c r="A30" s="416"/>
      <c r="B30" s="418"/>
      <c r="C30" s="2996"/>
      <c r="D30" s="2996"/>
      <c r="E30" s="2996"/>
      <c r="F30" s="2996"/>
      <c r="G30" s="2996"/>
      <c r="H30" s="2996"/>
      <c r="I30" s="2996"/>
      <c r="J30" s="2996"/>
      <c r="K30" s="2996"/>
      <c r="L30" s="2996"/>
      <c r="M30" s="2996"/>
    </row>
    <row r="31" spans="1:13" ht="15" customHeight="1" x14ac:dyDescent="0.2">
      <c r="A31" s="416"/>
      <c r="B31" s="418"/>
      <c r="C31" s="2996"/>
      <c r="D31" s="2996"/>
      <c r="E31" s="2996"/>
      <c r="F31" s="2996"/>
      <c r="G31" s="2996"/>
      <c r="H31" s="2996"/>
      <c r="I31" s="2996"/>
      <c r="J31" s="2996"/>
      <c r="K31" s="2996"/>
      <c r="L31" s="2996"/>
      <c r="M31" s="2996"/>
    </row>
    <row r="32" spans="1:13" ht="15" customHeight="1" x14ac:dyDescent="0.2">
      <c r="A32" s="416"/>
      <c r="B32" s="418"/>
      <c r="C32" s="2996"/>
      <c r="D32" s="2996"/>
      <c r="E32" s="2996"/>
      <c r="F32" s="2996"/>
      <c r="G32" s="2996"/>
      <c r="H32" s="2996"/>
      <c r="I32" s="2996"/>
      <c r="J32" s="2996"/>
      <c r="K32" s="2996"/>
      <c r="L32" s="2996"/>
      <c r="M32" s="2996"/>
    </row>
    <row r="33" spans="1:13" ht="15" customHeight="1" x14ac:dyDescent="0.2">
      <c r="A33" s="416"/>
      <c r="B33" s="418"/>
      <c r="C33" s="2996"/>
      <c r="D33" s="2996"/>
      <c r="E33" s="2996"/>
      <c r="F33" s="2996"/>
      <c r="G33" s="2996"/>
      <c r="H33" s="2996"/>
      <c r="I33" s="2996"/>
      <c r="J33" s="2996"/>
      <c r="K33" s="2996"/>
      <c r="L33" s="2996"/>
      <c r="M33" s="2996"/>
    </row>
    <row r="34" spans="1:13" ht="15" customHeight="1" x14ac:dyDescent="0.2">
      <c r="A34" s="416"/>
      <c r="B34" s="418"/>
      <c r="C34" s="2996"/>
      <c r="D34" s="2996"/>
      <c r="E34" s="2996"/>
      <c r="F34" s="2996"/>
      <c r="G34" s="2996"/>
      <c r="H34" s="2996"/>
      <c r="I34" s="2996"/>
      <c r="J34" s="2996"/>
      <c r="K34" s="2996"/>
      <c r="L34" s="2996"/>
      <c r="M34" s="2996"/>
    </row>
    <row r="35" spans="1:13" ht="15" customHeight="1" x14ac:dyDescent="0.2">
      <c r="A35" s="416"/>
      <c r="B35" s="418"/>
      <c r="C35" s="2996"/>
      <c r="D35" s="2996"/>
      <c r="E35" s="2996"/>
      <c r="F35" s="2996"/>
      <c r="G35" s="2996"/>
      <c r="H35" s="2996"/>
      <c r="I35" s="2996"/>
      <c r="J35" s="2996"/>
      <c r="K35" s="2996"/>
      <c r="L35" s="2996"/>
      <c r="M35" s="2996"/>
    </row>
    <row r="36" spans="1:13" ht="15" customHeight="1" x14ac:dyDescent="0.2">
      <c r="A36" s="416"/>
      <c r="B36" s="418"/>
      <c r="C36" s="2996"/>
      <c r="D36" s="2996"/>
      <c r="E36" s="2996"/>
      <c r="F36" s="2996"/>
      <c r="G36" s="2996"/>
      <c r="H36" s="2996"/>
      <c r="I36" s="2996"/>
      <c r="J36" s="2996"/>
      <c r="K36" s="2996"/>
      <c r="L36" s="2996"/>
      <c r="M36" s="2996"/>
    </row>
    <row r="37" spans="1:13" ht="15" customHeight="1" x14ac:dyDescent="0.2">
      <c r="A37" s="416"/>
      <c r="B37" s="418"/>
      <c r="C37" s="2996"/>
      <c r="D37" s="2996"/>
      <c r="E37" s="2996"/>
      <c r="F37" s="2996"/>
      <c r="G37" s="2996"/>
      <c r="H37" s="2996"/>
      <c r="I37" s="2996"/>
      <c r="J37" s="2996"/>
      <c r="K37" s="2996"/>
      <c r="L37" s="2996"/>
      <c r="M37" s="2996"/>
    </row>
    <row r="38" spans="1:13" ht="15" customHeight="1" x14ac:dyDescent="0.2">
      <c r="A38" s="416"/>
      <c r="B38" s="418"/>
      <c r="C38" s="2996"/>
      <c r="D38" s="2996"/>
      <c r="E38" s="2996"/>
      <c r="F38" s="2996"/>
      <c r="G38" s="2996"/>
      <c r="H38" s="2996"/>
      <c r="I38" s="2996"/>
      <c r="J38" s="2996"/>
      <c r="K38" s="2996"/>
      <c r="L38" s="2996"/>
      <c r="M38" s="2996"/>
    </row>
    <row r="39" spans="1:13" ht="15" customHeight="1" x14ac:dyDescent="0.2">
      <c r="A39" s="416"/>
      <c r="B39" s="418"/>
      <c r="C39" s="2996"/>
      <c r="D39" s="2996"/>
      <c r="E39" s="2996"/>
      <c r="F39" s="2996"/>
      <c r="G39" s="2996"/>
      <c r="H39" s="2996"/>
      <c r="I39" s="2996"/>
      <c r="J39" s="2996"/>
      <c r="K39" s="2996"/>
      <c r="L39" s="2996"/>
      <c r="M39" s="2996"/>
    </row>
    <row r="40" spans="1:13" ht="15" customHeight="1" x14ac:dyDescent="0.2">
      <c r="A40" s="416"/>
      <c r="B40" s="418"/>
      <c r="C40" s="2996"/>
      <c r="D40" s="2996"/>
      <c r="E40" s="2996"/>
      <c r="F40" s="2996"/>
      <c r="G40" s="2996"/>
      <c r="H40" s="2996"/>
      <c r="I40" s="2996"/>
      <c r="J40" s="2996"/>
      <c r="K40" s="2996"/>
      <c r="L40" s="2996"/>
      <c r="M40" s="2996"/>
    </row>
    <row r="41" spans="1:13" ht="15" customHeight="1" x14ac:dyDescent="0.2">
      <c r="A41" s="416"/>
      <c r="B41" s="418"/>
      <c r="C41" s="2996"/>
      <c r="D41" s="2996"/>
      <c r="E41" s="2996"/>
      <c r="F41" s="2996"/>
      <c r="G41" s="2996"/>
      <c r="H41" s="2996"/>
      <c r="I41" s="2996"/>
      <c r="J41" s="2996"/>
      <c r="K41" s="2996"/>
      <c r="L41" s="2996"/>
      <c r="M41" s="2996"/>
    </row>
    <row r="42" spans="1:13" ht="15" customHeight="1" x14ac:dyDescent="0.2">
      <c r="A42" s="416"/>
      <c r="B42" s="418"/>
      <c r="C42" s="2996"/>
      <c r="D42" s="2996"/>
      <c r="E42" s="2996"/>
      <c r="F42" s="2996"/>
      <c r="G42" s="2996"/>
      <c r="H42" s="2996"/>
      <c r="I42" s="2996"/>
      <c r="J42" s="2996"/>
      <c r="K42" s="2996"/>
      <c r="L42" s="2996"/>
      <c r="M42" s="2996"/>
    </row>
    <row r="43" spans="1:13" ht="15" customHeight="1" x14ac:dyDescent="0.2">
      <c r="A43" s="416"/>
      <c r="B43" s="418"/>
      <c r="C43" s="2996"/>
      <c r="D43" s="2996"/>
      <c r="E43" s="2996"/>
      <c r="F43" s="2996"/>
      <c r="G43" s="2996"/>
      <c r="H43" s="2996"/>
      <c r="I43" s="2996"/>
      <c r="J43" s="2996"/>
      <c r="K43" s="2996"/>
      <c r="L43" s="2996"/>
      <c r="M43" s="2996"/>
    </row>
    <row r="44" spans="1:13" ht="15" customHeight="1" x14ac:dyDescent="0.2">
      <c r="A44" s="416"/>
      <c r="B44" s="418"/>
      <c r="C44" s="2996"/>
      <c r="D44" s="2996"/>
      <c r="E44" s="2996"/>
      <c r="F44" s="2996"/>
      <c r="G44" s="2996"/>
      <c r="H44" s="2996"/>
      <c r="I44" s="2996"/>
      <c r="J44" s="2996"/>
      <c r="K44" s="2996"/>
      <c r="L44" s="2996"/>
      <c r="M44" s="2996"/>
    </row>
    <row r="45" spans="1:13" ht="15" customHeight="1" x14ac:dyDescent="0.2">
      <c r="A45" s="416"/>
      <c r="B45" s="418"/>
      <c r="C45" s="2996"/>
      <c r="D45" s="2996"/>
      <c r="E45" s="2996"/>
      <c r="F45" s="2996"/>
      <c r="G45" s="2996"/>
      <c r="H45" s="2996"/>
      <c r="I45" s="2996"/>
      <c r="J45" s="2996"/>
      <c r="K45" s="2996"/>
      <c r="L45" s="2996"/>
      <c r="M45" s="2996"/>
    </row>
    <row r="46" spans="1:13" ht="15" customHeight="1" x14ac:dyDescent="0.2">
      <c r="A46" s="416"/>
      <c r="B46" s="418"/>
      <c r="C46" s="2996"/>
      <c r="D46" s="2996"/>
      <c r="E46" s="2996"/>
      <c r="F46" s="2996"/>
      <c r="G46" s="2996"/>
      <c r="H46" s="2996"/>
      <c r="I46" s="2996"/>
      <c r="J46" s="2996"/>
      <c r="K46" s="2996"/>
      <c r="L46" s="2996"/>
      <c r="M46" s="2996"/>
    </row>
    <row r="47" spans="1:13" ht="15" customHeight="1" x14ac:dyDescent="0.2">
      <c r="A47" s="416"/>
      <c r="B47" s="418"/>
      <c r="C47" s="2996"/>
      <c r="D47" s="2996"/>
      <c r="E47" s="2996"/>
      <c r="F47" s="2996"/>
      <c r="G47" s="2996"/>
      <c r="H47" s="2996"/>
      <c r="I47" s="2996"/>
      <c r="J47" s="2996"/>
      <c r="K47" s="2996"/>
      <c r="L47" s="2996"/>
      <c r="M47" s="2996"/>
    </row>
    <row r="48" spans="1:13" ht="15" customHeight="1" x14ac:dyDescent="0.2">
      <c r="A48" s="416"/>
      <c r="B48" s="418"/>
      <c r="C48" s="2996"/>
      <c r="D48" s="2996"/>
      <c r="E48" s="2996"/>
      <c r="F48" s="2996"/>
      <c r="G48" s="2996"/>
      <c r="H48" s="2996"/>
      <c r="I48" s="2996"/>
      <c r="J48" s="2996"/>
      <c r="K48" s="2996"/>
      <c r="L48" s="2996"/>
      <c r="M48" s="2996"/>
    </row>
    <row r="49" spans="1:13" ht="15" customHeight="1" x14ac:dyDescent="0.2">
      <c r="A49" s="416"/>
      <c r="B49" s="418"/>
      <c r="C49" s="2996"/>
      <c r="D49" s="2996"/>
      <c r="E49" s="2996"/>
      <c r="F49" s="2996"/>
      <c r="G49" s="2996"/>
      <c r="H49" s="2996"/>
      <c r="I49" s="2996"/>
      <c r="J49" s="2996"/>
      <c r="K49" s="2996"/>
      <c r="L49" s="2996"/>
      <c r="M49" s="2996"/>
    </row>
    <row r="50" spans="1:13" ht="15" customHeight="1" x14ac:dyDescent="0.2">
      <c r="A50" s="418"/>
      <c r="B50" s="418"/>
      <c r="C50" s="418"/>
      <c r="D50" s="418"/>
      <c r="E50" s="418"/>
      <c r="F50" s="418"/>
      <c r="G50" s="418"/>
      <c r="H50" s="418"/>
      <c r="I50" s="418"/>
      <c r="J50" s="418"/>
      <c r="K50" s="418"/>
      <c r="L50" s="418"/>
      <c r="M50" s="418"/>
    </row>
    <row r="51" spans="1:13" ht="15" customHeight="1" x14ac:dyDescent="0.2">
      <c r="A51" s="418"/>
      <c r="B51" s="418"/>
      <c r="C51" s="418"/>
      <c r="D51" s="418"/>
      <c r="E51" s="418"/>
      <c r="F51" s="418"/>
      <c r="G51" s="418"/>
      <c r="H51" s="418"/>
      <c r="I51" s="418"/>
      <c r="J51" s="418"/>
      <c r="K51" s="418"/>
      <c r="L51" s="418"/>
      <c r="M51" s="418"/>
    </row>
    <row r="52" spans="1:13" ht="15" customHeight="1" x14ac:dyDescent="0.2">
      <c r="A52" s="418"/>
      <c r="B52" s="418"/>
      <c r="C52" s="418"/>
      <c r="D52" s="418"/>
      <c r="E52" s="418"/>
      <c r="F52" s="418"/>
      <c r="G52" s="418"/>
      <c r="H52" s="418"/>
      <c r="I52" s="418"/>
      <c r="J52" s="418"/>
      <c r="K52" s="418"/>
      <c r="L52" s="418"/>
      <c r="M52" s="418"/>
    </row>
    <row r="53" spans="1:13" ht="15" customHeight="1" x14ac:dyDescent="0.2">
      <c r="A53" s="418"/>
      <c r="B53" s="418"/>
      <c r="C53" s="418"/>
      <c r="D53" s="418"/>
      <c r="E53" s="418"/>
      <c r="F53" s="418"/>
      <c r="G53" s="418"/>
      <c r="H53" s="418"/>
      <c r="I53" s="418"/>
      <c r="J53" s="418"/>
      <c r="K53" s="418"/>
      <c r="L53" s="418"/>
      <c r="M53" s="418"/>
    </row>
    <row r="54" spans="1:13" ht="15" customHeight="1" x14ac:dyDescent="0.2">
      <c r="A54" s="418"/>
      <c r="B54" s="418"/>
      <c r="C54" s="418"/>
      <c r="D54" s="418"/>
      <c r="E54" s="418"/>
      <c r="F54" s="418"/>
      <c r="G54" s="418"/>
      <c r="H54" s="418"/>
      <c r="I54" s="418"/>
      <c r="J54" s="418"/>
      <c r="K54" s="418"/>
      <c r="L54" s="418"/>
      <c r="M54" s="418"/>
    </row>
    <row r="55" spans="1:13" ht="15" customHeight="1" x14ac:dyDescent="0.2">
      <c r="A55" s="418"/>
      <c r="B55" s="418"/>
      <c r="C55" s="418"/>
      <c r="D55" s="418"/>
      <c r="E55" s="418"/>
      <c r="F55" s="418"/>
      <c r="G55" s="418"/>
      <c r="H55" s="418"/>
      <c r="I55" s="418"/>
      <c r="J55" s="418"/>
      <c r="K55" s="418"/>
      <c r="L55" s="418"/>
      <c r="M55" s="418"/>
    </row>
    <row r="56" spans="1:13" ht="15" customHeight="1" x14ac:dyDescent="0.2">
      <c r="A56" s="418"/>
      <c r="B56" s="418"/>
      <c r="C56" s="418"/>
      <c r="D56" s="418"/>
      <c r="E56" s="418"/>
      <c r="F56" s="418"/>
      <c r="G56" s="418"/>
      <c r="H56" s="418"/>
      <c r="I56" s="418"/>
      <c r="J56" s="418"/>
      <c r="K56" s="418"/>
      <c r="L56" s="418"/>
      <c r="M56" s="418"/>
    </row>
    <row r="57" spans="1:13" ht="15" customHeight="1" x14ac:dyDescent="0.2">
      <c r="A57" s="418"/>
      <c r="B57" s="418"/>
      <c r="C57" s="418"/>
      <c r="D57" s="418"/>
      <c r="E57" s="418"/>
      <c r="F57" s="418"/>
      <c r="G57" s="418"/>
      <c r="H57" s="418"/>
      <c r="I57" s="418"/>
      <c r="J57" s="418"/>
      <c r="K57" s="418"/>
      <c r="L57" s="418"/>
      <c r="M57" s="418"/>
    </row>
    <row r="58" spans="1:13" ht="15" customHeight="1" x14ac:dyDescent="0.2">
      <c r="A58" s="418"/>
      <c r="B58" s="418"/>
      <c r="C58" s="418"/>
      <c r="D58" s="418"/>
      <c r="E58" s="418"/>
      <c r="F58" s="418"/>
      <c r="G58" s="418"/>
      <c r="H58" s="418"/>
      <c r="I58" s="418"/>
      <c r="J58" s="418"/>
      <c r="K58" s="418"/>
      <c r="L58" s="418"/>
      <c r="M58" s="418"/>
    </row>
    <row r="59" spans="1:13" ht="15" customHeight="1" x14ac:dyDescent="0.2">
      <c r="A59" s="418"/>
      <c r="B59" s="418"/>
      <c r="C59" s="418"/>
      <c r="D59" s="418"/>
      <c r="E59" s="418"/>
      <c r="F59" s="418"/>
      <c r="G59" s="418"/>
      <c r="H59" s="418"/>
      <c r="I59" s="418"/>
      <c r="J59" s="418"/>
      <c r="K59" s="418"/>
      <c r="L59" s="418"/>
      <c r="M59" s="418"/>
    </row>
    <row r="60" spans="1:13" ht="15" customHeight="1" x14ac:dyDescent="0.2">
      <c r="A60" s="418"/>
      <c r="B60" s="418"/>
      <c r="C60" s="418"/>
      <c r="D60" s="418"/>
      <c r="E60" s="418"/>
      <c r="F60" s="418"/>
      <c r="G60" s="418"/>
      <c r="H60" s="418"/>
      <c r="I60" s="418"/>
      <c r="J60" s="418"/>
      <c r="K60" s="418"/>
      <c r="L60" s="418"/>
      <c r="M60" s="418"/>
    </row>
    <row r="61" spans="1:13" ht="15" customHeight="1" x14ac:dyDescent="0.2">
      <c r="A61" s="418"/>
      <c r="B61" s="418"/>
      <c r="C61" s="418"/>
      <c r="D61" s="418"/>
      <c r="E61" s="418"/>
      <c r="F61" s="418"/>
      <c r="G61" s="418"/>
      <c r="H61" s="418"/>
      <c r="I61" s="418"/>
      <c r="J61" s="418"/>
      <c r="K61" s="418"/>
      <c r="L61" s="418"/>
      <c r="M61" s="418"/>
    </row>
    <row r="62" spans="1:13" ht="15" customHeight="1" x14ac:dyDescent="0.2">
      <c r="A62" s="418"/>
      <c r="B62" s="418"/>
      <c r="C62" s="418"/>
      <c r="D62" s="418"/>
      <c r="E62" s="418"/>
      <c r="F62" s="418"/>
      <c r="G62" s="418"/>
      <c r="H62" s="418"/>
      <c r="I62" s="418"/>
      <c r="J62" s="418"/>
      <c r="K62" s="418"/>
      <c r="L62" s="418"/>
      <c r="M62" s="418"/>
    </row>
    <row r="63" spans="1:13" ht="15" customHeight="1" x14ac:dyDescent="0.2">
      <c r="A63" s="418"/>
      <c r="B63" s="418"/>
      <c r="C63" s="418"/>
      <c r="D63" s="418"/>
      <c r="E63" s="418"/>
      <c r="F63" s="418"/>
      <c r="G63" s="418"/>
      <c r="H63" s="418"/>
      <c r="I63" s="418"/>
      <c r="J63" s="418"/>
      <c r="K63" s="418"/>
      <c r="L63" s="418"/>
      <c r="M63" s="418"/>
    </row>
    <row r="64" spans="1:13" ht="15" customHeight="1" x14ac:dyDescent="0.2">
      <c r="A64" s="418"/>
      <c r="B64" s="418"/>
      <c r="C64" s="418"/>
      <c r="D64" s="418"/>
      <c r="E64" s="418"/>
      <c r="F64" s="418"/>
      <c r="G64" s="418"/>
      <c r="H64" s="418"/>
      <c r="I64" s="418"/>
      <c r="J64" s="418"/>
      <c r="K64" s="418"/>
      <c r="L64" s="418"/>
      <c r="M64" s="418"/>
    </row>
    <row r="65" spans="1:13" ht="15" customHeight="1" x14ac:dyDescent="0.2">
      <c r="A65" s="418"/>
      <c r="B65" s="418"/>
      <c r="C65" s="418"/>
      <c r="D65" s="418"/>
      <c r="E65" s="418"/>
      <c r="F65" s="418"/>
      <c r="G65" s="418"/>
      <c r="H65" s="418"/>
      <c r="I65" s="418"/>
      <c r="J65" s="418"/>
      <c r="K65" s="418"/>
      <c r="L65" s="418"/>
      <c r="M65" s="418"/>
    </row>
    <row r="66" spans="1:13" ht="15" customHeight="1" x14ac:dyDescent="0.2">
      <c r="A66" s="418"/>
      <c r="B66" s="418"/>
      <c r="C66" s="418"/>
      <c r="D66" s="418"/>
      <c r="E66" s="418"/>
      <c r="F66" s="418"/>
      <c r="G66" s="418"/>
      <c r="H66" s="418"/>
      <c r="I66" s="418"/>
      <c r="J66" s="418"/>
      <c r="K66" s="418"/>
      <c r="L66" s="418"/>
      <c r="M66" s="418"/>
    </row>
    <row r="67" spans="1:13" ht="15" customHeight="1" x14ac:dyDescent="0.2">
      <c r="A67" s="418"/>
      <c r="B67" s="418"/>
      <c r="C67" s="418"/>
      <c r="D67" s="418"/>
      <c r="E67" s="418"/>
      <c r="F67" s="418"/>
      <c r="G67" s="418"/>
      <c r="H67" s="418"/>
      <c r="I67" s="418"/>
      <c r="J67" s="418"/>
      <c r="K67" s="418"/>
      <c r="L67" s="418"/>
      <c r="M67" s="418"/>
    </row>
    <row r="68" spans="1:13" ht="15" customHeight="1" x14ac:dyDescent="0.2">
      <c r="A68" s="418"/>
      <c r="B68" s="418"/>
      <c r="C68" s="418"/>
      <c r="D68" s="418"/>
      <c r="E68" s="418"/>
      <c r="F68" s="418"/>
      <c r="G68" s="418"/>
      <c r="H68" s="418"/>
      <c r="I68" s="418"/>
      <c r="J68" s="418"/>
      <c r="K68" s="418"/>
      <c r="L68" s="418"/>
      <c r="M68" s="418"/>
    </row>
    <row r="69" spans="1:13" ht="15" customHeight="1" x14ac:dyDescent="0.2">
      <c r="A69" s="418"/>
      <c r="B69" s="418"/>
      <c r="C69" s="418"/>
      <c r="D69" s="418"/>
      <c r="E69" s="418"/>
      <c r="F69" s="418"/>
      <c r="G69" s="418"/>
      <c r="H69" s="418"/>
      <c r="I69" s="418"/>
      <c r="J69" s="418"/>
      <c r="K69" s="418"/>
      <c r="L69" s="418"/>
      <c r="M69" s="418"/>
    </row>
    <row r="70" spans="1:13" ht="15" customHeight="1" x14ac:dyDescent="0.2">
      <c r="A70" s="418"/>
      <c r="B70" s="418"/>
      <c r="C70" s="418"/>
      <c r="D70" s="418"/>
      <c r="E70" s="418"/>
      <c r="F70" s="418"/>
      <c r="G70" s="418"/>
      <c r="H70" s="418"/>
      <c r="I70" s="418"/>
      <c r="J70" s="418"/>
      <c r="K70" s="418"/>
      <c r="L70" s="418"/>
      <c r="M70" s="418"/>
    </row>
    <row r="71" spans="1:13" ht="15" customHeight="1" x14ac:dyDescent="0.2">
      <c r="A71" s="418"/>
      <c r="B71" s="418"/>
      <c r="C71" s="418"/>
      <c r="D71" s="418"/>
      <c r="E71" s="418"/>
      <c r="F71" s="418"/>
      <c r="G71" s="418"/>
      <c r="H71" s="418"/>
      <c r="I71" s="418"/>
      <c r="J71" s="418"/>
      <c r="K71" s="418"/>
      <c r="L71" s="418"/>
      <c r="M71" s="418"/>
    </row>
    <row r="72" spans="1:13" ht="15" customHeight="1" x14ac:dyDescent="0.2">
      <c r="A72" s="418"/>
      <c r="B72" s="418"/>
      <c r="C72" s="418"/>
      <c r="D72" s="418"/>
      <c r="E72" s="418"/>
      <c r="F72" s="418"/>
      <c r="G72" s="418"/>
      <c r="H72" s="418"/>
      <c r="I72" s="418"/>
      <c r="J72" s="418"/>
      <c r="K72" s="418"/>
      <c r="L72" s="418"/>
      <c r="M72" s="418"/>
    </row>
    <row r="73" spans="1:13" ht="15" customHeight="1" x14ac:dyDescent="0.2">
      <c r="A73" s="418"/>
      <c r="B73" s="418"/>
      <c r="C73" s="418"/>
      <c r="D73" s="418"/>
      <c r="E73" s="418"/>
      <c r="F73" s="418"/>
      <c r="G73" s="418"/>
      <c r="H73" s="418"/>
      <c r="I73" s="418"/>
      <c r="J73" s="418"/>
      <c r="K73" s="418"/>
      <c r="L73" s="418"/>
      <c r="M73" s="418"/>
    </row>
    <row r="74" spans="1:13" ht="15" customHeight="1" x14ac:dyDescent="0.2">
      <c r="A74" s="418"/>
      <c r="B74" s="418"/>
      <c r="C74" s="418"/>
      <c r="D74" s="418"/>
      <c r="E74" s="418"/>
      <c r="F74" s="418"/>
      <c r="G74" s="418"/>
      <c r="H74" s="418"/>
      <c r="I74" s="418"/>
      <c r="J74" s="418"/>
      <c r="K74" s="418"/>
      <c r="L74" s="418"/>
      <c r="M74" s="418"/>
    </row>
    <row r="75" spans="1:13" ht="15" customHeight="1" x14ac:dyDescent="0.2">
      <c r="A75" s="418"/>
      <c r="B75" s="418"/>
      <c r="C75" s="418"/>
      <c r="D75" s="418"/>
      <c r="E75" s="418"/>
      <c r="F75" s="418"/>
      <c r="G75" s="418"/>
      <c r="H75" s="418"/>
      <c r="I75" s="418"/>
      <c r="J75" s="418"/>
      <c r="K75" s="418"/>
      <c r="L75" s="418"/>
      <c r="M75" s="418"/>
    </row>
    <row r="76" spans="1:13" ht="15" customHeight="1" x14ac:dyDescent="0.2">
      <c r="A76" s="418"/>
      <c r="B76" s="418"/>
      <c r="C76" s="418"/>
      <c r="D76" s="418"/>
      <c r="E76" s="418"/>
      <c r="F76" s="418"/>
      <c r="G76" s="418"/>
      <c r="H76" s="418"/>
      <c r="I76" s="418"/>
      <c r="J76" s="418"/>
      <c r="K76" s="418"/>
      <c r="L76" s="418"/>
      <c r="M76" s="418"/>
    </row>
    <row r="77" spans="1:13" ht="15" customHeight="1" x14ac:dyDescent="0.2">
      <c r="A77" s="418"/>
      <c r="B77" s="418"/>
      <c r="C77" s="418"/>
      <c r="D77" s="418"/>
      <c r="E77" s="418"/>
      <c r="F77" s="418"/>
      <c r="G77" s="418"/>
      <c r="H77" s="418"/>
      <c r="I77" s="418"/>
      <c r="J77" s="418"/>
      <c r="K77" s="418"/>
      <c r="L77" s="418"/>
      <c r="M77" s="418"/>
    </row>
    <row r="78" spans="1:13" ht="15" customHeight="1" x14ac:dyDescent="0.2">
      <c r="A78" s="418"/>
      <c r="B78" s="418"/>
      <c r="C78" s="418"/>
      <c r="D78" s="418"/>
      <c r="E78" s="418"/>
      <c r="F78" s="418"/>
      <c r="G78" s="418"/>
      <c r="H78" s="418"/>
      <c r="I78" s="418"/>
      <c r="J78" s="418"/>
      <c r="K78" s="418"/>
      <c r="L78" s="418"/>
      <c r="M78" s="418"/>
    </row>
    <row r="79" spans="1:13" ht="15" customHeight="1" x14ac:dyDescent="0.2">
      <c r="A79" s="418"/>
      <c r="B79" s="418"/>
      <c r="C79" s="418"/>
      <c r="D79" s="418"/>
      <c r="E79" s="418"/>
      <c r="F79" s="418"/>
      <c r="G79" s="418"/>
      <c r="H79" s="418"/>
      <c r="I79" s="418"/>
      <c r="J79" s="418"/>
      <c r="K79" s="418"/>
      <c r="L79" s="418"/>
      <c r="M79" s="418"/>
    </row>
    <row r="80" spans="1:13" ht="15" customHeight="1" x14ac:dyDescent="0.2">
      <c r="A80" s="418"/>
      <c r="B80" s="418"/>
      <c r="C80" s="418"/>
      <c r="D80" s="418"/>
      <c r="E80" s="418"/>
      <c r="F80" s="418"/>
      <c r="G80" s="418"/>
      <c r="H80" s="418"/>
      <c r="I80" s="418"/>
      <c r="J80" s="418"/>
      <c r="K80" s="418"/>
      <c r="L80" s="418"/>
      <c r="M80" s="418"/>
    </row>
    <row r="81" spans="1:13" ht="15" customHeight="1" x14ac:dyDescent="0.2">
      <c r="A81" s="418"/>
      <c r="B81" s="418"/>
      <c r="C81" s="418"/>
      <c r="D81" s="418"/>
      <c r="E81" s="418"/>
      <c r="F81" s="418"/>
      <c r="G81" s="418"/>
      <c r="H81" s="418"/>
      <c r="I81" s="418"/>
      <c r="J81" s="418"/>
      <c r="K81" s="418"/>
      <c r="L81" s="418"/>
      <c r="M81" s="418"/>
    </row>
    <row r="82" spans="1:13" ht="15" customHeight="1" x14ac:dyDescent="0.2">
      <c r="A82" s="418"/>
      <c r="B82" s="418"/>
      <c r="C82" s="418"/>
      <c r="D82" s="418"/>
      <c r="E82" s="418"/>
      <c r="F82" s="418"/>
      <c r="G82" s="418"/>
      <c r="H82" s="418"/>
      <c r="I82" s="418"/>
      <c r="J82" s="418"/>
      <c r="K82" s="418"/>
      <c r="L82" s="418"/>
      <c r="M82" s="418"/>
    </row>
    <row r="83" spans="1:13" ht="15" customHeight="1" x14ac:dyDescent="0.2">
      <c r="A83" s="418"/>
      <c r="B83" s="418"/>
      <c r="C83" s="418"/>
      <c r="D83" s="418"/>
      <c r="E83" s="418"/>
      <c r="F83" s="418"/>
      <c r="G83" s="418"/>
      <c r="H83" s="418"/>
      <c r="I83" s="418"/>
      <c r="J83" s="418"/>
      <c r="K83" s="418"/>
      <c r="L83" s="418"/>
      <c r="M83" s="418"/>
    </row>
    <row r="84" spans="1:13" ht="15" customHeight="1" x14ac:dyDescent="0.2">
      <c r="A84" s="418"/>
      <c r="B84" s="418"/>
      <c r="C84" s="418"/>
      <c r="D84" s="418"/>
      <c r="E84" s="418"/>
      <c r="F84" s="418"/>
      <c r="G84" s="418"/>
      <c r="H84" s="418"/>
      <c r="I84" s="418"/>
      <c r="J84" s="418"/>
      <c r="K84" s="418"/>
      <c r="L84" s="418"/>
      <c r="M84" s="418"/>
    </row>
    <row r="85" spans="1:13" ht="15" customHeight="1" x14ac:dyDescent="0.2">
      <c r="A85" s="418"/>
      <c r="B85" s="418"/>
      <c r="C85" s="418"/>
      <c r="D85" s="418"/>
      <c r="E85" s="418"/>
      <c r="F85" s="418"/>
      <c r="G85" s="418"/>
      <c r="H85" s="418"/>
      <c r="I85" s="418"/>
      <c r="J85" s="418"/>
      <c r="K85" s="418"/>
      <c r="L85" s="418"/>
      <c r="M85" s="418"/>
    </row>
    <row r="86" spans="1:13" ht="15" customHeight="1" x14ac:dyDescent="0.2">
      <c r="A86" s="418"/>
      <c r="B86" s="418"/>
      <c r="C86" s="418"/>
      <c r="D86" s="418"/>
      <c r="E86" s="418"/>
      <c r="F86" s="418"/>
      <c r="G86" s="418"/>
      <c r="H86" s="418"/>
      <c r="I86" s="418"/>
      <c r="J86" s="418"/>
      <c r="K86" s="418"/>
      <c r="L86" s="418"/>
      <c r="M86" s="418"/>
    </row>
    <row r="87" spans="1:13" ht="15" customHeight="1" x14ac:dyDescent="0.2">
      <c r="A87" s="418"/>
      <c r="B87" s="418"/>
      <c r="C87" s="418"/>
      <c r="D87" s="418"/>
      <c r="E87" s="418"/>
      <c r="F87" s="418"/>
      <c r="G87" s="418"/>
      <c r="H87" s="418"/>
      <c r="I87" s="418"/>
      <c r="J87" s="418"/>
      <c r="K87" s="418"/>
      <c r="L87" s="418"/>
      <c r="M87" s="418"/>
    </row>
    <row r="88" spans="1:13" ht="15" customHeight="1" x14ac:dyDescent="0.2">
      <c r="A88" s="418"/>
      <c r="B88" s="418"/>
      <c r="C88" s="418"/>
      <c r="D88" s="418"/>
      <c r="E88" s="418"/>
      <c r="F88" s="418"/>
      <c r="G88" s="418"/>
      <c r="H88" s="418"/>
      <c r="I88" s="418"/>
      <c r="J88" s="418"/>
      <c r="K88" s="418"/>
      <c r="L88" s="418"/>
      <c r="M88" s="418"/>
    </row>
    <row r="89" spans="1:13" ht="15" customHeight="1" x14ac:dyDescent="0.2">
      <c r="A89" s="418"/>
      <c r="B89" s="418"/>
      <c r="C89" s="418"/>
      <c r="D89" s="418"/>
      <c r="E89" s="418"/>
      <c r="F89" s="418"/>
      <c r="G89" s="418"/>
      <c r="H89" s="418"/>
      <c r="I89" s="418"/>
      <c r="J89" s="418"/>
      <c r="K89" s="418"/>
      <c r="L89" s="418"/>
      <c r="M89" s="418"/>
    </row>
    <row r="90" spans="1:13" ht="15" customHeight="1" x14ac:dyDescent="0.2">
      <c r="A90" s="418"/>
      <c r="B90" s="418"/>
      <c r="C90" s="418"/>
      <c r="D90" s="418"/>
      <c r="E90" s="418"/>
      <c r="F90" s="418"/>
      <c r="G90" s="418"/>
      <c r="H90" s="418"/>
      <c r="I90" s="418"/>
      <c r="J90" s="418"/>
      <c r="K90" s="418"/>
      <c r="L90" s="418"/>
      <c r="M90" s="418"/>
    </row>
    <row r="91" spans="1:13" ht="15" customHeight="1" x14ac:dyDescent="0.2">
      <c r="A91" s="418"/>
      <c r="B91" s="418"/>
      <c r="C91" s="418"/>
      <c r="D91" s="418"/>
      <c r="E91" s="418"/>
      <c r="F91" s="418"/>
      <c r="G91" s="418"/>
      <c r="H91" s="418"/>
      <c r="I91" s="418"/>
      <c r="J91" s="418"/>
      <c r="K91" s="418"/>
      <c r="L91" s="418"/>
      <c r="M91" s="418"/>
    </row>
    <row r="92" spans="1:13" ht="15" customHeight="1" x14ac:dyDescent="0.2">
      <c r="A92" s="418"/>
      <c r="B92" s="418"/>
      <c r="C92" s="418"/>
      <c r="D92" s="418"/>
      <c r="E92" s="418"/>
      <c r="F92" s="418"/>
      <c r="G92" s="418"/>
      <c r="H92" s="418"/>
      <c r="I92" s="418"/>
      <c r="J92" s="418"/>
      <c r="K92" s="418"/>
      <c r="L92" s="418"/>
      <c r="M92" s="418"/>
    </row>
    <row r="93" spans="1:13" ht="15" customHeight="1" x14ac:dyDescent="0.2">
      <c r="A93" s="418"/>
      <c r="B93" s="418"/>
      <c r="C93" s="418"/>
      <c r="D93" s="418"/>
      <c r="E93" s="418"/>
      <c r="F93" s="418"/>
      <c r="G93" s="418"/>
      <c r="H93" s="418"/>
      <c r="I93" s="418"/>
      <c r="J93" s="418"/>
      <c r="K93" s="418"/>
      <c r="L93" s="418"/>
      <c r="M93" s="418"/>
    </row>
    <row r="94" spans="1:13" ht="15" customHeight="1" x14ac:dyDescent="0.2">
      <c r="A94" s="418"/>
      <c r="B94" s="418"/>
      <c r="C94" s="418"/>
      <c r="D94" s="418"/>
      <c r="E94" s="418"/>
      <c r="F94" s="418"/>
      <c r="G94" s="418"/>
      <c r="H94" s="418"/>
      <c r="I94" s="418"/>
      <c r="J94" s="418"/>
      <c r="K94" s="418"/>
      <c r="L94" s="418"/>
      <c r="M94" s="418"/>
    </row>
    <row r="95" spans="1:13" ht="15" customHeight="1" x14ac:dyDescent="0.2">
      <c r="A95" s="418"/>
      <c r="B95" s="418"/>
      <c r="C95" s="418"/>
      <c r="D95" s="418"/>
      <c r="E95" s="418"/>
      <c r="F95" s="418"/>
      <c r="G95" s="418"/>
      <c r="H95" s="418"/>
      <c r="I95" s="418"/>
      <c r="J95" s="418"/>
      <c r="K95" s="418"/>
      <c r="L95" s="418"/>
      <c r="M95" s="418"/>
    </row>
    <row r="96" spans="1:13" ht="15" customHeight="1" x14ac:dyDescent="0.2">
      <c r="A96" s="418"/>
      <c r="B96" s="418"/>
      <c r="C96" s="418"/>
      <c r="D96" s="418"/>
      <c r="E96" s="418"/>
      <c r="F96" s="418"/>
      <c r="G96" s="418"/>
      <c r="H96" s="418"/>
      <c r="I96" s="418"/>
      <c r="J96" s="418"/>
      <c r="K96" s="418"/>
      <c r="L96" s="418"/>
      <c r="M96" s="418"/>
    </row>
    <row r="97" spans="1:13" ht="15" customHeight="1" x14ac:dyDescent="0.2">
      <c r="A97" s="418"/>
      <c r="B97" s="418"/>
      <c r="C97" s="418"/>
      <c r="D97" s="418"/>
      <c r="E97" s="418"/>
      <c r="F97" s="418"/>
      <c r="G97" s="418"/>
      <c r="H97" s="418"/>
      <c r="I97" s="418"/>
      <c r="J97" s="418"/>
      <c r="K97" s="418"/>
      <c r="L97" s="418"/>
      <c r="M97" s="418"/>
    </row>
    <row r="98" spans="1:13" ht="15" customHeight="1" x14ac:dyDescent="0.2">
      <c r="A98" s="418"/>
      <c r="B98" s="418"/>
      <c r="C98" s="418"/>
      <c r="D98" s="418"/>
      <c r="E98" s="418"/>
      <c r="F98" s="418"/>
      <c r="G98" s="418"/>
      <c r="H98" s="418"/>
      <c r="I98" s="418"/>
      <c r="J98" s="418"/>
      <c r="K98" s="418"/>
      <c r="L98" s="418"/>
      <c r="M98" s="418"/>
    </row>
    <row r="99" spans="1:13" ht="15" customHeight="1" x14ac:dyDescent="0.2">
      <c r="A99" s="418"/>
      <c r="B99" s="418"/>
      <c r="C99" s="418"/>
      <c r="D99" s="418"/>
      <c r="E99" s="418"/>
      <c r="F99" s="418"/>
      <c r="G99" s="418"/>
      <c r="H99" s="418"/>
      <c r="I99" s="418"/>
      <c r="J99" s="418"/>
      <c r="K99" s="418"/>
      <c r="L99" s="418"/>
      <c r="M99" s="418"/>
    </row>
    <row r="100" spans="1:13" ht="15" customHeight="1" x14ac:dyDescent="0.2">
      <c r="A100" s="418"/>
      <c r="B100" s="418"/>
      <c r="C100" s="418"/>
      <c r="D100" s="418"/>
      <c r="E100" s="418"/>
      <c r="F100" s="418"/>
      <c r="G100" s="418"/>
      <c r="H100" s="418"/>
      <c r="I100" s="418"/>
      <c r="J100" s="418"/>
      <c r="K100" s="418"/>
      <c r="L100" s="418"/>
      <c r="M100" s="418"/>
    </row>
    <row r="101" spans="1:13" ht="15" customHeight="1" x14ac:dyDescent="0.2">
      <c r="A101" s="418"/>
      <c r="B101" s="418"/>
      <c r="C101" s="418"/>
      <c r="D101" s="418"/>
      <c r="E101" s="418"/>
      <c r="F101" s="418"/>
      <c r="G101" s="418"/>
      <c r="H101" s="418"/>
      <c r="I101" s="418"/>
      <c r="J101" s="418"/>
      <c r="K101" s="418"/>
      <c r="L101" s="418"/>
      <c r="M101" s="418"/>
    </row>
    <row r="102" spans="1:13" ht="15" customHeight="1" x14ac:dyDescent="0.2">
      <c r="A102" s="418"/>
      <c r="B102" s="418"/>
      <c r="C102" s="418"/>
      <c r="D102" s="418"/>
      <c r="E102" s="418"/>
      <c r="F102" s="418"/>
      <c r="G102" s="418"/>
      <c r="H102" s="418"/>
      <c r="I102" s="418"/>
      <c r="J102" s="418"/>
      <c r="K102" s="418"/>
      <c r="L102" s="418"/>
      <c r="M102" s="418"/>
    </row>
    <row r="103" spans="1:13" ht="15" customHeight="1" x14ac:dyDescent="0.2">
      <c r="A103" s="418"/>
      <c r="B103" s="418"/>
      <c r="C103" s="418"/>
      <c r="D103" s="418"/>
      <c r="E103" s="418"/>
      <c r="F103" s="418"/>
      <c r="G103" s="418"/>
      <c r="H103" s="418"/>
      <c r="I103" s="418"/>
      <c r="J103" s="418"/>
      <c r="K103" s="418"/>
      <c r="L103" s="418"/>
      <c r="M103" s="418"/>
    </row>
    <row r="104" spans="1:13" ht="15" customHeight="1" x14ac:dyDescent="0.2">
      <c r="A104" s="418"/>
      <c r="B104" s="418"/>
      <c r="C104" s="418"/>
      <c r="D104" s="418"/>
      <c r="E104" s="418"/>
      <c r="F104" s="418"/>
      <c r="G104" s="418"/>
      <c r="H104" s="418"/>
      <c r="I104" s="418"/>
      <c r="J104" s="418"/>
      <c r="K104" s="418"/>
      <c r="L104" s="418"/>
      <c r="M104" s="418"/>
    </row>
    <row r="105" spans="1:13" ht="15" customHeight="1" x14ac:dyDescent="0.2">
      <c r="A105" s="418"/>
      <c r="B105" s="418"/>
      <c r="C105" s="418"/>
      <c r="D105" s="418"/>
      <c r="E105" s="418"/>
      <c r="F105" s="418"/>
      <c r="G105" s="418"/>
      <c r="H105" s="418"/>
      <c r="I105" s="418"/>
      <c r="J105" s="418"/>
      <c r="K105" s="418"/>
      <c r="L105" s="418"/>
      <c r="M105" s="418"/>
    </row>
    <row r="106" spans="1:13" ht="15" customHeight="1" x14ac:dyDescent="0.2">
      <c r="A106" s="418"/>
      <c r="B106" s="418"/>
      <c r="C106" s="418"/>
      <c r="D106" s="418"/>
      <c r="E106" s="418"/>
      <c r="F106" s="418"/>
      <c r="G106" s="418"/>
      <c r="H106" s="418"/>
      <c r="I106" s="418"/>
      <c r="J106" s="418"/>
      <c r="K106" s="418"/>
      <c r="L106" s="418"/>
      <c r="M106" s="418"/>
    </row>
    <row r="107" spans="1:13" ht="15" customHeight="1" x14ac:dyDescent="0.2">
      <c r="A107" s="418"/>
      <c r="B107" s="418"/>
      <c r="C107" s="418"/>
      <c r="D107" s="418"/>
      <c r="E107" s="418"/>
      <c r="F107" s="418"/>
      <c r="G107" s="418"/>
      <c r="H107" s="418"/>
      <c r="I107" s="418"/>
      <c r="J107" s="418"/>
      <c r="K107" s="418"/>
      <c r="L107" s="418"/>
      <c r="M107" s="418"/>
    </row>
    <row r="108" spans="1:13" ht="15" customHeight="1" x14ac:dyDescent="0.2">
      <c r="A108" s="418"/>
      <c r="B108" s="418"/>
      <c r="C108" s="418"/>
      <c r="D108" s="418"/>
      <c r="E108" s="418"/>
      <c r="F108" s="418"/>
      <c r="G108" s="418"/>
      <c r="H108" s="418"/>
      <c r="I108" s="418"/>
      <c r="J108" s="418"/>
      <c r="K108" s="418"/>
      <c r="L108" s="418"/>
      <c r="M108" s="418"/>
    </row>
    <row r="109" spans="1:13" ht="15" customHeight="1" x14ac:dyDescent="0.2">
      <c r="A109" s="418"/>
      <c r="B109" s="418"/>
      <c r="C109" s="418"/>
      <c r="D109" s="418"/>
      <c r="E109" s="418"/>
      <c r="F109" s="418"/>
      <c r="G109" s="418"/>
      <c r="H109" s="418"/>
      <c r="I109" s="418"/>
      <c r="J109" s="418"/>
      <c r="K109" s="418"/>
      <c r="L109" s="418"/>
      <c r="M109" s="418"/>
    </row>
    <row r="110" spans="1:13" ht="15" customHeight="1" x14ac:dyDescent="0.2">
      <c r="A110" s="418"/>
      <c r="B110" s="418"/>
      <c r="C110" s="418"/>
      <c r="D110" s="418"/>
      <c r="E110" s="418"/>
      <c r="F110" s="418"/>
      <c r="G110" s="418"/>
      <c r="H110" s="418"/>
      <c r="I110" s="418"/>
      <c r="J110" s="418"/>
      <c r="K110" s="418"/>
      <c r="L110" s="418"/>
      <c r="M110" s="418"/>
    </row>
    <row r="111" spans="1:13" ht="15" customHeight="1" x14ac:dyDescent="0.2">
      <c r="A111" s="418"/>
      <c r="B111" s="418"/>
      <c r="C111" s="418"/>
      <c r="D111" s="418"/>
      <c r="E111" s="418"/>
      <c r="F111" s="418"/>
      <c r="G111" s="418"/>
      <c r="H111" s="418"/>
      <c r="I111" s="418"/>
      <c r="J111" s="418"/>
      <c r="K111" s="418"/>
      <c r="L111" s="418"/>
      <c r="M111" s="418"/>
    </row>
    <row r="112" spans="1:13" ht="15" customHeight="1" x14ac:dyDescent="0.2">
      <c r="A112" s="418"/>
      <c r="B112" s="418"/>
      <c r="C112" s="418"/>
      <c r="D112" s="418"/>
      <c r="E112" s="418"/>
      <c r="F112" s="418"/>
      <c r="G112" s="418"/>
      <c r="H112" s="418"/>
      <c r="I112" s="418"/>
      <c r="J112" s="418"/>
      <c r="K112" s="418"/>
      <c r="L112" s="418"/>
      <c r="M112" s="418"/>
    </row>
    <row r="113" spans="1:13" ht="15" customHeight="1" x14ac:dyDescent="0.2">
      <c r="A113" s="418"/>
      <c r="B113" s="418"/>
      <c r="C113" s="418"/>
      <c r="D113" s="418"/>
      <c r="E113" s="418"/>
      <c r="F113" s="418"/>
      <c r="G113" s="418"/>
      <c r="H113" s="418"/>
      <c r="I113" s="418"/>
      <c r="J113" s="418"/>
      <c r="K113" s="418"/>
      <c r="L113" s="418"/>
      <c r="M113" s="418"/>
    </row>
    <row r="114" spans="1:13" ht="15" customHeight="1" x14ac:dyDescent="0.2">
      <c r="A114" s="418"/>
      <c r="B114" s="418"/>
      <c r="C114" s="418"/>
      <c r="D114" s="418"/>
      <c r="E114" s="418"/>
      <c r="F114" s="418"/>
      <c r="G114" s="418"/>
      <c r="H114" s="418"/>
      <c r="I114" s="418"/>
      <c r="J114" s="418"/>
      <c r="K114" s="418"/>
      <c r="L114" s="418"/>
      <c r="M114" s="418"/>
    </row>
    <row r="115" spans="1:13" ht="15" customHeight="1" x14ac:dyDescent="0.2">
      <c r="A115" s="418"/>
      <c r="B115" s="418"/>
      <c r="C115" s="418"/>
      <c r="D115" s="418"/>
      <c r="E115" s="418"/>
      <c r="F115" s="418"/>
      <c r="G115" s="418"/>
      <c r="H115" s="418"/>
      <c r="I115" s="418"/>
      <c r="J115" s="418"/>
      <c r="K115" s="418"/>
      <c r="L115" s="418"/>
      <c r="M115" s="418"/>
    </row>
    <row r="116" spans="1:13" ht="15" customHeight="1" x14ac:dyDescent="0.2">
      <c r="A116" s="418"/>
      <c r="B116" s="418"/>
      <c r="C116" s="418"/>
      <c r="D116" s="418"/>
      <c r="E116" s="418"/>
      <c r="F116" s="418"/>
      <c r="G116" s="418"/>
      <c r="H116" s="418"/>
      <c r="I116" s="418"/>
      <c r="J116" s="418"/>
      <c r="K116" s="418"/>
      <c r="L116" s="418"/>
      <c r="M116" s="418"/>
    </row>
    <row r="117" spans="1:13" ht="15" customHeight="1" x14ac:dyDescent="0.2">
      <c r="A117" s="418"/>
      <c r="B117" s="418"/>
      <c r="C117" s="418"/>
      <c r="D117" s="418"/>
      <c r="E117" s="418"/>
      <c r="F117" s="418"/>
      <c r="G117" s="418"/>
      <c r="H117" s="418"/>
      <c r="I117" s="418"/>
      <c r="J117" s="418"/>
      <c r="K117" s="418"/>
      <c r="L117" s="418"/>
      <c r="M117" s="418"/>
    </row>
    <row r="118" spans="1:13" ht="15" customHeight="1" x14ac:dyDescent="0.2">
      <c r="A118" s="418"/>
      <c r="B118" s="418"/>
      <c r="C118" s="418"/>
      <c r="D118" s="418"/>
      <c r="E118" s="418"/>
      <c r="F118" s="418"/>
      <c r="G118" s="418"/>
      <c r="H118" s="418"/>
      <c r="I118" s="418"/>
      <c r="J118" s="418"/>
      <c r="K118" s="418"/>
      <c r="L118" s="418"/>
      <c r="M118" s="418"/>
    </row>
    <row r="119" spans="1:13" ht="15" customHeight="1" x14ac:dyDescent="0.2">
      <c r="A119" s="418"/>
      <c r="B119" s="418"/>
      <c r="C119" s="418"/>
      <c r="D119" s="418"/>
      <c r="E119" s="418"/>
      <c r="F119" s="418"/>
      <c r="G119" s="418"/>
      <c r="H119" s="418"/>
      <c r="I119" s="418"/>
      <c r="J119" s="418"/>
      <c r="K119" s="418"/>
      <c r="L119" s="418"/>
      <c r="M119" s="418"/>
    </row>
    <row r="120" spans="1:13" ht="15" customHeight="1" x14ac:dyDescent="0.2">
      <c r="A120" s="418"/>
      <c r="B120" s="418"/>
      <c r="C120" s="418"/>
      <c r="D120" s="418"/>
      <c r="E120" s="418"/>
      <c r="F120" s="418"/>
      <c r="G120" s="418"/>
      <c r="H120" s="418"/>
      <c r="I120" s="418"/>
      <c r="J120" s="418"/>
      <c r="K120" s="418"/>
      <c r="L120" s="418"/>
      <c r="M120" s="418"/>
    </row>
    <row r="121" spans="1:13" ht="15" customHeight="1" x14ac:dyDescent="0.2">
      <c r="A121" s="418"/>
      <c r="B121" s="418"/>
      <c r="C121" s="418"/>
      <c r="D121" s="418"/>
      <c r="E121" s="418"/>
      <c r="F121" s="418"/>
      <c r="G121" s="418"/>
      <c r="H121" s="418"/>
      <c r="I121" s="418"/>
      <c r="J121" s="418"/>
      <c r="K121" s="418"/>
      <c r="L121" s="418"/>
      <c r="M121" s="418"/>
    </row>
    <row r="122" spans="1:13" ht="15" customHeight="1" x14ac:dyDescent="0.2">
      <c r="A122" s="418"/>
      <c r="B122" s="418"/>
      <c r="C122" s="418"/>
      <c r="D122" s="418"/>
      <c r="E122" s="418"/>
      <c r="F122" s="418"/>
      <c r="G122" s="418"/>
      <c r="H122" s="418"/>
      <c r="I122" s="418"/>
      <c r="J122" s="418"/>
      <c r="K122" s="418"/>
      <c r="L122" s="418"/>
      <c r="M122" s="418"/>
    </row>
    <row r="123" spans="1:13" ht="15" customHeight="1" x14ac:dyDescent="0.2">
      <c r="A123" s="418"/>
      <c r="B123" s="418"/>
      <c r="C123" s="418"/>
      <c r="D123" s="418"/>
      <c r="E123" s="418"/>
      <c r="F123" s="418"/>
      <c r="G123" s="418"/>
      <c r="H123" s="418"/>
      <c r="I123" s="418"/>
      <c r="J123" s="418"/>
      <c r="K123" s="418"/>
      <c r="L123" s="418"/>
      <c r="M123" s="418"/>
    </row>
    <row r="124" spans="1:13" ht="15" customHeight="1" x14ac:dyDescent="0.2">
      <c r="A124" s="418"/>
      <c r="B124" s="418"/>
      <c r="C124" s="418"/>
      <c r="D124" s="418"/>
      <c r="E124" s="418"/>
      <c r="F124" s="418"/>
      <c r="G124" s="418"/>
      <c r="H124" s="418"/>
      <c r="I124" s="418"/>
      <c r="J124" s="418"/>
      <c r="K124" s="418"/>
      <c r="L124" s="418"/>
      <c r="M124" s="418"/>
    </row>
    <row r="125" spans="1:13" ht="15" customHeight="1" x14ac:dyDescent="0.2">
      <c r="A125" s="418"/>
      <c r="B125" s="418"/>
      <c r="C125" s="418"/>
      <c r="D125" s="418"/>
      <c r="E125" s="418"/>
      <c r="F125" s="418"/>
      <c r="G125" s="418"/>
      <c r="H125" s="418"/>
      <c r="I125" s="418"/>
      <c r="J125" s="418"/>
      <c r="K125" s="418"/>
      <c r="L125" s="418"/>
      <c r="M125" s="418"/>
    </row>
    <row r="126" spans="1:13" ht="15" customHeight="1" x14ac:dyDescent="0.2">
      <c r="A126" s="418"/>
      <c r="B126" s="418"/>
      <c r="C126" s="418"/>
      <c r="D126" s="418"/>
      <c r="E126" s="418"/>
      <c r="F126" s="418"/>
      <c r="G126" s="418"/>
      <c r="H126" s="418"/>
      <c r="I126" s="418"/>
      <c r="J126" s="418"/>
      <c r="K126" s="418"/>
      <c r="L126" s="418"/>
      <c r="M126" s="418"/>
    </row>
    <row r="127" spans="1:13" ht="15" customHeight="1" x14ac:dyDescent="0.2">
      <c r="A127" s="418"/>
      <c r="B127" s="418"/>
      <c r="C127" s="418"/>
      <c r="D127" s="418"/>
      <c r="E127" s="418"/>
      <c r="F127" s="418"/>
      <c r="G127" s="418"/>
      <c r="H127" s="418"/>
      <c r="I127" s="418"/>
      <c r="J127" s="418"/>
      <c r="K127" s="418"/>
      <c r="L127" s="418"/>
      <c r="M127" s="418"/>
    </row>
    <row r="128" spans="1:13" ht="15" customHeight="1" x14ac:dyDescent="0.2">
      <c r="A128" s="418"/>
      <c r="B128" s="418"/>
      <c r="C128" s="418"/>
      <c r="D128" s="418"/>
      <c r="E128" s="418"/>
      <c r="F128" s="418"/>
      <c r="G128" s="418"/>
      <c r="H128" s="418"/>
      <c r="I128" s="418"/>
      <c r="J128" s="418"/>
      <c r="K128" s="418"/>
      <c r="L128" s="418"/>
      <c r="M128" s="418"/>
    </row>
    <row r="129" spans="1:13" ht="15" customHeight="1" x14ac:dyDescent="0.2">
      <c r="A129" s="418"/>
      <c r="B129" s="418"/>
      <c r="C129" s="418"/>
      <c r="D129" s="418"/>
      <c r="E129" s="418"/>
      <c r="F129" s="418"/>
      <c r="G129" s="418"/>
      <c r="H129" s="418"/>
      <c r="I129" s="418"/>
      <c r="J129" s="418"/>
      <c r="K129" s="418"/>
      <c r="L129" s="418"/>
      <c r="M129" s="418"/>
    </row>
    <row r="130" spans="1:13" ht="15" customHeight="1" x14ac:dyDescent="0.2">
      <c r="A130" s="418"/>
      <c r="B130" s="418"/>
      <c r="C130" s="418"/>
      <c r="D130" s="418"/>
      <c r="E130" s="418"/>
      <c r="F130" s="418"/>
      <c r="G130" s="418"/>
      <c r="H130" s="418"/>
      <c r="I130" s="418"/>
      <c r="J130" s="418"/>
      <c r="K130" s="418"/>
      <c r="L130" s="418"/>
      <c r="M130" s="418"/>
    </row>
    <row r="131" spans="1:13" ht="15" customHeight="1" x14ac:dyDescent="0.2">
      <c r="A131" s="418"/>
      <c r="B131" s="418"/>
      <c r="C131" s="418"/>
      <c r="D131" s="418"/>
      <c r="E131" s="418"/>
      <c r="F131" s="418"/>
      <c r="G131" s="418"/>
      <c r="H131" s="418"/>
      <c r="I131" s="418"/>
      <c r="J131" s="418"/>
      <c r="K131" s="418"/>
      <c r="L131" s="418"/>
      <c r="M131" s="418"/>
    </row>
    <row r="132" spans="1:13" ht="15" customHeight="1" x14ac:dyDescent="0.2">
      <c r="A132" s="418"/>
      <c r="B132" s="418"/>
      <c r="C132" s="418"/>
      <c r="D132" s="418"/>
      <c r="E132" s="418"/>
      <c r="F132" s="418"/>
      <c r="G132" s="418"/>
      <c r="H132" s="418"/>
      <c r="I132" s="418"/>
      <c r="J132" s="418"/>
      <c r="K132" s="418"/>
      <c r="L132" s="418"/>
      <c r="M132" s="418"/>
    </row>
    <row r="133" spans="1:13" ht="15" customHeight="1" x14ac:dyDescent="0.2">
      <c r="A133" s="418"/>
      <c r="B133" s="418"/>
      <c r="C133" s="418"/>
      <c r="D133" s="418"/>
      <c r="E133" s="418"/>
      <c r="F133" s="418"/>
      <c r="G133" s="418"/>
      <c r="H133" s="418"/>
      <c r="I133" s="418"/>
      <c r="J133" s="418"/>
      <c r="K133" s="418"/>
      <c r="L133" s="418"/>
      <c r="M133" s="418"/>
    </row>
    <row r="134" spans="1:13" ht="15" customHeight="1" x14ac:dyDescent="0.2">
      <c r="A134" s="418"/>
      <c r="B134" s="418"/>
      <c r="C134" s="418"/>
      <c r="D134" s="418"/>
      <c r="E134" s="418"/>
      <c r="F134" s="418"/>
      <c r="G134" s="418"/>
      <c r="H134" s="418"/>
      <c r="I134" s="418"/>
      <c r="J134" s="418"/>
      <c r="K134" s="418"/>
      <c r="L134" s="418"/>
      <c r="M134" s="418"/>
    </row>
    <row r="135" spans="1:13" ht="15" customHeight="1" x14ac:dyDescent="0.2">
      <c r="A135" s="418"/>
      <c r="B135" s="418"/>
      <c r="C135" s="418"/>
      <c r="D135" s="418"/>
      <c r="E135" s="418"/>
      <c r="F135" s="418"/>
      <c r="G135" s="418"/>
      <c r="H135" s="418"/>
      <c r="I135" s="418"/>
      <c r="J135" s="418"/>
      <c r="K135" s="418"/>
      <c r="L135" s="418"/>
      <c r="M135" s="418"/>
    </row>
    <row r="136" spans="1:13" ht="15" customHeight="1" x14ac:dyDescent="0.2">
      <c r="A136" s="418"/>
      <c r="B136" s="418"/>
      <c r="C136" s="418"/>
      <c r="D136" s="418"/>
      <c r="E136" s="418"/>
      <c r="F136" s="418"/>
      <c r="G136" s="418"/>
      <c r="H136" s="418"/>
      <c r="I136" s="418"/>
      <c r="J136" s="418"/>
      <c r="K136" s="418"/>
      <c r="L136" s="418"/>
      <c r="M136" s="418"/>
    </row>
    <row r="137" spans="1:13" ht="15" customHeight="1" x14ac:dyDescent="0.2">
      <c r="A137" s="418"/>
      <c r="B137" s="418"/>
      <c r="C137" s="418"/>
      <c r="D137" s="418"/>
      <c r="E137" s="418"/>
      <c r="F137" s="418"/>
      <c r="G137" s="418"/>
      <c r="H137" s="418"/>
      <c r="I137" s="418"/>
      <c r="J137" s="418"/>
      <c r="K137" s="418"/>
      <c r="L137" s="418"/>
      <c r="M137" s="418"/>
    </row>
    <row r="138" spans="1:13" ht="15" customHeight="1" x14ac:dyDescent="0.2">
      <c r="A138" s="418"/>
      <c r="B138" s="418"/>
      <c r="C138" s="418"/>
      <c r="D138" s="418"/>
      <c r="E138" s="418"/>
      <c r="F138" s="418"/>
      <c r="G138" s="418"/>
      <c r="H138" s="418"/>
      <c r="I138" s="418"/>
      <c r="J138" s="418"/>
      <c r="K138" s="418"/>
      <c r="L138" s="418"/>
      <c r="M138" s="418"/>
    </row>
    <row r="139" spans="1:13" ht="15" customHeight="1" x14ac:dyDescent="0.2">
      <c r="A139" s="418"/>
      <c r="B139" s="418"/>
      <c r="C139" s="418"/>
      <c r="D139" s="418"/>
      <c r="E139" s="418"/>
      <c r="F139" s="418"/>
      <c r="G139" s="418"/>
      <c r="H139" s="418"/>
      <c r="I139" s="418"/>
      <c r="J139" s="418"/>
      <c r="K139" s="418"/>
      <c r="L139" s="418"/>
      <c r="M139" s="418"/>
    </row>
    <row r="140" spans="1:13" ht="15" customHeight="1" x14ac:dyDescent="0.2">
      <c r="A140" s="418"/>
      <c r="B140" s="418"/>
      <c r="C140" s="418"/>
      <c r="D140" s="418"/>
      <c r="E140" s="418"/>
      <c r="F140" s="418"/>
      <c r="G140" s="418"/>
      <c r="H140" s="418"/>
      <c r="I140" s="418"/>
      <c r="J140" s="418"/>
      <c r="K140" s="418"/>
      <c r="L140" s="418"/>
      <c r="M140" s="418"/>
    </row>
    <row r="141" spans="1:13" ht="15" customHeight="1" x14ac:dyDescent="0.2">
      <c r="A141" s="418"/>
      <c r="B141" s="418"/>
      <c r="C141" s="418"/>
      <c r="D141" s="418"/>
      <c r="E141" s="418"/>
      <c r="F141" s="418"/>
      <c r="G141" s="418"/>
      <c r="H141" s="418"/>
      <c r="I141" s="418"/>
      <c r="J141" s="418"/>
      <c r="K141" s="418"/>
      <c r="L141" s="418"/>
      <c r="M141" s="418"/>
    </row>
    <row r="142" spans="1:13" ht="15" customHeight="1" x14ac:dyDescent="0.2">
      <c r="A142" s="418"/>
      <c r="B142" s="418"/>
      <c r="C142" s="418"/>
      <c r="D142" s="418"/>
      <c r="E142" s="418"/>
      <c r="F142" s="418"/>
      <c r="G142" s="418"/>
      <c r="H142" s="418"/>
      <c r="I142" s="418"/>
      <c r="J142" s="418"/>
      <c r="K142" s="418"/>
      <c r="L142" s="418"/>
      <c r="M142" s="418"/>
    </row>
    <row r="143" spans="1:13" ht="15" customHeight="1" x14ac:dyDescent="0.2">
      <c r="A143" s="418"/>
      <c r="B143" s="418"/>
      <c r="C143" s="418"/>
      <c r="D143" s="418"/>
      <c r="E143" s="418"/>
      <c r="F143" s="418"/>
      <c r="G143" s="418"/>
      <c r="H143" s="418"/>
      <c r="I143" s="418"/>
      <c r="J143" s="418"/>
      <c r="K143" s="418"/>
      <c r="L143" s="418"/>
      <c r="M143" s="418"/>
    </row>
    <row r="144" spans="1:13" ht="15" customHeight="1" x14ac:dyDescent="0.2">
      <c r="A144" s="418"/>
      <c r="B144" s="418"/>
      <c r="C144" s="418"/>
      <c r="D144" s="418"/>
      <c r="E144" s="418"/>
      <c r="F144" s="418"/>
      <c r="G144" s="418"/>
      <c r="H144" s="418"/>
      <c r="I144" s="418"/>
      <c r="J144" s="418"/>
      <c r="K144" s="418"/>
      <c r="L144" s="418"/>
      <c r="M144" s="418"/>
    </row>
    <row r="145" spans="1:13" ht="15" customHeight="1" x14ac:dyDescent="0.2">
      <c r="A145" s="418"/>
      <c r="B145" s="418"/>
      <c r="C145" s="418"/>
      <c r="D145" s="418"/>
      <c r="E145" s="418"/>
      <c r="F145" s="418"/>
      <c r="G145" s="418"/>
      <c r="H145" s="418"/>
      <c r="I145" s="418"/>
      <c r="J145" s="418"/>
      <c r="K145" s="418"/>
      <c r="L145" s="418"/>
      <c r="M145" s="418"/>
    </row>
    <row r="146" spans="1:13" ht="15" x14ac:dyDescent="0.2">
      <c r="A146" s="418"/>
      <c r="B146" s="418"/>
      <c r="C146" s="418"/>
      <c r="D146" s="418"/>
      <c r="E146" s="418"/>
      <c r="F146" s="418"/>
      <c r="G146" s="418"/>
      <c r="H146" s="418"/>
      <c r="I146" s="418"/>
      <c r="J146" s="418"/>
      <c r="K146" s="418"/>
      <c r="L146" s="418"/>
      <c r="M146" s="418"/>
    </row>
    <row r="147" spans="1:13" ht="15" x14ac:dyDescent="0.2">
      <c r="A147" s="418"/>
      <c r="B147" s="418"/>
      <c r="C147" s="418"/>
      <c r="D147" s="418"/>
      <c r="E147" s="418"/>
      <c r="F147" s="418"/>
      <c r="G147" s="418"/>
      <c r="H147" s="418"/>
      <c r="I147" s="418"/>
      <c r="J147" s="418"/>
      <c r="K147" s="418"/>
      <c r="L147" s="418"/>
      <c r="M147" s="418"/>
    </row>
    <row r="148" spans="1:13" ht="15" x14ac:dyDescent="0.2">
      <c r="A148" s="418"/>
      <c r="B148" s="418"/>
      <c r="C148" s="418"/>
      <c r="D148" s="418"/>
      <c r="E148" s="418"/>
      <c r="F148" s="418"/>
      <c r="G148" s="418"/>
      <c r="H148" s="418"/>
      <c r="I148" s="418"/>
      <c r="J148" s="418"/>
      <c r="K148" s="418"/>
      <c r="L148" s="418"/>
      <c r="M148" s="418"/>
    </row>
    <row r="149" spans="1:13" ht="15" x14ac:dyDescent="0.2">
      <c r="A149" s="418"/>
      <c r="B149" s="418"/>
      <c r="C149" s="418"/>
      <c r="D149" s="418"/>
      <c r="E149" s="418"/>
      <c r="F149" s="418"/>
      <c r="G149" s="418"/>
      <c r="H149" s="418"/>
      <c r="I149" s="418"/>
      <c r="J149" s="418"/>
      <c r="K149" s="418"/>
      <c r="L149" s="418"/>
      <c r="M149" s="418"/>
    </row>
    <row r="150" spans="1:13" ht="15" x14ac:dyDescent="0.2">
      <c r="A150" s="418"/>
      <c r="B150" s="418"/>
      <c r="C150" s="418"/>
      <c r="D150" s="418"/>
      <c r="E150" s="418"/>
      <c r="F150" s="418"/>
      <c r="G150" s="418"/>
      <c r="H150" s="418"/>
      <c r="I150" s="418"/>
      <c r="J150" s="418"/>
      <c r="K150" s="418"/>
      <c r="L150" s="418"/>
      <c r="M150" s="418"/>
    </row>
    <row r="151" spans="1:13" ht="15" x14ac:dyDescent="0.2">
      <c r="A151" s="418"/>
      <c r="B151" s="418"/>
      <c r="C151" s="418"/>
      <c r="D151" s="418"/>
      <c r="E151" s="418"/>
      <c r="F151" s="418"/>
      <c r="G151" s="418"/>
      <c r="H151" s="418"/>
      <c r="I151" s="418"/>
      <c r="J151" s="418"/>
      <c r="K151" s="418"/>
      <c r="L151" s="418"/>
      <c r="M151" s="418"/>
    </row>
    <row r="152" spans="1:13" ht="15" x14ac:dyDescent="0.2">
      <c r="A152" s="418"/>
      <c r="B152" s="418"/>
      <c r="C152" s="418"/>
      <c r="D152" s="418"/>
      <c r="E152" s="418"/>
      <c r="F152" s="418"/>
      <c r="G152" s="418"/>
      <c r="H152" s="418"/>
      <c r="I152" s="418"/>
      <c r="J152" s="418"/>
      <c r="K152" s="418"/>
      <c r="L152" s="418"/>
      <c r="M152" s="418"/>
    </row>
    <row r="153" spans="1:13" ht="15" x14ac:dyDescent="0.2">
      <c r="A153" s="418"/>
      <c r="B153" s="418"/>
      <c r="C153" s="418"/>
      <c r="D153" s="418"/>
      <c r="E153" s="418"/>
      <c r="F153" s="418"/>
      <c r="G153" s="418"/>
      <c r="H153" s="418"/>
      <c r="I153" s="418"/>
      <c r="J153" s="418"/>
      <c r="K153" s="418"/>
      <c r="L153" s="418"/>
      <c r="M153" s="418"/>
    </row>
    <row r="154" spans="1:13" ht="15" x14ac:dyDescent="0.2">
      <c r="A154" s="418"/>
      <c r="B154" s="418"/>
      <c r="C154" s="418"/>
      <c r="D154" s="418"/>
      <c r="E154" s="418"/>
      <c r="F154" s="418"/>
      <c r="G154" s="418"/>
      <c r="H154" s="418"/>
      <c r="I154" s="418"/>
      <c r="J154" s="418"/>
      <c r="K154" s="418"/>
      <c r="L154" s="418"/>
      <c r="M154" s="418"/>
    </row>
    <row r="155" spans="1:13" ht="15" x14ac:dyDescent="0.2">
      <c r="A155" s="418"/>
      <c r="B155" s="418"/>
      <c r="C155" s="418"/>
      <c r="D155" s="418"/>
      <c r="E155" s="418"/>
      <c r="F155" s="418"/>
      <c r="G155" s="418"/>
      <c r="H155" s="418"/>
      <c r="I155" s="418"/>
      <c r="J155" s="418"/>
      <c r="K155" s="418"/>
      <c r="L155" s="418"/>
      <c r="M155" s="418"/>
    </row>
    <row r="156" spans="1:13" ht="15" x14ac:dyDescent="0.2">
      <c r="A156" s="418"/>
      <c r="B156" s="418"/>
      <c r="C156" s="418"/>
      <c r="D156" s="418"/>
      <c r="E156" s="418"/>
      <c r="F156" s="418"/>
      <c r="G156" s="418"/>
      <c r="H156" s="418"/>
      <c r="I156" s="418"/>
      <c r="J156" s="418"/>
      <c r="K156" s="418"/>
      <c r="L156" s="418"/>
      <c r="M156" s="418"/>
    </row>
    <row r="157" spans="1:13" ht="15" x14ac:dyDescent="0.2">
      <c r="A157" s="418"/>
      <c r="B157" s="418"/>
      <c r="C157" s="418"/>
      <c r="D157" s="418"/>
      <c r="E157" s="418"/>
      <c r="F157" s="418"/>
      <c r="G157" s="418"/>
      <c r="H157" s="418"/>
      <c r="I157" s="418"/>
      <c r="J157" s="418"/>
      <c r="K157" s="418"/>
      <c r="L157" s="418"/>
      <c r="M157" s="418"/>
    </row>
    <row r="158" spans="1:13" ht="15" x14ac:dyDescent="0.2">
      <c r="A158" s="418"/>
      <c r="B158" s="418"/>
      <c r="C158" s="418"/>
      <c r="D158" s="418"/>
      <c r="E158" s="418"/>
      <c r="F158" s="418"/>
      <c r="G158" s="418"/>
      <c r="H158" s="418"/>
      <c r="I158" s="418"/>
      <c r="J158" s="418"/>
      <c r="K158" s="418"/>
      <c r="L158" s="418"/>
      <c r="M158" s="418"/>
    </row>
    <row r="159" spans="1:13" ht="15" x14ac:dyDescent="0.2">
      <c r="A159" s="418"/>
      <c r="B159" s="418"/>
      <c r="C159" s="418"/>
      <c r="D159" s="418"/>
      <c r="E159" s="418"/>
      <c r="F159" s="418"/>
      <c r="G159" s="418"/>
      <c r="H159" s="418"/>
      <c r="I159" s="418"/>
      <c r="J159" s="418"/>
      <c r="K159" s="418"/>
      <c r="L159" s="418"/>
      <c r="M159" s="418"/>
    </row>
    <row r="160" spans="1:13" ht="15" x14ac:dyDescent="0.2">
      <c r="A160" s="418"/>
      <c r="B160" s="418"/>
      <c r="C160" s="418"/>
      <c r="D160" s="418"/>
      <c r="E160" s="418"/>
      <c r="F160" s="418"/>
      <c r="G160" s="418"/>
      <c r="H160" s="418"/>
      <c r="I160" s="418"/>
      <c r="J160" s="418"/>
      <c r="K160" s="418"/>
      <c r="L160" s="418"/>
      <c r="M160" s="418"/>
    </row>
    <row r="161" spans="1:13" ht="15" x14ac:dyDescent="0.2">
      <c r="A161" s="418"/>
      <c r="B161" s="418"/>
      <c r="C161" s="418"/>
      <c r="D161" s="418"/>
      <c r="E161" s="418"/>
      <c r="F161" s="418"/>
      <c r="G161" s="418"/>
      <c r="H161" s="418"/>
      <c r="I161" s="418"/>
      <c r="J161" s="418"/>
      <c r="K161" s="418"/>
      <c r="L161" s="418"/>
      <c r="M161" s="418"/>
    </row>
    <row r="162" spans="1:13" ht="15" x14ac:dyDescent="0.2">
      <c r="A162" s="418"/>
      <c r="B162" s="418"/>
      <c r="C162" s="418"/>
      <c r="D162" s="418"/>
      <c r="E162" s="418"/>
      <c r="F162" s="418"/>
      <c r="G162" s="418"/>
      <c r="H162" s="418"/>
      <c r="I162" s="418"/>
      <c r="J162" s="418"/>
      <c r="K162" s="418"/>
      <c r="L162" s="418"/>
      <c r="M162" s="418"/>
    </row>
    <row r="163" spans="1:13" ht="15" x14ac:dyDescent="0.2">
      <c r="A163" s="418"/>
      <c r="B163" s="418"/>
      <c r="C163" s="418"/>
      <c r="D163" s="418"/>
      <c r="E163" s="418"/>
      <c r="F163" s="418"/>
      <c r="G163" s="418"/>
      <c r="H163" s="418"/>
      <c r="I163" s="418"/>
      <c r="J163" s="418"/>
      <c r="K163" s="418"/>
      <c r="L163" s="418"/>
      <c r="M163" s="418"/>
    </row>
    <row r="164" spans="1:13" ht="15" x14ac:dyDescent="0.2">
      <c r="A164" s="418"/>
      <c r="B164" s="418"/>
      <c r="C164" s="418"/>
      <c r="D164" s="418"/>
      <c r="E164" s="418"/>
      <c r="F164" s="418"/>
      <c r="G164" s="418"/>
      <c r="H164" s="418"/>
      <c r="I164" s="418"/>
      <c r="J164" s="418"/>
      <c r="K164" s="418"/>
      <c r="L164" s="418"/>
      <c r="M164" s="418"/>
    </row>
    <row r="165" spans="1:13" ht="15" x14ac:dyDescent="0.2">
      <c r="A165" s="418"/>
      <c r="B165" s="418"/>
      <c r="C165" s="418"/>
      <c r="D165" s="418"/>
      <c r="E165" s="418"/>
      <c r="F165" s="418"/>
      <c r="G165" s="418"/>
      <c r="H165" s="418"/>
      <c r="I165" s="418"/>
      <c r="J165" s="418"/>
      <c r="K165" s="418"/>
      <c r="L165" s="418"/>
      <c r="M165" s="418"/>
    </row>
    <row r="166" spans="1:13" ht="15" x14ac:dyDescent="0.2">
      <c r="A166" s="418"/>
      <c r="B166" s="418"/>
      <c r="C166" s="418"/>
      <c r="D166" s="418"/>
      <c r="E166" s="418"/>
      <c r="F166" s="418"/>
      <c r="G166" s="418"/>
      <c r="H166" s="418"/>
      <c r="I166" s="418"/>
      <c r="J166" s="418"/>
      <c r="K166" s="418"/>
      <c r="L166" s="418"/>
      <c r="M166" s="418"/>
    </row>
  </sheetData>
  <sheetProtection algorithmName="SHA-512" hashValue="2nAO/4jvhJhC1oIQpwyhPARdz4UFP2JgFP32O9Sc5O8nw/3lmLkrTmN1ysX+vJ1q/bf9jnccqAPIoFmsmkNrmw==" saltValue="5H7uTJ1gOB0+h+HZktADRA==" spinCount="100000" sheet="1" objects="1" scenarios="1" autoFilter="0"/>
  <customSheetViews>
    <customSheetView guid="{9FCFC836-1CA5-48BF-958D-24D2EA94B219}" showGridLines="0">
      <selection activeCell="B12" sqref="B12"/>
      <pageMargins left="0" right="0" top="0" bottom="0" header="0" footer="0"/>
      <pageSetup orientation="portrait" r:id="rId1"/>
      <headerFooter alignWithMargins="0">
        <oddFooter>&amp;R&amp;A</oddFooter>
      </headerFooter>
    </customSheetView>
    <customSheetView guid="{B08879A4-635B-4C39-9937-AC7883D562FC}" showGridLines="0">
      <selection activeCell="B12" sqref="B12"/>
      <pageMargins left="0" right="0" top="0" bottom="0" header="0" footer="0"/>
      <pageSetup orientation="portrait" r:id="rId2"/>
      <headerFooter alignWithMargins="0">
        <oddFooter>&amp;R&amp;A</oddFooter>
      </headerFooter>
    </customSheetView>
  </customSheetViews>
  <mergeCells count="47">
    <mergeCell ref="C48:M48"/>
    <mergeCell ref="C49:M49"/>
    <mergeCell ref="C44:M44"/>
    <mergeCell ref="C45:M45"/>
    <mergeCell ref="C46:M46"/>
    <mergeCell ref="C47:M47"/>
    <mergeCell ref="C41:M41"/>
    <mergeCell ref="C42:M42"/>
    <mergeCell ref="C43:M43"/>
    <mergeCell ref="C32:M32"/>
    <mergeCell ref="C37:M37"/>
    <mergeCell ref="C38:M38"/>
    <mergeCell ref="C39:M39"/>
    <mergeCell ref="C36:M36"/>
    <mergeCell ref="C33:M33"/>
    <mergeCell ref="C35:M35"/>
    <mergeCell ref="C40:M40"/>
    <mergeCell ref="C24:M24"/>
    <mergeCell ref="C22:M22"/>
    <mergeCell ref="C23:M23"/>
    <mergeCell ref="C28:M28"/>
    <mergeCell ref="C29:M29"/>
    <mergeCell ref="C25:M25"/>
    <mergeCell ref="C30:M30"/>
    <mergeCell ref="C31:M31"/>
    <mergeCell ref="C34:M34"/>
    <mergeCell ref="C26:M26"/>
    <mergeCell ref="C27:M27"/>
    <mergeCell ref="N1:N3"/>
    <mergeCell ref="J5:M5"/>
    <mergeCell ref="J6:M6"/>
    <mergeCell ref="A1:M1"/>
    <mergeCell ref="A2:M2"/>
    <mergeCell ref="A3:M3"/>
    <mergeCell ref="C21:M21"/>
    <mergeCell ref="J7:M7"/>
    <mergeCell ref="C13:M13"/>
    <mergeCell ref="C17:M17"/>
    <mergeCell ref="C20:M20"/>
    <mergeCell ref="C10:M10"/>
    <mergeCell ref="C16:M16"/>
    <mergeCell ref="C18:M18"/>
    <mergeCell ref="C19:M19"/>
    <mergeCell ref="C11:M11"/>
    <mergeCell ref="C12:M12"/>
    <mergeCell ref="C14:M14"/>
    <mergeCell ref="C15:M15"/>
  </mergeCells>
  <phoneticPr fontId="16" type="noConversion"/>
  <conditionalFormatting sqref="N1:N3">
    <cfRule type="cellIs" dxfId="2" priority="1" stopIfTrue="1" operator="equal">
      <formula>"na"</formula>
    </cfRule>
  </conditionalFormatting>
  <hyperlinks>
    <hyperlink ref="A1:M1" location="Index!A1" display="Index!A1" xr:uid="{00000000-0004-0000-5500-000000000000}"/>
  </hyperlinks>
  <pageMargins left="0.75" right="0.5" top="0.5" bottom="0.5" header="0.5" footer="0.25"/>
  <pageSetup orientation="portrait" r:id="rId3"/>
  <headerFooter alignWithMargins="0">
    <oddFooter>&amp;R&amp;A</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61">
    <pageSetUpPr fitToPage="1"/>
  </sheetPr>
  <dimension ref="A1:AA39"/>
  <sheetViews>
    <sheetView showGridLines="0" zoomScaleNormal="100" workbookViewId="0">
      <selection activeCell="A2" sqref="A2:M2"/>
    </sheetView>
  </sheetViews>
  <sheetFormatPr defaultColWidth="9.42578125" defaultRowHeight="11.25" x14ac:dyDescent="0.2"/>
  <cols>
    <col min="1" max="1" width="3" style="28" customWidth="1"/>
    <col min="2" max="2" width="11.5703125" style="28" customWidth="1"/>
    <col min="3" max="3" width="2.5703125" style="28" customWidth="1"/>
    <col min="4" max="4" width="10.5703125" style="28" customWidth="1"/>
    <col min="5" max="5" width="2.5703125" style="28" customWidth="1"/>
    <col min="6" max="6" width="4.5703125" style="28" customWidth="1"/>
    <col min="7" max="7" width="2.5703125" style="28" customWidth="1"/>
    <col min="8" max="8" width="4.42578125" style="28" customWidth="1"/>
    <col min="9" max="9" width="14.5703125" style="28" customWidth="1"/>
    <col min="10" max="10" width="1.42578125" style="28" customWidth="1"/>
    <col min="11" max="11" width="13.42578125" style="28" customWidth="1"/>
    <col min="12" max="12" width="2.42578125" style="28" customWidth="1"/>
    <col min="13" max="13" width="14.5703125" style="28" customWidth="1"/>
    <col min="14" max="14" width="4.5703125" style="28" customWidth="1"/>
    <col min="15" max="16384" width="9.42578125" style="28"/>
  </cols>
  <sheetData>
    <row r="1" spans="1:27" s="29" customFormat="1" ht="15" customHeight="1" x14ac:dyDescent="0.25">
      <c r="A1" s="2455" t="str">
        <f>+Index!$A$1</f>
        <v xml:space="preserve">                                                               Office of the State Controller                                                                </v>
      </c>
      <c r="B1" s="2455"/>
      <c r="C1" s="2455"/>
      <c r="D1" s="2455"/>
      <c r="E1" s="2455"/>
      <c r="F1" s="2455"/>
      <c r="G1" s="2455"/>
      <c r="H1" s="2455"/>
      <c r="I1" s="2455"/>
      <c r="J1" s="2455"/>
      <c r="K1" s="2455"/>
      <c r="L1" s="2455"/>
      <c r="M1" s="2455"/>
      <c r="N1" s="2456" t="str">
        <f>IF(Index!$B$117="na","NA","")</f>
        <v/>
      </c>
      <c r="AA1" s="30"/>
    </row>
    <row r="2" spans="1:27" s="29" customFormat="1" ht="15" customHeight="1" x14ac:dyDescent="0.25">
      <c r="A2" s="2493" t="str">
        <f>Index!A2</f>
        <v>2023 ACFR Worksheets</v>
      </c>
      <c r="B2" s="2493"/>
      <c r="C2" s="2493"/>
      <c r="D2" s="2493"/>
      <c r="E2" s="2493"/>
      <c r="F2" s="2493"/>
      <c r="G2" s="2493"/>
      <c r="H2" s="2493"/>
      <c r="I2" s="2493"/>
      <c r="J2" s="2493"/>
      <c r="K2" s="2493"/>
      <c r="L2" s="2493"/>
      <c r="M2" s="2493"/>
      <c r="N2" s="2456"/>
    </row>
    <row r="3" spans="1:27" s="29" customFormat="1" ht="15" customHeight="1" x14ac:dyDescent="0.25">
      <c r="A3" s="2493" t="s">
        <v>202</v>
      </c>
      <c r="B3" s="2493"/>
      <c r="C3" s="2493"/>
      <c r="D3" s="2493"/>
      <c r="E3" s="2493"/>
      <c r="F3" s="2493"/>
      <c r="G3" s="2493"/>
      <c r="H3" s="2493"/>
      <c r="I3" s="2493"/>
      <c r="J3" s="2493"/>
      <c r="K3" s="2493"/>
      <c r="L3" s="2493"/>
      <c r="M3" s="2493"/>
      <c r="N3" s="2456"/>
    </row>
    <row r="4" spans="1:27" s="89" customFormat="1" ht="15" customHeight="1" x14ac:dyDescent="0.2">
      <c r="A4" s="160"/>
      <c r="B4" s="160"/>
      <c r="C4" s="160"/>
      <c r="D4" s="160"/>
      <c r="E4" s="160"/>
      <c r="F4" s="160"/>
      <c r="G4" s="160"/>
      <c r="H4" s="2260"/>
      <c r="I4" s="160"/>
      <c r="J4" s="160"/>
      <c r="K4" s="160"/>
      <c r="L4" s="160"/>
      <c r="M4" s="160"/>
      <c r="N4" s="160"/>
      <c r="O4" s="160"/>
      <c r="P4" s="160"/>
      <c r="Q4" s="160"/>
      <c r="R4" s="160"/>
      <c r="S4" s="160"/>
      <c r="T4" s="160"/>
      <c r="U4" s="160"/>
      <c r="V4" s="160"/>
      <c r="W4" s="160"/>
      <c r="X4" s="160"/>
      <c r="Y4" s="160"/>
      <c r="Z4" s="160"/>
      <c r="AA4" s="160"/>
    </row>
    <row r="5" spans="1:27" s="89" customFormat="1" ht="15" customHeight="1" x14ac:dyDescent="0.2">
      <c r="A5" s="160"/>
      <c r="B5" s="160"/>
      <c r="C5" s="160"/>
      <c r="D5" s="2260"/>
      <c r="E5" s="160"/>
      <c r="F5" s="160"/>
      <c r="G5" s="160"/>
      <c r="H5" s="160"/>
      <c r="I5" s="1733" t="s">
        <v>317</v>
      </c>
      <c r="J5" s="2999" t="str">
        <f>+Index!$E$10</f>
        <v>01</v>
      </c>
      <c r="K5" s="2999"/>
      <c r="L5" s="2999"/>
      <c r="M5" s="2999"/>
      <c r="N5" s="160"/>
      <c r="O5" s="160"/>
      <c r="P5" s="160"/>
      <c r="Q5" s="160"/>
      <c r="R5" s="160"/>
      <c r="S5" s="160"/>
      <c r="T5" s="160"/>
      <c r="U5" s="160"/>
      <c r="V5" s="160"/>
      <c r="W5" s="160"/>
      <c r="X5" s="160"/>
      <c r="Y5" s="160"/>
      <c r="Z5" s="160"/>
      <c r="AA5" s="160"/>
    </row>
    <row r="6" spans="1:27" s="89" customFormat="1" ht="15" customHeight="1" x14ac:dyDescent="0.2">
      <c r="A6" s="160"/>
      <c r="B6" s="160"/>
      <c r="C6" s="160"/>
      <c r="D6" s="160"/>
      <c r="E6" s="160"/>
      <c r="F6" s="160"/>
      <c r="G6" s="160"/>
      <c r="H6" s="160"/>
      <c r="I6" s="1733" t="s">
        <v>318</v>
      </c>
      <c r="J6" s="3000" t="str">
        <f>+Index!$E$11</f>
        <v>North Carolina General Assembly</v>
      </c>
      <c r="K6" s="3000"/>
      <c r="L6" s="3000"/>
      <c r="M6" s="3000"/>
      <c r="N6" s="160"/>
      <c r="O6" s="160"/>
      <c r="P6" s="160"/>
      <c r="Q6" s="160"/>
      <c r="R6" s="160"/>
      <c r="S6" s="160"/>
      <c r="T6" s="160"/>
      <c r="U6" s="160"/>
      <c r="V6" s="160"/>
      <c r="W6" s="160"/>
      <c r="X6" s="160"/>
      <c r="Y6" s="160"/>
      <c r="Z6" s="160"/>
      <c r="AA6" s="160"/>
    </row>
    <row r="7" spans="1:27" s="89" customFormat="1" ht="15" customHeight="1" x14ac:dyDescent="0.2">
      <c r="A7" s="160" t="s">
        <v>568</v>
      </c>
      <c r="B7" s="160"/>
      <c r="C7" s="160"/>
      <c r="D7" s="2255" t="s">
        <v>4955</v>
      </c>
      <c r="E7" s="160"/>
      <c r="F7" s="160"/>
      <c r="G7" s="160"/>
      <c r="H7" s="160"/>
      <c r="I7" s="1733" t="s">
        <v>319</v>
      </c>
      <c r="J7" s="2997" t="str">
        <f>CONCATENATE(Index!$E$12," ",Index!$E$14)</f>
        <v xml:space="preserve"> </v>
      </c>
      <c r="K7" s="2997"/>
      <c r="L7" s="2997"/>
      <c r="M7" s="2997"/>
      <c r="N7" s="160"/>
      <c r="O7" s="160"/>
      <c r="P7" s="160"/>
      <c r="Q7" s="160"/>
      <c r="R7" s="160"/>
      <c r="S7" s="160"/>
      <c r="T7" s="160"/>
      <c r="U7" s="160"/>
      <c r="V7" s="160"/>
      <c r="W7" s="160"/>
      <c r="X7" s="160"/>
      <c r="Y7" s="160"/>
      <c r="Z7" s="160"/>
      <c r="AA7" s="160"/>
    </row>
    <row r="8" spans="1:27" s="89" customFormat="1" ht="15" customHeight="1" thickBot="1" x14ac:dyDescent="0.25">
      <c r="A8" s="1735"/>
      <c r="B8" s="1735"/>
      <c r="C8" s="1735"/>
      <c r="D8" s="1735"/>
      <c r="E8" s="1735"/>
      <c r="F8" s="1735"/>
      <c r="G8" s="1735"/>
      <c r="H8" s="1735"/>
      <c r="I8" s="1735"/>
      <c r="J8" s="1735"/>
      <c r="K8" s="1735"/>
      <c r="L8" s="1735"/>
      <c r="M8" s="1735"/>
      <c r="N8" s="160"/>
      <c r="O8" s="160"/>
      <c r="P8" s="160"/>
      <c r="Q8" s="160"/>
      <c r="R8" s="160"/>
      <c r="S8" s="160"/>
      <c r="T8" s="160"/>
      <c r="U8" s="160"/>
      <c r="V8" s="160"/>
      <c r="W8" s="160"/>
      <c r="X8" s="160"/>
      <c r="Y8" s="160"/>
      <c r="Z8" s="160"/>
      <c r="AA8" s="160"/>
    </row>
    <row r="9" spans="1:27" s="89" customFormat="1" ht="12.75" customHeight="1" x14ac:dyDescent="0.2">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row>
    <row r="10" spans="1:27" s="89" customFormat="1" ht="12.75" customHeight="1" x14ac:dyDescent="0.2">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row>
    <row r="11" spans="1:27" s="89" customFormat="1" ht="12.75" customHeight="1" x14ac:dyDescent="0.2">
      <c r="A11" s="3004" t="s">
        <v>4956</v>
      </c>
      <c r="B11" s="3005"/>
      <c r="C11" s="3005"/>
      <c r="D11" s="3005"/>
      <c r="E11" s="3005"/>
      <c r="F11" s="3005"/>
      <c r="G11" s="3005"/>
      <c r="H11" s="3005"/>
      <c r="I11" s="3005"/>
      <c r="J11" s="3005"/>
      <c r="K11" s="3005"/>
      <c r="L11" s="3005"/>
      <c r="M11" s="3005"/>
      <c r="N11" s="3005"/>
      <c r="O11" s="160"/>
      <c r="P11" s="160"/>
      <c r="Q11" s="160"/>
      <c r="R11" s="160"/>
      <c r="S11" s="160"/>
      <c r="T11" s="160"/>
      <c r="U11" s="160"/>
      <c r="V11" s="160"/>
      <c r="W11" s="160"/>
      <c r="X11" s="160"/>
      <c r="Y11" s="160"/>
      <c r="Z11" s="160"/>
      <c r="AA11" s="160"/>
    </row>
    <row r="12" spans="1:27" s="89" customFormat="1" ht="12.75" customHeight="1" x14ac:dyDescent="0.2">
      <c r="A12" s="3003" t="s">
        <v>4957</v>
      </c>
      <c r="B12" s="3003"/>
      <c r="C12" s="3003"/>
      <c r="D12" s="3003"/>
      <c r="E12" s="3003"/>
      <c r="F12" s="3003"/>
      <c r="G12" s="3003"/>
      <c r="H12" s="3003"/>
      <c r="I12" s="3003"/>
      <c r="J12" s="3003"/>
      <c r="K12" s="3003"/>
      <c r="L12" s="3003"/>
      <c r="M12" s="3003"/>
      <c r="N12" s="1736"/>
      <c r="O12" s="160"/>
      <c r="P12" s="160"/>
      <c r="Q12" s="160"/>
      <c r="R12" s="160"/>
      <c r="S12" s="160"/>
      <c r="T12" s="160"/>
      <c r="U12" s="160"/>
      <c r="V12" s="160"/>
      <c r="W12" s="160"/>
      <c r="X12" s="160"/>
      <c r="Y12" s="160"/>
      <c r="Z12" s="160"/>
      <c r="AA12" s="160"/>
    </row>
    <row r="13" spans="1:27" s="89" customFormat="1" ht="12.75" customHeight="1" x14ac:dyDescent="0.2">
      <c r="A13" s="3003" t="s">
        <v>4958</v>
      </c>
      <c r="B13" s="3003"/>
      <c r="C13" s="3003"/>
      <c r="D13" s="3003"/>
      <c r="E13" s="3003"/>
      <c r="F13" s="3003"/>
      <c r="G13" s="3003"/>
      <c r="H13" s="3003"/>
      <c r="I13" s="3003"/>
      <c r="J13" s="3003"/>
      <c r="K13" s="3003"/>
      <c r="L13" s="3003"/>
      <c r="M13" s="3003"/>
      <c r="N13" s="1736"/>
      <c r="O13" s="160"/>
      <c r="P13" s="160"/>
      <c r="Q13" s="160"/>
      <c r="R13" s="160"/>
      <c r="S13" s="160"/>
      <c r="T13" s="160"/>
      <c r="U13" s="160"/>
      <c r="V13" s="160"/>
      <c r="W13" s="160"/>
      <c r="X13" s="160"/>
      <c r="Y13" s="160"/>
      <c r="Z13" s="160"/>
      <c r="AA13" s="160"/>
    </row>
    <row r="14" spans="1:27" s="89" customFormat="1" ht="12.75" customHeight="1" x14ac:dyDescent="0.2">
      <c r="A14" s="3003" t="s">
        <v>4959</v>
      </c>
      <c r="B14" s="3003"/>
      <c r="C14" s="3003"/>
      <c r="D14" s="3003"/>
      <c r="E14" s="3003"/>
      <c r="F14" s="3003"/>
      <c r="G14" s="3003"/>
      <c r="H14" s="3003"/>
      <c r="I14" s="3003"/>
      <c r="J14" s="3003"/>
      <c r="K14" s="3003"/>
      <c r="L14" s="3003"/>
      <c r="M14" s="3003"/>
      <c r="N14" s="1736"/>
      <c r="O14" s="160"/>
      <c r="P14" s="160"/>
      <c r="Q14" s="160"/>
      <c r="R14" s="160"/>
      <c r="S14" s="160"/>
      <c r="T14" s="160"/>
      <c r="U14" s="160"/>
      <c r="V14" s="160"/>
      <c r="W14" s="160"/>
      <c r="X14" s="160"/>
      <c r="Y14" s="160"/>
      <c r="Z14" s="160"/>
      <c r="AA14" s="160"/>
    </row>
    <row r="15" spans="1:27" s="89" customFormat="1" ht="12.75" customHeight="1" x14ac:dyDescent="0.2">
      <c r="A15" s="3003"/>
      <c r="B15" s="3003"/>
      <c r="C15" s="3003"/>
      <c r="D15" s="3003"/>
      <c r="E15" s="3003"/>
      <c r="F15" s="3003"/>
      <c r="G15" s="3003"/>
      <c r="H15" s="3003"/>
      <c r="I15" s="3003"/>
      <c r="J15" s="3003"/>
      <c r="K15" s="3003"/>
      <c r="L15" s="3003"/>
      <c r="M15" s="3003"/>
      <c r="N15" s="1736"/>
      <c r="O15" s="160"/>
      <c r="P15" s="160"/>
      <c r="Q15" s="160"/>
      <c r="R15" s="160"/>
      <c r="S15" s="160"/>
      <c r="T15" s="160"/>
      <c r="U15" s="160"/>
      <c r="V15" s="160"/>
      <c r="W15" s="160"/>
      <c r="X15" s="160"/>
      <c r="Y15" s="160"/>
      <c r="Z15" s="160"/>
      <c r="AA15" s="160"/>
    </row>
    <row r="16" spans="1:27" ht="15.75" customHeight="1" x14ac:dyDescent="0.2">
      <c r="B16" s="3002"/>
      <c r="C16" s="3002"/>
      <c r="D16" s="3002"/>
      <c r="E16" s="3002"/>
      <c r="F16" s="3002"/>
      <c r="G16" s="3002"/>
      <c r="H16" s="3002"/>
      <c r="I16" s="3002"/>
      <c r="J16" s="3002"/>
      <c r="K16" s="3002"/>
      <c r="L16" s="3002"/>
      <c r="M16" s="3002"/>
    </row>
    <row r="17" spans="2:13" ht="15.75" customHeight="1" x14ac:dyDescent="0.2">
      <c r="B17" s="3001"/>
      <c r="C17" s="3001"/>
      <c r="D17" s="3001"/>
      <c r="E17" s="3001"/>
      <c r="F17" s="3001"/>
      <c r="G17" s="3001"/>
      <c r="H17" s="3001"/>
      <c r="I17" s="3001"/>
      <c r="J17" s="3001"/>
      <c r="K17" s="3001"/>
      <c r="L17" s="3001"/>
      <c r="M17" s="3001"/>
    </row>
    <row r="18" spans="2:13" ht="15.75" customHeight="1" x14ac:dyDescent="0.2">
      <c r="B18" s="3001"/>
      <c r="C18" s="3001"/>
      <c r="D18" s="3001"/>
      <c r="E18" s="3001"/>
      <c r="F18" s="3001"/>
      <c r="G18" s="3001"/>
      <c r="H18" s="3001"/>
      <c r="I18" s="3001"/>
      <c r="J18" s="3001"/>
      <c r="K18" s="3001"/>
      <c r="L18" s="3001"/>
      <c r="M18" s="3001"/>
    </row>
    <row r="19" spans="2:13" ht="15.75" customHeight="1" x14ac:dyDescent="0.2">
      <c r="B19" s="3002"/>
      <c r="C19" s="3002"/>
      <c r="D19" s="3002"/>
      <c r="E19" s="3002"/>
      <c r="F19" s="3002"/>
      <c r="G19" s="3002"/>
      <c r="H19" s="3002"/>
      <c r="I19" s="3002"/>
      <c r="J19" s="3002"/>
      <c r="K19" s="3002"/>
      <c r="L19" s="3002"/>
      <c r="M19" s="3002"/>
    </row>
    <row r="20" spans="2:13" ht="15.75" customHeight="1" x14ac:dyDescent="0.2">
      <c r="B20" s="3001"/>
      <c r="C20" s="3001"/>
      <c r="D20" s="3001"/>
      <c r="E20" s="3001"/>
      <c r="F20" s="3001"/>
      <c r="G20" s="3001"/>
      <c r="H20" s="3001"/>
      <c r="I20" s="3001"/>
      <c r="J20" s="3001"/>
      <c r="K20" s="3001"/>
      <c r="L20" s="3001"/>
      <c r="M20" s="3001"/>
    </row>
    <row r="21" spans="2:13" ht="15.75" customHeight="1" x14ac:dyDescent="0.2">
      <c r="B21" s="3001"/>
      <c r="C21" s="3001"/>
      <c r="D21" s="3001"/>
      <c r="E21" s="3001"/>
      <c r="F21" s="3001"/>
      <c r="G21" s="3001"/>
      <c r="H21" s="3001"/>
      <c r="I21" s="3001"/>
      <c r="J21" s="3001"/>
      <c r="K21" s="3001"/>
      <c r="L21" s="3001"/>
      <c r="M21" s="3001"/>
    </row>
    <row r="22" spans="2:13" ht="15.75" customHeight="1" x14ac:dyDescent="0.2">
      <c r="B22" s="3002"/>
      <c r="C22" s="3002"/>
      <c r="D22" s="3002"/>
      <c r="E22" s="3002"/>
      <c r="F22" s="3002"/>
      <c r="G22" s="3002"/>
      <c r="H22" s="3002"/>
      <c r="I22" s="3002"/>
      <c r="J22" s="3002"/>
      <c r="K22" s="3002"/>
      <c r="L22" s="3002"/>
      <c r="M22" s="3002"/>
    </row>
    <row r="23" spans="2:13" ht="15.75" customHeight="1" x14ac:dyDescent="0.2">
      <c r="B23" s="3001"/>
      <c r="C23" s="3001"/>
      <c r="D23" s="3001"/>
      <c r="E23" s="3001"/>
      <c r="F23" s="3001"/>
      <c r="G23" s="3001"/>
      <c r="H23" s="3001"/>
      <c r="I23" s="3001"/>
      <c r="J23" s="3001"/>
      <c r="K23" s="3001"/>
      <c r="L23" s="3001"/>
      <c r="M23" s="3001"/>
    </row>
    <row r="24" spans="2:13" ht="15.75" customHeight="1" x14ac:dyDescent="0.2">
      <c r="B24" s="3001"/>
      <c r="C24" s="3001"/>
      <c r="D24" s="3001"/>
      <c r="E24" s="3001"/>
      <c r="F24" s="3001"/>
      <c r="G24" s="3001"/>
      <c r="H24" s="3001"/>
      <c r="I24" s="3001"/>
      <c r="J24" s="3001"/>
      <c r="K24" s="3001"/>
      <c r="L24" s="3001"/>
      <c r="M24" s="3001"/>
    </row>
    <row r="25" spans="2:13" ht="15.75" customHeight="1" x14ac:dyDescent="0.2">
      <c r="B25" s="3001"/>
      <c r="C25" s="3001"/>
      <c r="D25" s="3001"/>
      <c r="E25" s="3001"/>
      <c r="F25" s="3001"/>
      <c r="G25" s="3001"/>
      <c r="H25" s="3001"/>
      <c r="I25" s="3001"/>
      <c r="J25" s="3001"/>
      <c r="K25" s="3001"/>
      <c r="L25" s="3001"/>
      <c r="M25" s="3001"/>
    </row>
    <row r="26" spans="2:13" ht="15.75" customHeight="1" x14ac:dyDescent="0.2">
      <c r="B26" s="3001"/>
      <c r="C26" s="3001"/>
      <c r="D26" s="3001"/>
      <c r="E26" s="3001"/>
      <c r="F26" s="3001"/>
      <c r="G26" s="3001"/>
      <c r="H26" s="3001"/>
      <c r="I26" s="3001"/>
      <c r="J26" s="3001"/>
      <c r="K26" s="3001"/>
      <c r="L26" s="3001"/>
      <c r="M26" s="3001"/>
    </row>
    <row r="27" spans="2:13" ht="15.75" customHeight="1" x14ac:dyDescent="0.2">
      <c r="B27" s="3001"/>
      <c r="C27" s="3001"/>
      <c r="D27" s="3001"/>
      <c r="E27" s="3001"/>
      <c r="F27" s="3001"/>
      <c r="G27" s="3001"/>
      <c r="H27" s="3001"/>
      <c r="I27" s="3001"/>
      <c r="J27" s="3001"/>
      <c r="K27" s="3001"/>
      <c r="L27" s="3001"/>
      <c r="M27" s="3001"/>
    </row>
    <row r="28" spans="2:13" ht="15.75" customHeight="1" x14ac:dyDescent="0.2">
      <c r="B28" s="3001"/>
      <c r="C28" s="3001"/>
      <c r="D28" s="3001"/>
      <c r="E28" s="3001"/>
      <c r="F28" s="3001"/>
      <c r="G28" s="3001"/>
      <c r="H28" s="3001"/>
      <c r="I28" s="3001"/>
      <c r="J28" s="3001"/>
      <c r="K28" s="3001"/>
      <c r="L28" s="3001"/>
      <c r="M28" s="3001"/>
    </row>
    <row r="29" spans="2:13" ht="15.75" customHeight="1" x14ac:dyDescent="0.2">
      <c r="B29" s="3001"/>
      <c r="C29" s="3001"/>
      <c r="D29" s="3001"/>
      <c r="E29" s="3001"/>
      <c r="F29" s="3001"/>
      <c r="G29" s="3001"/>
      <c r="H29" s="3001"/>
      <c r="I29" s="3001"/>
      <c r="J29" s="3001"/>
      <c r="K29" s="3001"/>
      <c r="L29" s="3001"/>
      <c r="M29" s="3001"/>
    </row>
    <row r="30" spans="2:13" ht="15.75" customHeight="1" x14ac:dyDescent="0.2">
      <c r="B30" s="3001"/>
      <c r="C30" s="3001"/>
      <c r="D30" s="3001"/>
      <c r="E30" s="3001"/>
      <c r="F30" s="3001"/>
      <c r="G30" s="3001"/>
      <c r="H30" s="3001"/>
      <c r="I30" s="3001"/>
      <c r="J30" s="3001"/>
      <c r="K30" s="3001"/>
      <c r="L30" s="3001"/>
      <c r="M30" s="3001"/>
    </row>
    <row r="31" spans="2:13" ht="15.75" customHeight="1" x14ac:dyDescent="0.2">
      <c r="B31" s="3001"/>
      <c r="C31" s="3001"/>
      <c r="D31" s="3001"/>
      <c r="E31" s="3001"/>
      <c r="F31" s="3001"/>
      <c r="G31" s="3001"/>
      <c r="H31" s="3001"/>
      <c r="I31" s="3001"/>
      <c r="J31" s="3001"/>
      <c r="K31" s="3001"/>
      <c r="L31" s="3001"/>
      <c r="M31" s="3001"/>
    </row>
    <row r="32" spans="2:13" ht="15.75" customHeight="1" x14ac:dyDescent="0.2">
      <c r="B32" s="3001"/>
      <c r="C32" s="3001"/>
      <c r="D32" s="3001"/>
      <c r="E32" s="3001"/>
      <c r="F32" s="3001"/>
      <c r="G32" s="3001"/>
      <c r="H32" s="3001"/>
      <c r="I32" s="3001"/>
      <c r="J32" s="3001"/>
      <c r="K32" s="3001"/>
      <c r="L32" s="3001"/>
      <c r="M32" s="3001"/>
    </row>
    <row r="33" spans="2:13" ht="15.75" customHeight="1" x14ac:dyDescent="0.2">
      <c r="B33" s="3001"/>
      <c r="C33" s="3001"/>
      <c r="D33" s="3001"/>
      <c r="E33" s="3001"/>
      <c r="F33" s="3001"/>
      <c r="G33" s="3001"/>
      <c r="H33" s="3001"/>
      <c r="I33" s="3001"/>
      <c r="J33" s="3001"/>
      <c r="K33" s="3001"/>
      <c r="L33" s="3001"/>
      <c r="M33" s="3001"/>
    </row>
    <row r="34" spans="2:13" ht="15.75" customHeight="1" x14ac:dyDescent="0.2">
      <c r="B34" s="3001"/>
      <c r="C34" s="3001"/>
      <c r="D34" s="3001"/>
      <c r="E34" s="3001"/>
      <c r="F34" s="3001"/>
      <c r="G34" s="3001"/>
      <c r="H34" s="3001"/>
      <c r="I34" s="3001"/>
      <c r="J34" s="3001"/>
      <c r="K34" s="3001"/>
      <c r="L34" s="3001"/>
      <c r="M34" s="3001"/>
    </row>
    <row r="35" spans="2:13" ht="15.75" customHeight="1" x14ac:dyDescent="0.2">
      <c r="B35" s="3001"/>
      <c r="C35" s="3001"/>
      <c r="D35" s="3001"/>
      <c r="E35" s="3001"/>
      <c r="F35" s="3001"/>
      <c r="G35" s="3001"/>
      <c r="H35" s="3001"/>
      <c r="I35" s="3001"/>
      <c r="J35" s="3001"/>
      <c r="K35" s="3001"/>
      <c r="L35" s="3001"/>
      <c r="M35" s="3001"/>
    </row>
    <row r="36" spans="2:13" ht="15.75" customHeight="1" x14ac:dyDescent="0.2">
      <c r="B36" s="3001"/>
      <c r="C36" s="3001"/>
      <c r="D36" s="3001"/>
      <c r="E36" s="3001"/>
      <c r="F36" s="3001"/>
      <c r="G36" s="3001"/>
      <c r="H36" s="3001"/>
      <c r="I36" s="3001"/>
      <c r="J36" s="3001"/>
      <c r="K36" s="3001"/>
      <c r="L36" s="3001"/>
      <c r="M36" s="3001"/>
    </row>
    <row r="37" spans="2:13" ht="15.75" customHeight="1" x14ac:dyDescent="0.2">
      <c r="B37" s="3001"/>
      <c r="C37" s="3001"/>
      <c r="D37" s="3001"/>
      <c r="E37" s="3001"/>
      <c r="F37" s="3001"/>
      <c r="G37" s="3001"/>
      <c r="H37" s="3001"/>
      <c r="I37" s="3001"/>
      <c r="J37" s="3001"/>
      <c r="K37" s="3001"/>
      <c r="L37" s="3001"/>
      <c r="M37" s="3001"/>
    </row>
    <row r="38" spans="2:13" ht="15.75" customHeight="1" x14ac:dyDescent="0.2">
      <c r="B38" s="3001"/>
      <c r="C38" s="3001"/>
      <c r="D38" s="3001"/>
      <c r="E38" s="3001"/>
      <c r="F38" s="3001"/>
      <c r="G38" s="3001"/>
      <c r="H38" s="3001"/>
      <c r="I38" s="3001"/>
      <c r="J38" s="3001"/>
      <c r="K38" s="3001"/>
      <c r="L38" s="3001"/>
      <c r="M38" s="3001"/>
    </row>
    <row r="39" spans="2:13" ht="15.75" customHeight="1" x14ac:dyDescent="0.2">
      <c r="B39" s="3001"/>
      <c r="C39" s="3001"/>
      <c r="D39" s="3001"/>
      <c r="E39" s="3001"/>
      <c r="F39" s="3001"/>
      <c r="G39" s="3001"/>
      <c r="H39" s="3001"/>
      <c r="I39" s="3001"/>
      <c r="J39" s="3001"/>
      <c r="K39" s="3001"/>
      <c r="L39" s="3001"/>
      <c r="M39" s="3001"/>
    </row>
  </sheetData>
  <sheetProtection algorithmName="SHA-512" hashValue="IbOe2ZyHygdhobQ9vU5FJeUjdWk73g5QZpyOQ2vv4yC5BKrYiNtmU9H0sPGoafob2NkxVRZogz/2VHGUYpM9kw==" saltValue="kEph83FMjJa/252fcr0F2g==" spinCount="100000" sheet="1" objects="1" scenarios="1" autoFilter="0"/>
  <customSheetViews>
    <customSheetView guid="{9FCFC836-1CA5-48BF-958D-24D2EA94B219}" showGridLines="0" fitToPage="1">
      <selection activeCell="A12" sqref="A12:M12"/>
      <pageMargins left="0" right="0" top="0" bottom="0" header="0" footer="0"/>
      <pageSetup orientation="portrait" r:id="rId1"/>
      <headerFooter alignWithMargins="0">
        <oddFooter>&amp;R&amp;A</oddFooter>
      </headerFooter>
    </customSheetView>
    <customSheetView guid="{BEA4BE86-04D1-4C96-9358-7A260B9D2B2D}" showGridLines="0" fitToPage="1" showRuler="0">
      <selection sqref="A1:M1"/>
      <pageMargins left="0" right="0" top="0" bottom="0" header="0" footer="0"/>
      <pageSetup orientation="portrait" r:id="rId2"/>
      <headerFooter alignWithMargins="0">
        <oddFooter>&amp;R&amp;A</oddFooter>
      </headerFooter>
    </customSheetView>
    <customSheetView guid="{1250FD07-FF56-4A9D-AF9E-C27124A7EBE9}" showGridLines="0" fitToPage="1" showRuler="0">
      <selection sqref="A1:M1"/>
      <pageMargins left="0" right="0" top="0" bottom="0" header="0" footer="0"/>
      <pageSetup orientation="portrait" r:id="rId3"/>
      <headerFooter alignWithMargins="0">
        <oddFooter>&amp;R&amp;A</oddFooter>
      </headerFooter>
    </customSheetView>
    <customSheetView guid="{B08879A4-635B-4C39-9937-AC7883D562FC}" showGridLines="0" fitToPage="1">
      <selection activeCell="A12" sqref="A12:M12"/>
      <pageMargins left="0" right="0" top="0" bottom="0" header="0" footer="0"/>
      <pageSetup orientation="portrait" r:id="rId4"/>
      <headerFooter alignWithMargins="0">
        <oddFooter>&amp;R&amp;A</oddFooter>
      </headerFooter>
    </customSheetView>
  </customSheetViews>
  <mergeCells count="36">
    <mergeCell ref="N1:N3"/>
    <mergeCell ref="J5:M5"/>
    <mergeCell ref="J6:M6"/>
    <mergeCell ref="A11:N11"/>
    <mergeCell ref="A1:M1"/>
    <mergeCell ref="A2:M2"/>
    <mergeCell ref="A3:M3"/>
    <mergeCell ref="J7:M7"/>
    <mergeCell ref="B27:M27"/>
    <mergeCell ref="B22:M22"/>
    <mergeCell ref="B23:M23"/>
    <mergeCell ref="A12:M12"/>
    <mergeCell ref="A13:M13"/>
    <mergeCell ref="A14:M14"/>
    <mergeCell ref="A15:M15"/>
    <mergeCell ref="B16:M16"/>
    <mergeCell ref="B17:M17"/>
    <mergeCell ref="B18:M18"/>
    <mergeCell ref="B19:M19"/>
    <mergeCell ref="B20:M20"/>
    <mergeCell ref="B21:M21"/>
    <mergeCell ref="B24:M24"/>
    <mergeCell ref="B25:M25"/>
    <mergeCell ref="B26:M26"/>
    <mergeCell ref="B32:M32"/>
    <mergeCell ref="B28:M28"/>
    <mergeCell ref="B29:M29"/>
    <mergeCell ref="B30:M30"/>
    <mergeCell ref="B31:M31"/>
    <mergeCell ref="B38:M38"/>
    <mergeCell ref="B39:M39"/>
    <mergeCell ref="B33:M33"/>
    <mergeCell ref="B34:M34"/>
    <mergeCell ref="B35:M35"/>
    <mergeCell ref="B36:M36"/>
    <mergeCell ref="B37:M37"/>
  </mergeCells>
  <phoneticPr fontId="16" type="noConversion"/>
  <conditionalFormatting sqref="N1:N3">
    <cfRule type="cellIs" dxfId="1" priority="1" stopIfTrue="1" operator="equal">
      <formula>"na"</formula>
    </cfRule>
  </conditionalFormatting>
  <hyperlinks>
    <hyperlink ref="A1:M1" location="Index!A1" display="Index!A1" xr:uid="{00000000-0004-0000-5600-000000000000}"/>
  </hyperlinks>
  <pageMargins left="0.5" right="0.5" top="0.75" bottom="0.5" header="0.5" footer="0.25"/>
  <pageSetup orientation="portrait" r:id="rId5"/>
  <headerFooter alignWithMargins="0">
    <oddFooter>&amp;R&amp;A</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tabColor rgb="FFFFFF00"/>
  </sheetPr>
  <dimension ref="A1:D201"/>
  <sheetViews>
    <sheetView zoomScaleNormal="100" workbookViewId="0">
      <selection activeCell="C1" sqref="C1"/>
    </sheetView>
  </sheetViews>
  <sheetFormatPr defaultRowHeight="12.75" x14ac:dyDescent="0.2"/>
  <cols>
    <col min="1" max="1" width="42.5703125" bestFit="1" customWidth="1"/>
    <col min="3" max="3" width="47.42578125" bestFit="1" customWidth="1"/>
    <col min="4" max="4" width="14" bestFit="1" customWidth="1"/>
  </cols>
  <sheetData>
    <row r="1" spans="1:4" ht="15.75" x14ac:dyDescent="0.25">
      <c r="B1" s="606"/>
      <c r="C1" s="725" t="s">
        <v>0</v>
      </c>
      <c r="D1" s="605"/>
    </row>
    <row r="2" spans="1:4" ht="31.5" x14ac:dyDescent="0.25">
      <c r="B2" s="607" t="s">
        <v>4960</v>
      </c>
      <c r="C2" s="608" t="s">
        <v>4961</v>
      </c>
      <c r="D2" s="609" t="s">
        <v>4962</v>
      </c>
    </row>
    <row r="3" spans="1:4" ht="15.75" x14ac:dyDescent="0.25">
      <c r="A3" t="str">
        <f>CONCATENATE(B3," ",C3)</f>
        <v>01 North Carolina General Assembly</v>
      </c>
      <c r="B3" s="1329" t="s">
        <v>4963</v>
      </c>
      <c r="C3" s="474" t="s">
        <v>4964</v>
      </c>
      <c r="D3" s="474" t="s">
        <v>4965</v>
      </c>
    </row>
    <row r="4" spans="1:4" ht="15.75" x14ac:dyDescent="0.25">
      <c r="A4" t="str">
        <f t="shared" ref="A4:A66" si="0">CONCATENATE(B4," ",C4)</f>
        <v>02 Administrative Office of the Courts</v>
      </c>
      <c r="B4" s="1329" t="s">
        <v>4966</v>
      </c>
      <c r="C4" s="474" t="s">
        <v>447</v>
      </c>
      <c r="D4" s="474" t="s">
        <v>4965</v>
      </c>
    </row>
    <row r="5" spans="1:4" ht="15.75" x14ac:dyDescent="0.25">
      <c r="A5" t="str">
        <f t="shared" si="0"/>
        <v>03 Office of the Governor</v>
      </c>
      <c r="B5" s="1329" t="s">
        <v>4967</v>
      </c>
      <c r="C5" s="474" t="s">
        <v>4968</v>
      </c>
      <c r="D5" s="474" t="s">
        <v>4965</v>
      </c>
    </row>
    <row r="6" spans="1:4" ht="15.75" x14ac:dyDescent="0.25">
      <c r="A6" t="str">
        <f t="shared" si="0"/>
        <v>04 Office of Lieutenant Governor</v>
      </c>
      <c r="B6" s="1329" t="s">
        <v>4969</v>
      </c>
      <c r="C6" s="474" t="s">
        <v>4970</v>
      </c>
      <c r="D6" s="474" t="s">
        <v>4965</v>
      </c>
    </row>
    <row r="7" spans="1:4" ht="15.75" x14ac:dyDescent="0.25">
      <c r="A7" t="str">
        <f t="shared" si="0"/>
        <v>05 Office of the Secretary of State</v>
      </c>
      <c r="B7" s="1329" t="s">
        <v>4971</v>
      </c>
      <c r="C7" s="474" t="s">
        <v>4972</v>
      </c>
      <c r="D7" s="474" t="s">
        <v>4965</v>
      </c>
    </row>
    <row r="8" spans="1:4" ht="15.75" x14ac:dyDescent="0.25">
      <c r="A8" t="str">
        <f t="shared" si="0"/>
        <v>06 Office of the State Auditor</v>
      </c>
      <c r="B8" s="1329" t="s">
        <v>4973</v>
      </c>
      <c r="C8" s="474" t="s">
        <v>4974</v>
      </c>
      <c r="D8" s="474" t="s">
        <v>4965</v>
      </c>
    </row>
    <row r="9" spans="1:4" ht="15.75" x14ac:dyDescent="0.25">
      <c r="A9" t="str">
        <f t="shared" si="0"/>
        <v xml:space="preserve">07 Department of the State Treasurer </v>
      </c>
      <c r="B9" s="1329" t="s">
        <v>4975</v>
      </c>
      <c r="C9" s="474" t="s">
        <v>4976</v>
      </c>
      <c r="D9" s="474" t="s">
        <v>4965</v>
      </c>
    </row>
    <row r="10" spans="1:4" ht="15.75" x14ac:dyDescent="0.25">
      <c r="A10" t="str">
        <f>CONCATENATE(B10," ",C10)</f>
        <v>07 Dept. State Treasurer - State Health Plan</v>
      </c>
      <c r="B10" s="1329" t="s">
        <v>4975</v>
      </c>
      <c r="C10" s="474" t="s">
        <v>4977</v>
      </c>
      <c r="D10" s="474" t="s">
        <v>4978</v>
      </c>
    </row>
    <row r="11" spans="1:4" ht="15.75" x14ac:dyDescent="0.25">
      <c r="A11" t="str">
        <f t="shared" si="0"/>
        <v xml:space="preserve">08 Department of Public Instruction </v>
      </c>
      <c r="B11" s="1329" t="s">
        <v>4979</v>
      </c>
      <c r="C11" s="474" t="s">
        <v>4980</v>
      </c>
      <c r="D11" s="474" t="s">
        <v>4965</v>
      </c>
    </row>
    <row r="12" spans="1:4" ht="15.75" x14ac:dyDescent="0.25">
      <c r="A12" t="str">
        <f t="shared" si="0"/>
        <v xml:space="preserve">09 Department of Justice </v>
      </c>
      <c r="B12" s="1329" t="s">
        <v>4981</v>
      </c>
      <c r="C12" s="474" t="s">
        <v>4982</v>
      </c>
      <c r="D12" s="474" t="s">
        <v>4965</v>
      </c>
    </row>
    <row r="13" spans="1:4" ht="15.75" x14ac:dyDescent="0.25">
      <c r="A13" t="str">
        <f t="shared" si="0"/>
        <v>10 Department of Agriculture</v>
      </c>
      <c r="B13" s="1329" t="s">
        <v>4983</v>
      </c>
      <c r="C13" s="474" t="s">
        <v>4984</v>
      </c>
      <c r="D13" s="474" t="s">
        <v>4965</v>
      </c>
    </row>
    <row r="14" spans="1:4" ht="15.75" x14ac:dyDescent="0.25">
      <c r="A14" t="str">
        <f t="shared" si="0"/>
        <v>11 Department of Labor</v>
      </c>
      <c r="B14" s="1329" t="s">
        <v>4985</v>
      </c>
      <c r="C14" s="474" t="s">
        <v>4986</v>
      </c>
      <c r="D14" s="474" t="s">
        <v>4965</v>
      </c>
    </row>
    <row r="15" spans="1:4" ht="15.75" x14ac:dyDescent="0.25">
      <c r="A15" t="str">
        <f t="shared" si="0"/>
        <v xml:space="preserve">12 Department of Insurance </v>
      </c>
      <c r="B15" s="1329" t="s">
        <v>4987</v>
      </c>
      <c r="C15" s="474" t="s">
        <v>4988</v>
      </c>
      <c r="D15" s="474" t="s">
        <v>4965</v>
      </c>
    </row>
    <row r="16" spans="1:4" ht="15.75" x14ac:dyDescent="0.25">
      <c r="A16" t="str">
        <f t="shared" si="0"/>
        <v xml:space="preserve">13 Department of Administration </v>
      </c>
      <c r="B16" s="1329" t="s">
        <v>4989</v>
      </c>
      <c r="C16" s="474" t="s">
        <v>4990</v>
      </c>
      <c r="D16" s="474" t="s">
        <v>4965</v>
      </c>
    </row>
    <row r="17" spans="1:4" ht="15.75" x14ac:dyDescent="0.25">
      <c r="A17" t="str">
        <f t="shared" si="0"/>
        <v xml:space="preserve">14 Office of the State Controller </v>
      </c>
      <c r="B17" s="1329" t="s">
        <v>4991</v>
      </c>
      <c r="C17" s="474" t="s">
        <v>4992</v>
      </c>
      <c r="D17" s="474" t="s">
        <v>4965</v>
      </c>
    </row>
    <row r="18" spans="1:4" ht="15.75" x14ac:dyDescent="0.25">
      <c r="A18" t="str">
        <f t="shared" si="0"/>
        <v>15 Department of Transportation</v>
      </c>
      <c r="B18" s="1329" t="s">
        <v>4993</v>
      </c>
      <c r="C18" s="474" t="s">
        <v>828</v>
      </c>
      <c r="D18" s="474" t="s">
        <v>4965</v>
      </c>
    </row>
    <row r="19" spans="1:4" ht="15.75" x14ac:dyDescent="0.25">
      <c r="A19" t="str">
        <f t="shared" si="0"/>
        <v>16 Department of Environmental Quality</v>
      </c>
      <c r="B19" s="1329" t="s">
        <v>4994</v>
      </c>
      <c r="C19" s="474" t="s">
        <v>407</v>
      </c>
      <c r="D19" s="474" t="s">
        <v>4965</v>
      </c>
    </row>
    <row r="20" spans="1:4" ht="15.75" x14ac:dyDescent="0.25">
      <c r="A20" t="str">
        <f t="shared" si="0"/>
        <v>17 Wildlife Resources Commission</v>
      </c>
      <c r="B20" s="1329" t="s">
        <v>4995</v>
      </c>
      <c r="C20" s="474" t="s">
        <v>421</v>
      </c>
      <c r="D20" s="474" t="s">
        <v>4965</v>
      </c>
    </row>
    <row r="21" spans="1:4" ht="15.75" x14ac:dyDescent="0.25">
      <c r="A21" t="str">
        <f t="shared" si="0"/>
        <v>19 Dept. of Public Safety</v>
      </c>
      <c r="B21" s="1329" t="s">
        <v>4996</v>
      </c>
      <c r="C21" s="474" t="s">
        <v>4997</v>
      </c>
      <c r="D21" s="474" t="s">
        <v>4965</v>
      </c>
    </row>
    <row r="22" spans="1:4" ht="15.75" x14ac:dyDescent="0.25">
      <c r="A22" t="str">
        <f t="shared" si="0"/>
        <v>2X Dept. of Health and Human Services</v>
      </c>
      <c r="B22" s="1329" t="s">
        <v>4998</v>
      </c>
      <c r="C22" s="474" t="s">
        <v>4999</v>
      </c>
      <c r="D22" s="474" t="s">
        <v>4965</v>
      </c>
    </row>
    <row r="23" spans="1:4" ht="15.75" x14ac:dyDescent="0.25">
      <c r="A23" t="str">
        <f t="shared" si="0"/>
        <v>3X DHHS - Mental Health</v>
      </c>
      <c r="B23" s="1329" t="s">
        <v>5000</v>
      </c>
      <c r="C23" s="474" t="s">
        <v>5001</v>
      </c>
      <c r="D23" s="474" t="s">
        <v>4965</v>
      </c>
    </row>
    <row r="24" spans="1:4" ht="15.75" x14ac:dyDescent="0.25">
      <c r="A24" t="str">
        <f t="shared" si="0"/>
        <v>40 Department of Military &amp; Veterans Affairs</v>
      </c>
      <c r="B24" s="1329" t="s">
        <v>5002</v>
      </c>
      <c r="C24" s="474" t="s">
        <v>5003</v>
      </c>
      <c r="D24" s="474" t="s">
        <v>4965</v>
      </c>
    </row>
    <row r="25" spans="1:4" ht="15.75" x14ac:dyDescent="0.25">
      <c r="A25" t="str">
        <f t="shared" si="0"/>
        <v>41 Department of Information Technology</v>
      </c>
      <c r="B25" s="1329" t="s">
        <v>5004</v>
      </c>
      <c r="C25" s="474" t="s">
        <v>5005</v>
      </c>
      <c r="D25" s="474" t="s">
        <v>4965</v>
      </c>
    </row>
    <row r="26" spans="1:4" ht="15.75" x14ac:dyDescent="0.25">
      <c r="A26" t="str">
        <f t="shared" si="0"/>
        <v>43 Department of Commerce</v>
      </c>
      <c r="B26" s="1329" t="s">
        <v>5006</v>
      </c>
      <c r="C26" s="474" t="s">
        <v>5007</v>
      </c>
      <c r="D26" s="474" t="s">
        <v>4965</v>
      </c>
    </row>
    <row r="27" spans="1:4" ht="15.75" x14ac:dyDescent="0.25">
      <c r="A27" t="str">
        <f t="shared" si="0"/>
        <v>45 Department of Revenue</v>
      </c>
      <c r="B27" s="1329" t="s">
        <v>5008</v>
      </c>
      <c r="C27" s="474" t="s">
        <v>396</v>
      </c>
      <c r="D27" s="474" t="s">
        <v>4965</v>
      </c>
    </row>
    <row r="28" spans="1:4" ht="15.75" x14ac:dyDescent="0.25">
      <c r="A28" t="str">
        <f t="shared" si="0"/>
        <v>46 Department of Natural and Cultural Resources</v>
      </c>
      <c r="B28" s="1329" t="s">
        <v>5009</v>
      </c>
      <c r="C28" s="474" t="s">
        <v>411</v>
      </c>
      <c r="D28" s="474" t="s">
        <v>4965</v>
      </c>
    </row>
    <row r="29" spans="1:4" ht="15.75" x14ac:dyDescent="0.25">
      <c r="A29" t="str">
        <f t="shared" si="0"/>
        <v>48X UNC Hlth Care Rep Unit (Combined Pkg)</v>
      </c>
      <c r="B29" s="1329" t="s">
        <v>4588</v>
      </c>
      <c r="C29" s="554" t="s">
        <v>5010</v>
      </c>
      <c r="D29" s="474" t="s">
        <v>5011</v>
      </c>
    </row>
    <row r="30" spans="1:4" ht="15.75" x14ac:dyDescent="0.25">
      <c r="A30" t="str">
        <f t="shared" si="0"/>
        <v>48 UNC Hospitals</v>
      </c>
      <c r="B30" s="1329" t="s">
        <v>4590</v>
      </c>
      <c r="C30" s="474" t="s">
        <v>4615</v>
      </c>
      <c r="D30" s="474" t="s">
        <v>5011</v>
      </c>
    </row>
    <row r="31" spans="1:4" ht="15.75" x14ac:dyDescent="0.25">
      <c r="A31" t="str">
        <f t="shared" si="0"/>
        <v>48E UNC Hospitals - Enterprise Fund</v>
      </c>
      <c r="B31" s="1329" t="s">
        <v>4591</v>
      </c>
      <c r="C31" s="474" t="s">
        <v>5012</v>
      </c>
      <c r="D31" s="474" t="s">
        <v>5011</v>
      </c>
    </row>
    <row r="32" spans="1:4" ht="15.75" x14ac:dyDescent="0.25">
      <c r="A32" t="str">
        <f t="shared" si="0"/>
        <v>48L UNC Hospitals - LITF</v>
      </c>
      <c r="B32" s="1329" t="s">
        <v>4592</v>
      </c>
      <c r="C32" s="474" t="s">
        <v>5013</v>
      </c>
      <c r="D32" s="474" t="s">
        <v>5011</v>
      </c>
    </row>
    <row r="33" spans="1:4" ht="15.75" x14ac:dyDescent="0.25">
      <c r="A33" t="str">
        <f t="shared" si="0"/>
        <v>48R Rex Healthcare</v>
      </c>
      <c r="B33" s="1329" t="s">
        <v>4593</v>
      </c>
      <c r="C33" s="474" t="s">
        <v>5014</v>
      </c>
      <c r="D33" s="474" t="s">
        <v>5011</v>
      </c>
    </row>
    <row r="34" spans="1:4" ht="15.75" x14ac:dyDescent="0.25">
      <c r="A34" t="str">
        <f t="shared" si="0"/>
        <v>48C Chatham Hospital</v>
      </c>
      <c r="B34" s="1329" t="s">
        <v>4594</v>
      </c>
      <c r="C34" s="474" t="s">
        <v>5015</v>
      </c>
      <c r="D34" s="474" t="s">
        <v>5011</v>
      </c>
    </row>
    <row r="35" spans="1:4" ht="15.75" x14ac:dyDescent="0.25">
      <c r="A35" t="str">
        <f t="shared" si="0"/>
        <v>48T UNC Physicians Network</v>
      </c>
      <c r="B35" s="1329" t="s">
        <v>4595</v>
      </c>
      <c r="C35" s="474" t="s">
        <v>5016</v>
      </c>
      <c r="D35" s="474" t="s">
        <v>5011</v>
      </c>
    </row>
    <row r="36" spans="1:4" ht="15.75" x14ac:dyDescent="0.25">
      <c r="A36" t="str">
        <f t="shared" si="0"/>
        <v>48RH UNC Rockingham Health Care</v>
      </c>
      <c r="B36" s="1329" t="s">
        <v>4596</v>
      </c>
      <c r="C36" s="474" t="s">
        <v>5017</v>
      </c>
      <c r="D36" s="474" t="s">
        <v>5011</v>
      </c>
    </row>
    <row r="37" spans="1:4" ht="15.75" x14ac:dyDescent="0.25">
      <c r="A37" t="str">
        <f t="shared" si="0"/>
        <v>48CW Caldwell Memorial Hospital</v>
      </c>
      <c r="B37" s="1329" t="s">
        <v>4597</v>
      </c>
      <c r="C37" s="474" t="s">
        <v>5018</v>
      </c>
      <c r="D37" s="474" t="s">
        <v>5011</v>
      </c>
    </row>
    <row r="38" spans="1:4" ht="15.75" x14ac:dyDescent="0.25">
      <c r="A38" t="str">
        <f t="shared" si="0"/>
        <v>50 Community College System Office</v>
      </c>
      <c r="B38" s="1329" t="s">
        <v>5019</v>
      </c>
      <c r="C38" s="474" t="s">
        <v>436</v>
      </c>
      <c r="D38" s="474" t="s">
        <v>4965</v>
      </c>
    </row>
    <row r="39" spans="1:4" ht="15.75" x14ac:dyDescent="0.25">
      <c r="A39" t="s">
        <v>5020</v>
      </c>
      <c r="B39" s="1329" t="s">
        <v>5021</v>
      </c>
      <c r="C39" s="474" t="s">
        <v>5022</v>
      </c>
      <c r="D39" s="474" t="s">
        <v>4965</v>
      </c>
    </row>
    <row r="40" spans="1:4" ht="15.75" x14ac:dyDescent="0.25">
      <c r="A40" t="str">
        <f t="shared" si="0"/>
        <v>60 State Board of Elections</v>
      </c>
      <c r="B40" s="1329" t="s">
        <v>5023</v>
      </c>
      <c r="C40" s="474" t="s">
        <v>5024</v>
      </c>
      <c r="D40" s="474" t="s">
        <v>4965</v>
      </c>
    </row>
    <row r="41" spans="1:4" ht="15.75" x14ac:dyDescent="0.25">
      <c r="A41" t="str">
        <f t="shared" si="0"/>
        <v>61 NC Education Lottery</v>
      </c>
      <c r="B41" s="1329" t="s">
        <v>5025</v>
      </c>
      <c r="C41" s="474" t="s">
        <v>5026</v>
      </c>
      <c r="D41" s="474" t="s">
        <v>4965</v>
      </c>
    </row>
    <row r="42" spans="1:4" ht="15.75" x14ac:dyDescent="0.25">
      <c r="A42" t="str">
        <f t="shared" si="0"/>
        <v>67 Office of Administrative Hearings</v>
      </c>
      <c r="B42" s="1329" t="s">
        <v>5027</v>
      </c>
      <c r="C42" s="474" t="s">
        <v>5028</v>
      </c>
      <c r="D42" s="474" t="s">
        <v>4965</v>
      </c>
    </row>
    <row r="43" spans="1:4" ht="15.75" x14ac:dyDescent="0.25">
      <c r="A43" t="str">
        <f t="shared" si="0"/>
        <v>69 USS North Carolina Battleship Comm.</v>
      </c>
      <c r="B43" s="1329" t="s">
        <v>5029</v>
      </c>
      <c r="C43" s="474" t="s">
        <v>5030</v>
      </c>
      <c r="D43" s="474" t="s">
        <v>4965</v>
      </c>
    </row>
    <row r="44" spans="1:4" ht="15.75" x14ac:dyDescent="0.25">
      <c r="A44" t="str">
        <f t="shared" si="0"/>
        <v>6BC Deferred Comp &amp; NC 401(k)-Combined Pkg</v>
      </c>
      <c r="B44" s="1329" t="s">
        <v>4714</v>
      </c>
      <c r="C44" s="554" t="s">
        <v>5031</v>
      </c>
      <c r="D44" s="474" t="s">
        <v>4965</v>
      </c>
    </row>
    <row r="45" spans="1:4" ht="15.75" x14ac:dyDescent="0.25">
      <c r="A45" t="str">
        <f t="shared" si="0"/>
        <v>87 NC School of Science &amp; Mathematics</v>
      </c>
      <c r="B45" s="1329" t="s">
        <v>5032</v>
      </c>
      <c r="C45" s="474" t="s">
        <v>5033</v>
      </c>
      <c r="D45" s="474" t="s">
        <v>5011</v>
      </c>
    </row>
    <row r="46" spans="1:4" ht="15.75" x14ac:dyDescent="0.25">
      <c r="A46" t="str">
        <f t="shared" si="0"/>
        <v>90 General Fund - OSC</v>
      </c>
      <c r="B46" s="1329" t="s">
        <v>5034</v>
      </c>
      <c r="C46" s="474" t="s">
        <v>5035</v>
      </c>
      <c r="D46" s="474" t="s">
        <v>4965</v>
      </c>
    </row>
    <row r="47" spans="1:4" ht="15.75" x14ac:dyDescent="0.25">
      <c r="A47" t="str">
        <f t="shared" si="0"/>
        <v>99 General Fund - DOR</v>
      </c>
      <c r="B47" s="1329" t="s">
        <v>5036</v>
      </c>
      <c r="C47" s="474" t="s">
        <v>5037</v>
      </c>
      <c r="D47" s="474" t="s">
        <v>4965</v>
      </c>
    </row>
    <row r="48" spans="1:4" ht="15.75" x14ac:dyDescent="0.25">
      <c r="A48" t="str">
        <f t="shared" si="0"/>
        <v>RX OSC-Central Accounts</v>
      </c>
      <c r="B48" s="1329" t="s">
        <v>5038</v>
      </c>
      <c r="C48" s="474" t="s">
        <v>5039</v>
      </c>
      <c r="D48" s="474" t="s">
        <v>4965</v>
      </c>
    </row>
    <row r="49" spans="1:4" ht="15.75" x14ac:dyDescent="0.25">
      <c r="A49" t="str">
        <f t="shared" si="0"/>
        <v>U10 UNC-System Office</v>
      </c>
      <c r="B49" s="1329" t="s">
        <v>5040</v>
      </c>
      <c r="C49" s="474" t="s">
        <v>5041</v>
      </c>
      <c r="D49" s="474" t="s">
        <v>5011</v>
      </c>
    </row>
    <row r="50" spans="1:4" ht="15.75" x14ac:dyDescent="0.25">
      <c r="A50" t="str">
        <f t="shared" si="0"/>
        <v>U20 UNC at Chapel Hill</v>
      </c>
      <c r="B50" s="1329" t="s">
        <v>5042</v>
      </c>
      <c r="C50" s="474" t="s">
        <v>5043</v>
      </c>
      <c r="D50" s="474" t="s">
        <v>5011</v>
      </c>
    </row>
    <row r="51" spans="1:4" ht="15.75" x14ac:dyDescent="0.25">
      <c r="A51" t="str">
        <f t="shared" si="0"/>
        <v>U30 North Carolina State University</v>
      </c>
      <c r="B51" s="1329" t="s">
        <v>5044</v>
      </c>
      <c r="C51" s="474" t="s">
        <v>5045</v>
      </c>
      <c r="D51" s="474" t="s">
        <v>5011</v>
      </c>
    </row>
    <row r="52" spans="1:4" ht="15.75" x14ac:dyDescent="0.25">
      <c r="A52" t="str">
        <f t="shared" si="0"/>
        <v>U40 UNC at Greensboro</v>
      </c>
      <c r="B52" s="1329" t="s">
        <v>5046</v>
      </c>
      <c r="C52" s="474" t="s">
        <v>5047</v>
      </c>
      <c r="D52" s="474" t="s">
        <v>5011</v>
      </c>
    </row>
    <row r="53" spans="1:4" ht="15.75" x14ac:dyDescent="0.25">
      <c r="A53" t="str">
        <f t="shared" si="0"/>
        <v>U50 UNC at Charlotte</v>
      </c>
      <c r="B53" s="1329" t="s">
        <v>5048</v>
      </c>
      <c r="C53" s="474" t="s">
        <v>5049</v>
      </c>
      <c r="D53" s="474" t="s">
        <v>5011</v>
      </c>
    </row>
    <row r="54" spans="1:4" ht="15.75" x14ac:dyDescent="0.25">
      <c r="A54" t="str">
        <f t="shared" si="0"/>
        <v>U55 UNC at Asheville</v>
      </c>
      <c r="B54" s="1329" t="s">
        <v>5050</v>
      </c>
      <c r="C54" s="474" t="s">
        <v>5051</v>
      </c>
      <c r="D54" s="474" t="s">
        <v>5011</v>
      </c>
    </row>
    <row r="55" spans="1:4" ht="15.75" x14ac:dyDescent="0.25">
      <c r="A55" t="str">
        <f t="shared" si="0"/>
        <v>U60 UNC at Wilmington</v>
      </c>
      <c r="B55" s="1329" t="s">
        <v>5052</v>
      </c>
      <c r="C55" s="474" t="s">
        <v>5053</v>
      </c>
      <c r="D55" s="474" t="s">
        <v>5011</v>
      </c>
    </row>
    <row r="56" spans="1:4" ht="15.75" x14ac:dyDescent="0.25">
      <c r="A56" t="str">
        <f t="shared" si="0"/>
        <v>U65 East Carolina University</v>
      </c>
      <c r="B56" s="1329" t="s">
        <v>5054</v>
      </c>
      <c r="C56" s="474" t="s">
        <v>5055</v>
      </c>
      <c r="D56" s="474" t="s">
        <v>5011</v>
      </c>
    </row>
    <row r="57" spans="1:4" ht="15.75" x14ac:dyDescent="0.25">
      <c r="A57" t="str">
        <f t="shared" si="0"/>
        <v>U70 North Carolina A&amp;T University</v>
      </c>
      <c r="B57" s="1329" t="s">
        <v>5056</v>
      </c>
      <c r="C57" s="474" t="s">
        <v>5057</v>
      </c>
      <c r="D57" s="474" t="s">
        <v>5011</v>
      </c>
    </row>
    <row r="58" spans="1:4" ht="15.75" x14ac:dyDescent="0.25">
      <c r="A58" t="str">
        <f t="shared" si="0"/>
        <v>U75 Western Carolina University</v>
      </c>
      <c r="B58" s="1329" t="s">
        <v>5058</v>
      </c>
      <c r="C58" s="474" t="s">
        <v>5059</v>
      </c>
      <c r="D58" s="474" t="s">
        <v>5011</v>
      </c>
    </row>
    <row r="59" spans="1:4" ht="15.75" x14ac:dyDescent="0.25">
      <c r="A59" t="str">
        <f t="shared" si="0"/>
        <v>U80 Appalachian State University</v>
      </c>
      <c r="B59" s="1329" t="s">
        <v>5060</v>
      </c>
      <c r="C59" s="474" t="s">
        <v>5061</v>
      </c>
      <c r="D59" s="474" t="s">
        <v>5011</v>
      </c>
    </row>
    <row r="60" spans="1:4" ht="15.75" x14ac:dyDescent="0.25">
      <c r="A60" t="str">
        <f t="shared" si="0"/>
        <v>U82 UNC at Pembroke</v>
      </c>
      <c r="B60" s="1329" t="s">
        <v>5062</v>
      </c>
      <c r="C60" s="474" t="s">
        <v>5063</v>
      </c>
      <c r="D60" s="474" t="s">
        <v>5011</v>
      </c>
    </row>
    <row r="61" spans="1:4" ht="15.75" x14ac:dyDescent="0.25">
      <c r="A61" t="str">
        <f t="shared" si="0"/>
        <v>U84 Winston-Salem State University</v>
      </c>
      <c r="B61" s="1329" t="s">
        <v>5064</v>
      </c>
      <c r="C61" s="474" t="s">
        <v>5065</v>
      </c>
      <c r="D61" s="474" t="s">
        <v>5011</v>
      </c>
    </row>
    <row r="62" spans="1:4" ht="15.75" x14ac:dyDescent="0.25">
      <c r="A62" t="str">
        <f t="shared" si="0"/>
        <v>U86 Elizabeth City State University</v>
      </c>
      <c r="B62" s="1329" t="s">
        <v>5066</v>
      </c>
      <c r="C62" s="474" t="s">
        <v>5067</v>
      </c>
      <c r="D62" s="474" t="s">
        <v>5011</v>
      </c>
    </row>
    <row r="63" spans="1:4" ht="15.75" x14ac:dyDescent="0.25">
      <c r="A63" t="str">
        <f t="shared" si="0"/>
        <v>U88 Fayetteville State University</v>
      </c>
      <c r="B63" s="1329" t="s">
        <v>5068</v>
      </c>
      <c r="C63" s="474" t="s">
        <v>5069</v>
      </c>
      <c r="D63" s="474" t="s">
        <v>5011</v>
      </c>
    </row>
    <row r="64" spans="1:4" ht="15.75" x14ac:dyDescent="0.25">
      <c r="A64" t="str">
        <f t="shared" si="0"/>
        <v>U90 North Carolina Central University</v>
      </c>
      <c r="B64" s="1329" t="s">
        <v>5070</v>
      </c>
      <c r="C64" s="474" t="s">
        <v>5071</v>
      </c>
      <c r="D64" s="474" t="s">
        <v>5011</v>
      </c>
    </row>
    <row r="65" spans="1:4" ht="15.75" x14ac:dyDescent="0.25">
      <c r="A65" t="str">
        <f t="shared" si="0"/>
        <v>U92 UNC School of the Arts</v>
      </c>
      <c r="B65" s="1329" t="s">
        <v>5072</v>
      </c>
      <c r="C65" s="474" t="s">
        <v>5073</v>
      </c>
      <c r="D65" s="474" t="s">
        <v>5011</v>
      </c>
    </row>
    <row r="66" spans="1:4" ht="15.75" x14ac:dyDescent="0.25">
      <c r="A66" t="str">
        <f t="shared" si="0"/>
        <v>ZL Gateway Research Park, Inc.</v>
      </c>
      <c r="B66" s="1329" t="s">
        <v>5074</v>
      </c>
      <c r="C66" s="474" t="s">
        <v>5075</v>
      </c>
      <c r="D66" s="474" t="s">
        <v>5011</v>
      </c>
    </row>
    <row r="69" spans="1:4" x14ac:dyDescent="0.2">
      <c r="A69" s="3006" t="s">
        <v>5076</v>
      </c>
      <c r="B69" s="3006"/>
      <c r="C69" s="3006"/>
      <c r="D69" s="3006"/>
    </row>
    <row r="71" spans="1:4" ht="15.75" x14ac:dyDescent="0.25">
      <c r="A71" s="1127" t="s">
        <v>5077</v>
      </c>
      <c r="B71" s="1113" t="s">
        <v>4963</v>
      </c>
      <c r="C71" s="1114" t="s">
        <v>4964</v>
      </c>
      <c r="D71" s="1114" t="s">
        <v>4965</v>
      </c>
    </row>
    <row r="72" spans="1:4" ht="15.75" x14ac:dyDescent="0.25">
      <c r="A72" s="1127" t="s">
        <v>5078</v>
      </c>
      <c r="B72" s="1113" t="s">
        <v>4966</v>
      </c>
      <c r="C72" s="1114" t="s">
        <v>447</v>
      </c>
      <c r="D72" s="1114" t="s">
        <v>4965</v>
      </c>
    </row>
    <row r="73" spans="1:4" ht="15.75" x14ac:dyDescent="0.25">
      <c r="A73" s="1115"/>
      <c r="B73" s="1113" t="s">
        <v>4967</v>
      </c>
      <c r="C73" s="1114" t="s">
        <v>4968</v>
      </c>
      <c r="D73" s="1114" t="s">
        <v>4965</v>
      </c>
    </row>
    <row r="74" spans="1:4" ht="15.75" x14ac:dyDescent="0.25">
      <c r="A74" s="1115"/>
      <c r="B74" s="1113" t="s">
        <v>4969</v>
      </c>
      <c r="C74" s="1114" t="s">
        <v>4970</v>
      </c>
      <c r="D74" s="1114" t="s">
        <v>4965</v>
      </c>
    </row>
    <row r="75" spans="1:4" ht="15.75" x14ac:dyDescent="0.25">
      <c r="A75" s="1115"/>
      <c r="B75" s="1113" t="s">
        <v>4971</v>
      </c>
      <c r="C75" s="1114" t="s">
        <v>4972</v>
      </c>
      <c r="D75" s="1114" t="s">
        <v>4965</v>
      </c>
    </row>
    <row r="76" spans="1:4" ht="15.75" x14ac:dyDescent="0.25">
      <c r="A76" s="1115"/>
      <c r="B76" s="1113" t="s">
        <v>4973</v>
      </c>
      <c r="C76" s="1114" t="s">
        <v>4974</v>
      </c>
      <c r="D76" s="1114" t="s">
        <v>4965</v>
      </c>
    </row>
    <row r="77" spans="1:4" ht="15.75" x14ac:dyDescent="0.25">
      <c r="A77" s="1115"/>
      <c r="B77" s="1113" t="s">
        <v>4975</v>
      </c>
      <c r="C77" s="1114" t="s">
        <v>4976</v>
      </c>
      <c r="D77" s="1114" t="s">
        <v>4965</v>
      </c>
    </row>
    <row r="78" spans="1:4" ht="15.75" x14ac:dyDescent="0.25">
      <c r="A78" s="1115"/>
      <c r="B78" s="1113" t="s">
        <v>4979</v>
      </c>
      <c r="C78" s="1114" t="s">
        <v>4980</v>
      </c>
      <c r="D78" s="1114" t="s">
        <v>4965</v>
      </c>
    </row>
    <row r="79" spans="1:4" ht="15.75" x14ac:dyDescent="0.25">
      <c r="A79" s="1115"/>
      <c r="B79" s="1113" t="s">
        <v>4981</v>
      </c>
      <c r="C79" s="1114" t="s">
        <v>4982</v>
      </c>
      <c r="D79" s="1114" t="s">
        <v>4965</v>
      </c>
    </row>
    <row r="80" spans="1:4" ht="15.75" x14ac:dyDescent="0.25">
      <c r="A80" s="1115"/>
      <c r="B80" s="1113" t="s">
        <v>4983</v>
      </c>
      <c r="C80" s="1114" t="s">
        <v>4984</v>
      </c>
      <c r="D80" s="1114" t="s">
        <v>4965</v>
      </c>
    </row>
    <row r="81" spans="1:4" ht="15.75" x14ac:dyDescent="0.25">
      <c r="A81" s="1115"/>
      <c r="B81" s="1113" t="s">
        <v>4985</v>
      </c>
      <c r="C81" s="1114" t="s">
        <v>4986</v>
      </c>
      <c r="D81" s="1114" t="s">
        <v>4965</v>
      </c>
    </row>
    <row r="82" spans="1:4" ht="15.75" x14ac:dyDescent="0.25">
      <c r="A82" s="1115"/>
      <c r="B82" s="1113" t="s">
        <v>4987</v>
      </c>
      <c r="C82" s="1114" t="s">
        <v>4988</v>
      </c>
      <c r="D82" s="1114" t="s">
        <v>4965</v>
      </c>
    </row>
    <row r="83" spans="1:4" ht="15.75" x14ac:dyDescent="0.25">
      <c r="A83" s="1115"/>
      <c r="B83" s="1113" t="s">
        <v>4989</v>
      </c>
      <c r="C83" s="1114" t="s">
        <v>4990</v>
      </c>
      <c r="D83" s="1114" t="s">
        <v>4965</v>
      </c>
    </row>
    <row r="84" spans="1:4" ht="15.75" x14ac:dyDescent="0.25">
      <c r="A84" s="1115"/>
      <c r="B84" s="1113" t="s">
        <v>4991</v>
      </c>
      <c r="C84" s="1114" t="s">
        <v>4992</v>
      </c>
      <c r="D84" s="1114" t="s">
        <v>4965</v>
      </c>
    </row>
    <row r="85" spans="1:4" ht="15.75" x14ac:dyDescent="0.25">
      <c r="A85" s="1115"/>
      <c r="B85" s="1113" t="s">
        <v>4993</v>
      </c>
      <c r="C85" s="1114" t="s">
        <v>828</v>
      </c>
      <c r="D85" s="1114" t="s">
        <v>4965</v>
      </c>
    </row>
    <row r="86" spans="1:4" ht="15.75" x14ac:dyDescent="0.25">
      <c r="A86" s="1115"/>
      <c r="B86" s="1113" t="s">
        <v>4994</v>
      </c>
      <c r="C86" s="1114" t="s">
        <v>407</v>
      </c>
      <c r="D86" s="1114" t="s">
        <v>4965</v>
      </c>
    </row>
    <row r="87" spans="1:4" ht="15.75" x14ac:dyDescent="0.25">
      <c r="A87" s="1115"/>
      <c r="B87" s="1113" t="s">
        <v>4995</v>
      </c>
      <c r="C87" s="1114" t="s">
        <v>421</v>
      </c>
      <c r="D87" s="1114" t="s">
        <v>4965</v>
      </c>
    </row>
    <row r="88" spans="1:4" ht="15.75" x14ac:dyDescent="0.25">
      <c r="A88" s="1115"/>
      <c r="B88" s="1113" t="s">
        <v>4996</v>
      </c>
      <c r="C88" s="1114" t="s">
        <v>4997</v>
      </c>
      <c r="D88" s="1114" t="s">
        <v>4965</v>
      </c>
    </row>
    <row r="89" spans="1:4" ht="15.75" x14ac:dyDescent="0.25">
      <c r="A89" s="1115"/>
      <c r="B89" s="1113" t="s">
        <v>4998</v>
      </c>
      <c r="C89" s="1114" t="s">
        <v>4999</v>
      </c>
      <c r="D89" s="1114" t="s">
        <v>4965</v>
      </c>
    </row>
    <row r="90" spans="1:4" ht="15.75" x14ac:dyDescent="0.25">
      <c r="A90" s="1115"/>
      <c r="B90" s="1113" t="s">
        <v>5000</v>
      </c>
      <c r="C90" s="1114" t="s">
        <v>5001</v>
      </c>
      <c r="D90" s="1114" t="s">
        <v>4965</v>
      </c>
    </row>
    <row r="91" spans="1:4" ht="15.75" x14ac:dyDescent="0.25">
      <c r="A91" s="1115"/>
      <c r="B91" s="1113" t="s">
        <v>5002</v>
      </c>
      <c r="C91" s="1114" t="s">
        <v>5003</v>
      </c>
      <c r="D91" s="1114" t="s">
        <v>4965</v>
      </c>
    </row>
    <row r="92" spans="1:4" ht="15.75" x14ac:dyDescent="0.25">
      <c r="A92" s="1115"/>
      <c r="B92" s="1113" t="s">
        <v>5004</v>
      </c>
      <c r="C92" s="1114" t="s">
        <v>5005</v>
      </c>
      <c r="D92" s="1114" t="s">
        <v>4965</v>
      </c>
    </row>
    <row r="93" spans="1:4" ht="15.75" x14ac:dyDescent="0.25">
      <c r="A93" s="1115"/>
      <c r="B93" s="1113" t="s">
        <v>5006</v>
      </c>
      <c r="C93" s="1114" t="s">
        <v>5007</v>
      </c>
      <c r="D93" s="1114" t="s">
        <v>4965</v>
      </c>
    </row>
    <row r="94" spans="1:4" ht="15.75" x14ac:dyDescent="0.25">
      <c r="A94" s="1115"/>
      <c r="B94" s="1113" t="s">
        <v>5008</v>
      </c>
      <c r="C94" s="1114" t="s">
        <v>396</v>
      </c>
      <c r="D94" s="1114" t="s">
        <v>4965</v>
      </c>
    </row>
    <row r="95" spans="1:4" ht="15.75" x14ac:dyDescent="0.25">
      <c r="A95" s="1115"/>
      <c r="B95" s="1113" t="s">
        <v>5009</v>
      </c>
      <c r="C95" s="1114" t="s">
        <v>411</v>
      </c>
      <c r="D95" s="1114" t="s">
        <v>4965</v>
      </c>
    </row>
    <row r="96" spans="1:4" ht="15.75" x14ac:dyDescent="0.25">
      <c r="A96" s="1115"/>
      <c r="B96" s="1113" t="s">
        <v>5019</v>
      </c>
      <c r="C96" s="1114" t="s">
        <v>436</v>
      </c>
      <c r="D96" s="1114" t="s">
        <v>4965</v>
      </c>
    </row>
    <row r="97" spans="1:4" ht="15.75" x14ac:dyDescent="0.25">
      <c r="A97" s="1115"/>
      <c r="B97" s="1113" t="s">
        <v>5023</v>
      </c>
      <c r="C97" s="1114" t="s">
        <v>5024</v>
      </c>
      <c r="D97" s="1114" t="s">
        <v>4965</v>
      </c>
    </row>
    <row r="98" spans="1:4" ht="15.75" x14ac:dyDescent="0.25">
      <c r="A98" s="1115"/>
      <c r="B98" s="1113" t="s">
        <v>5025</v>
      </c>
      <c r="C98" s="1114" t="s">
        <v>5026</v>
      </c>
      <c r="D98" s="1114" t="s">
        <v>4965</v>
      </c>
    </row>
    <row r="99" spans="1:4" ht="15.75" x14ac:dyDescent="0.25">
      <c r="A99" s="1115"/>
      <c r="B99" s="1113" t="s">
        <v>5027</v>
      </c>
      <c r="C99" s="1114" t="s">
        <v>5028</v>
      </c>
      <c r="D99" s="1114" t="s">
        <v>4965</v>
      </c>
    </row>
    <row r="100" spans="1:4" ht="15.75" x14ac:dyDescent="0.25">
      <c r="A100" s="1115"/>
      <c r="B100" s="1113" t="s">
        <v>5029</v>
      </c>
      <c r="C100" s="1114" t="s">
        <v>5030</v>
      </c>
      <c r="D100" s="1114" t="s">
        <v>4965</v>
      </c>
    </row>
    <row r="101" spans="1:4" ht="15.75" x14ac:dyDescent="0.25">
      <c r="A101" s="1115"/>
      <c r="B101" s="1113" t="s">
        <v>4714</v>
      </c>
      <c r="C101" s="1116" t="s">
        <v>5031</v>
      </c>
      <c r="D101" s="1114" t="s">
        <v>4965</v>
      </c>
    </row>
    <row r="102" spans="1:4" ht="15.75" x14ac:dyDescent="0.25">
      <c r="A102" s="1115"/>
      <c r="B102" s="1113" t="s">
        <v>5034</v>
      </c>
      <c r="C102" s="1114" t="s">
        <v>5035</v>
      </c>
      <c r="D102" s="1114" t="s">
        <v>4965</v>
      </c>
    </row>
    <row r="103" spans="1:4" ht="15.75" x14ac:dyDescent="0.25">
      <c r="A103" s="1115"/>
      <c r="B103" s="1113" t="s">
        <v>5036</v>
      </c>
      <c r="C103" s="1114" t="s">
        <v>5037</v>
      </c>
      <c r="D103" s="1114" t="s">
        <v>4965</v>
      </c>
    </row>
    <row r="104" spans="1:4" ht="16.5" thickBot="1" x14ac:dyDescent="0.3">
      <c r="A104" s="1124"/>
      <c r="B104" s="1125" t="s">
        <v>5038</v>
      </c>
      <c r="C104" s="1126" t="s">
        <v>5039</v>
      </c>
      <c r="D104" s="1126" t="s">
        <v>4965</v>
      </c>
    </row>
    <row r="105" spans="1:4" ht="15.75" x14ac:dyDescent="0.25">
      <c r="A105" s="1123" t="s">
        <v>5079</v>
      </c>
      <c r="B105" s="1117" t="s">
        <v>4588</v>
      </c>
      <c r="C105" s="1118" t="s">
        <v>5010</v>
      </c>
      <c r="D105" s="1119" t="s">
        <v>5011</v>
      </c>
    </row>
    <row r="106" spans="1:4" ht="15.75" x14ac:dyDescent="0.25">
      <c r="A106" s="1123" t="s">
        <v>5080</v>
      </c>
      <c r="B106" s="1117" t="s">
        <v>4590</v>
      </c>
      <c r="C106" s="1119" t="s">
        <v>4615</v>
      </c>
      <c r="D106" s="1119" t="s">
        <v>5011</v>
      </c>
    </row>
    <row r="107" spans="1:4" ht="15.75" x14ac:dyDescent="0.25">
      <c r="A107" s="1120"/>
      <c r="B107" s="1117" t="s">
        <v>4591</v>
      </c>
      <c r="C107" s="1119" t="s">
        <v>5012</v>
      </c>
      <c r="D107" s="1119" t="s">
        <v>5011</v>
      </c>
    </row>
    <row r="108" spans="1:4" ht="15.75" x14ac:dyDescent="0.25">
      <c r="A108" s="1120"/>
      <c r="B108" s="1117" t="s">
        <v>4592</v>
      </c>
      <c r="C108" s="1119" t="s">
        <v>5013</v>
      </c>
      <c r="D108" s="1119" t="s">
        <v>5011</v>
      </c>
    </row>
    <row r="109" spans="1:4" ht="15.75" x14ac:dyDescent="0.25">
      <c r="A109" s="1120"/>
      <c r="B109" s="1117" t="s">
        <v>4593</v>
      </c>
      <c r="C109" s="1119" t="s">
        <v>5014</v>
      </c>
      <c r="D109" s="1119" t="s">
        <v>5011</v>
      </c>
    </row>
    <row r="110" spans="1:4" ht="15.75" x14ac:dyDescent="0.25">
      <c r="A110" s="1120"/>
      <c r="B110" s="1117" t="s">
        <v>4594</v>
      </c>
      <c r="C110" s="1119" t="s">
        <v>5015</v>
      </c>
      <c r="D110" s="1119" t="s">
        <v>5011</v>
      </c>
    </row>
    <row r="111" spans="1:4" ht="15.75" x14ac:dyDescent="0.25">
      <c r="A111" s="1120"/>
      <c r="B111" s="1117" t="s">
        <v>4595</v>
      </c>
      <c r="C111" s="1118" t="s">
        <v>5016</v>
      </c>
      <c r="D111" s="1119" t="s">
        <v>5011</v>
      </c>
    </row>
    <row r="112" spans="1:4" ht="15.75" x14ac:dyDescent="0.25">
      <c r="A112" s="1120"/>
      <c r="B112" s="1117" t="s">
        <v>4596</v>
      </c>
      <c r="C112" s="1118" t="s">
        <v>5017</v>
      </c>
      <c r="D112" s="1119" t="s">
        <v>5011</v>
      </c>
    </row>
    <row r="113" spans="1:4" ht="15.75" x14ac:dyDescent="0.25">
      <c r="A113" s="1120"/>
      <c r="B113" s="1117" t="s">
        <v>4597</v>
      </c>
      <c r="C113" s="1118" t="s">
        <v>5018</v>
      </c>
      <c r="D113" s="1119" t="s">
        <v>5011</v>
      </c>
    </row>
    <row r="114" spans="1:4" ht="15.75" x14ac:dyDescent="0.25">
      <c r="A114" s="1120"/>
      <c r="B114" s="1121" t="s">
        <v>5032</v>
      </c>
      <c r="C114" s="1122" t="s">
        <v>5033</v>
      </c>
      <c r="D114" s="1122" t="s">
        <v>5011</v>
      </c>
    </row>
    <row r="115" spans="1:4" ht="15.75" x14ac:dyDescent="0.25">
      <c r="A115" s="1120"/>
      <c r="B115" s="1121" t="s">
        <v>5040</v>
      </c>
      <c r="C115" s="1122" t="s">
        <v>5041</v>
      </c>
      <c r="D115" s="1122" t="s">
        <v>5011</v>
      </c>
    </row>
    <row r="116" spans="1:4" ht="15.75" x14ac:dyDescent="0.25">
      <c r="A116" s="1120"/>
      <c r="B116" s="1121" t="s">
        <v>5042</v>
      </c>
      <c r="C116" s="1122" t="s">
        <v>5043</v>
      </c>
      <c r="D116" s="1122" t="s">
        <v>5011</v>
      </c>
    </row>
    <row r="117" spans="1:4" ht="15.75" x14ac:dyDescent="0.25">
      <c r="A117" s="1120"/>
      <c r="B117" s="1121" t="s">
        <v>5044</v>
      </c>
      <c r="C117" s="1122" t="s">
        <v>5045</v>
      </c>
      <c r="D117" s="1122" t="s">
        <v>5011</v>
      </c>
    </row>
    <row r="118" spans="1:4" ht="15.75" x14ac:dyDescent="0.25">
      <c r="A118" s="1120"/>
      <c r="B118" s="1121" t="s">
        <v>5046</v>
      </c>
      <c r="C118" s="1122" t="s">
        <v>5047</v>
      </c>
      <c r="D118" s="1122" t="s">
        <v>5011</v>
      </c>
    </row>
    <row r="119" spans="1:4" ht="15.75" x14ac:dyDescent="0.25">
      <c r="A119" s="1120"/>
      <c r="B119" s="1121" t="s">
        <v>5048</v>
      </c>
      <c r="C119" s="1122" t="s">
        <v>5049</v>
      </c>
      <c r="D119" s="1122" t="s">
        <v>5011</v>
      </c>
    </row>
    <row r="120" spans="1:4" ht="15.75" x14ac:dyDescent="0.25">
      <c r="A120" s="1120"/>
      <c r="B120" s="1121" t="s">
        <v>5050</v>
      </c>
      <c r="C120" s="1122" t="s">
        <v>5051</v>
      </c>
      <c r="D120" s="1122" t="s">
        <v>5011</v>
      </c>
    </row>
    <row r="121" spans="1:4" ht="15.75" x14ac:dyDescent="0.25">
      <c r="A121" s="1120"/>
      <c r="B121" s="1121" t="s">
        <v>5052</v>
      </c>
      <c r="C121" s="1122" t="s">
        <v>5053</v>
      </c>
      <c r="D121" s="1122" t="s">
        <v>5011</v>
      </c>
    </row>
    <row r="122" spans="1:4" ht="15.75" x14ac:dyDescent="0.25">
      <c r="A122" s="1120"/>
      <c r="B122" s="1121" t="s">
        <v>5054</v>
      </c>
      <c r="C122" s="1122" t="s">
        <v>5055</v>
      </c>
      <c r="D122" s="1122" t="s">
        <v>5011</v>
      </c>
    </row>
    <row r="123" spans="1:4" ht="15.75" x14ac:dyDescent="0.25">
      <c r="A123" s="1120"/>
      <c r="B123" s="1121" t="s">
        <v>5056</v>
      </c>
      <c r="C123" s="1122" t="s">
        <v>5057</v>
      </c>
      <c r="D123" s="1122" t="s">
        <v>5011</v>
      </c>
    </row>
    <row r="124" spans="1:4" ht="15.75" x14ac:dyDescent="0.25">
      <c r="A124" s="1120"/>
      <c r="B124" s="1121" t="s">
        <v>5058</v>
      </c>
      <c r="C124" s="1122" t="s">
        <v>5059</v>
      </c>
      <c r="D124" s="1122" t="s">
        <v>5011</v>
      </c>
    </row>
    <row r="125" spans="1:4" ht="15.75" x14ac:dyDescent="0.25">
      <c r="A125" s="1120"/>
      <c r="B125" s="1121" t="s">
        <v>5060</v>
      </c>
      <c r="C125" s="1122" t="s">
        <v>5061</v>
      </c>
      <c r="D125" s="1122" t="s">
        <v>5011</v>
      </c>
    </row>
    <row r="126" spans="1:4" ht="15.75" x14ac:dyDescent="0.25">
      <c r="A126" s="1120"/>
      <c r="B126" s="1121" t="s">
        <v>5062</v>
      </c>
      <c r="C126" s="1122" t="s">
        <v>5063</v>
      </c>
      <c r="D126" s="1122" t="s">
        <v>5011</v>
      </c>
    </row>
    <row r="127" spans="1:4" ht="15.75" x14ac:dyDescent="0.25">
      <c r="A127" s="1120"/>
      <c r="B127" s="1121" t="s">
        <v>5064</v>
      </c>
      <c r="C127" s="1122" t="s">
        <v>5065</v>
      </c>
      <c r="D127" s="1122" t="s">
        <v>5011</v>
      </c>
    </row>
    <row r="128" spans="1:4" ht="15.75" x14ac:dyDescent="0.25">
      <c r="A128" s="1120"/>
      <c r="B128" s="1121" t="s">
        <v>5066</v>
      </c>
      <c r="C128" s="1122" t="s">
        <v>5067</v>
      </c>
      <c r="D128" s="1122" t="s">
        <v>5011</v>
      </c>
    </row>
    <row r="129" spans="1:4" ht="15.75" x14ac:dyDescent="0.25">
      <c r="A129" s="1120"/>
      <c r="B129" s="1121" t="s">
        <v>5068</v>
      </c>
      <c r="C129" s="1122" t="s">
        <v>5069</v>
      </c>
      <c r="D129" s="1122" t="s">
        <v>5011</v>
      </c>
    </row>
    <row r="130" spans="1:4" ht="15.75" x14ac:dyDescent="0.25">
      <c r="A130" s="1120"/>
      <c r="B130" s="1121" t="s">
        <v>5070</v>
      </c>
      <c r="C130" s="1122" t="s">
        <v>5071</v>
      </c>
      <c r="D130" s="1122" t="s">
        <v>5011</v>
      </c>
    </row>
    <row r="131" spans="1:4" ht="15.75" x14ac:dyDescent="0.25">
      <c r="A131" s="1120"/>
      <c r="B131" s="1121" t="s">
        <v>5072</v>
      </c>
      <c r="C131" s="1122" t="s">
        <v>5073</v>
      </c>
      <c r="D131" s="1122" t="s">
        <v>5011</v>
      </c>
    </row>
    <row r="132" spans="1:4" ht="15.75" x14ac:dyDescent="0.25">
      <c r="A132" s="1120"/>
      <c r="B132" s="1121" t="s">
        <v>5081</v>
      </c>
      <c r="C132" s="1122" t="s">
        <v>5082</v>
      </c>
      <c r="D132" s="1122" t="s">
        <v>5083</v>
      </c>
    </row>
    <row r="133" spans="1:4" ht="15.75" x14ac:dyDescent="0.25">
      <c r="A133" s="1120"/>
      <c r="B133" s="1121" t="s">
        <v>5084</v>
      </c>
      <c r="C133" s="1122" t="s">
        <v>5085</v>
      </c>
      <c r="D133" s="1122" t="s">
        <v>5083</v>
      </c>
    </row>
    <row r="134" spans="1:4" ht="15.75" x14ac:dyDescent="0.25">
      <c r="A134" s="1120"/>
      <c r="B134" s="1121" t="s">
        <v>5086</v>
      </c>
      <c r="C134" s="1122" t="s">
        <v>5087</v>
      </c>
      <c r="D134" s="1122" t="s">
        <v>5083</v>
      </c>
    </row>
    <row r="135" spans="1:4" ht="15.75" x14ac:dyDescent="0.25">
      <c r="A135" s="1120"/>
      <c r="B135" s="1121" t="s">
        <v>5088</v>
      </c>
      <c r="C135" s="1122" t="s">
        <v>5089</v>
      </c>
      <c r="D135" s="1122" t="s">
        <v>5083</v>
      </c>
    </row>
    <row r="136" spans="1:4" ht="15.75" x14ac:dyDescent="0.25">
      <c r="A136" s="1120"/>
      <c r="B136" s="1121" t="s">
        <v>5090</v>
      </c>
      <c r="C136" s="1122" t="s">
        <v>5091</v>
      </c>
      <c r="D136" s="1122" t="s">
        <v>5083</v>
      </c>
    </row>
    <row r="137" spans="1:4" ht="15.75" x14ac:dyDescent="0.25">
      <c r="A137" s="1120"/>
      <c r="B137" s="1121" t="s">
        <v>5092</v>
      </c>
      <c r="C137" s="1122" t="s">
        <v>5093</v>
      </c>
      <c r="D137" s="1122" t="s">
        <v>5083</v>
      </c>
    </row>
    <row r="138" spans="1:4" ht="15.75" x14ac:dyDescent="0.25">
      <c r="A138" s="1120"/>
      <c r="B138" s="1121" t="s">
        <v>5094</v>
      </c>
      <c r="C138" s="1122" t="s">
        <v>5095</v>
      </c>
      <c r="D138" s="1122" t="s">
        <v>5083</v>
      </c>
    </row>
    <row r="139" spans="1:4" ht="15.75" x14ac:dyDescent="0.25">
      <c r="A139" s="1120"/>
      <c r="B139" s="1121" t="s">
        <v>5096</v>
      </c>
      <c r="C139" s="1122" t="s">
        <v>5097</v>
      </c>
      <c r="D139" s="1122" t="s">
        <v>5083</v>
      </c>
    </row>
    <row r="140" spans="1:4" ht="15.75" x14ac:dyDescent="0.25">
      <c r="A140" s="1120"/>
      <c r="B140" s="1121" t="s">
        <v>5098</v>
      </c>
      <c r="C140" s="1122" t="s">
        <v>5099</v>
      </c>
      <c r="D140" s="1122" t="s">
        <v>5083</v>
      </c>
    </row>
    <row r="141" spans="1:4" ht="15.75" x14ac:dyDescent="0.25">
      <c r="A141" s="1120"/>
      <c r="B141" s="1121" t="s">
        <v>5100</v>
      </c>
      <c r="C141" s="1122" t="s">
        <v>5101</v>
      </c>
      <c r="D141" s="1122" t="s">
        <v>5083</v>
      </c>
    </row>
    <row r="142" spans="1:4" ht="15.75" x14ac:dyDescent="0.25">
      <c r="A142" s="1120"/>
      <c r="B142" s="1121" t="s">
        <v>5074</v>
      </c>
      <c r="C142" s="1122" t="s">
        <v>5102</v>
      </c>
      <c r="D142" s="1122" t="s">
        <v>5011</v>
      </c>
    </row>
    <row r="143" spans="1:4" ht="15.75" x14ac:dyDescent="0.25">
      <c r="A143" s="1120"/>
      <c r="B143" s="1121" t="s">
        <v>5103</v>
      </c>
      <c r="C143" s="1122" t="s">
        <v>5104</v>
      </c>
      <c r="D143" s="1122" t="s">
        <v>5083</v>
      </c>
    </row>
    <row r="144" spans="1:4" ht="15.75" x14ac:dyDescent="0.25">
      <c r="A144" s="1120"/>
      <c r="B144" s="1121" t="s">
        <v>5105</v>
      </c>
      <c r="C144" s="1122" t="s">
        <v>5106</v>
      </c>
      <c r="D144" s="1122" t="s">
        <v>5107</v>
      </c>
    </row>
    <row r="145" spans="1:4" ht="15.75" x14ac:dyDescent="0.25">
      <c r="A145" s="1120"/>
      <c r="B145" s="1121" t="s">
        <v>5108</v>
      </c>
      <c r="C145" s="1122" t="s">
        <v>5109</v>
      </c>
      <c r="D145" s="1122" t="s">
        <v>5107</v>
      </c>
    </row>
    <row r="146" spans="1:4" ht="15.75" x14ac:dyDescent="0.25">
      <c r="A146" s="1120"/>
      <c r="B146" s="1121" t="s">
        <v>5110</v>
      </c>
      <c r="C146" s="1122" t="s">
        <v>5111</v>
      </c>
      <c r="D146" s="1122" t="s">
        <v>5107</v>
      </c>
    </row>
    <row r="147" spans="1:4" ht="15.75" x14ac:dyDescent="0.25">
      <c r="A147" s="1120"/>
      <c r="B147" s="1121" t="s">
        <v>5112</v>
      </c>
      <c r="C147" s="1122" t="s">
        <v>5113</v>
      </c>
      <c r="D147" s="1122" t="s">
        <v>5107</v>
      </c>
    </row>
    <row r="148" spans="1:4" ht="15.75" x14ac:dyDescent="0.25">
      <c r="A148" s="1120"/>
      <c r="B148" s="1121" t="s">
        <v>5114</v>
      </c>
      <c r="C148" s="1122" t="s">
        <v>5115</v>
      </c>
      <c r="D148" s="1122" t="s">
        <v>5107</v>
      </c>
    </row>
    <row r="149" spans="1:4" ht="15.75" x14ac:dyDescent="0.25">
      <c r="A149" s="1120"/>
      <c r="B149" s="1121" t="s">
        <v>5116</v>
      </c>
      <c r="C149" s="1122" t="s">
        <v>5117</v>
      </c>
      <c r="D149" s="1122" t="s">
        <v>5107</v>
      </c>
    </row>
    <row r="150" spans="1:4" ht="15.75" x14ac:dyDescent="0.25">
      <c r="A150" s="1120"/>
      <c r="B150" s="1121" t="s">
        <v>5118</v>
      </c>
      <c r="C150" s="1122" t="s">
        <v>5119</v>
      </c>
      <c r="D150" s="1122" t="s">
        <v>5107</v>
      </c>
    </row>
    <row r="151" spans="1:4" ht="15.75" x14ac:dyDescent="0.25">
      <c r="A151" s="1120"/>
      <c r="B151" s="1121" t="s">
        <v>5120</v>
      </c>
      <c r="C151" s="1122" t="s">
        <v>5121</v>
      </c>
      <c r="D151" s="1122" t="s">
        <v>5107</v>
      </c>
    </row>
    <row r="152" spans="1:4" ht="15.75" x14ac:dyDescent="0.25">
      <c r="A152" s="1120"/>
      <c r="B152" s="1121" t="s">
        <v>5122</v>
      </c>
      <c r="C152" s="1122" t="s">
        <v>5123</v>
      </c>
      <c r="D152" s="1122" t="s">
        <v>5107</v>
      </c>
    </row>
    <row r="153" spans="1:4" ht="15.75" x14ac:dyDescent="0.25">
      <c r="A153" s="1120"/>
      <c r="B153" s="1121" t="s">
        <v>5124</v>
      </c>
      <c r="C153" s="1122" t="s">
        <v>5125</v>
      </c>
      <c r="D153" s="1122" t="s">
        <v>5107</v>
      </c>
    </row>
    <row r="154" spans="1:4" ht="15.75" x14ac:dyDescent="0.25">
      <c r="A154" s="1120"/>
      <c r="B154" s="1121" t="s">
        <v>5126</v>
      </c>
      <c r="C154" s="1122" t="s">
        <v>5127</v>
      </c>
      <c r="D154" s="1122" t="s">
        <v>5107</v>
      </c>
    </row>
    <row r="155" spans="1:4" ht="15.75" x14ac:dyDescent="0.25">
      <c r="A155" s="1120"/>
      <c r="B155" s="1121" t="s">
        <v>5128</v>
      </c>
      <c r="C155" s="1122" t="s">
        <v>5129</v>
      </c>
      <c r="D155" s="1122" t="s">
        <v>5107</v>
      </c>
    </row>
    <row r="156" spans="1:4" ht="15.75" x14ac:dyDescent="0.25">
      <c r="A156" s="1120"/>
      <c r="B156" s="1121" t="s">
        <v>5130</v>
      </c>
      <c r="C156" s="1122" t="s">
        <v>5131</v>
      </c>
      <c r="D156" s="1122" t="s">
        <v>5107</v>
      </c>
    </row>
    <row r="157" spans="1:4" ht="15.75" x14ac:dyDescent="0.25">
      <c r="A157" s="1120"/>
      <c r="B157" s="1121" t="s">
        <v>5132</v>
      </c>
      <c r="C157" s="1122" t="s">
        <v>5133</v>
      </c>
      <c r="D157" s="1122" t="s">
        <v>5107</v>
      </c>
    </row>
    <row r="158" spans="1:4" ht="15.75" x14ac:dyDescent="0.25">
      <c r="A158" s="1120"/>
      <c r="B158" s="1121" t="s">
        <v>5134</v>
      </c>
      <c r="C158" s="1122" t="s">
        <v>5135</v>
      </c>
      <c r="D158" s="1122" t="s">
        <v>5107</v>
      </c>
    </row>
    <row r="159" spans="1:4" ht="15.75" x14ac:dyDescent="0.25">
      <c r="A159" s="1120"/>
      <c r="B159" s="1121" t="s">
        <v>5136</v>
      </c>
      <c r="C159" s="1122" t="s">
        <v>5137</v>
      </c>
      <c r="D159" s="1122" t="s">
        <v>5107</v>
      </c>
    </row>
    <row r="160" spans="1:4" ht="15.75" x14ac:dyDescent="0.25">
      <c r="A160" s="1120"/>
      <c r="B160" s="1121" t="s">
        <v>5138</v>
      </c>
      <c r="C160" s="1122" t="s">
        <v>5139</v>
      </c>
      <c r="D160" s="1122" t="s">
        <v>5107</v>
      </c>
    </row>
    <row r="161" spans="1:4" ht="15.75" x14ac:dyDescent="0.25">
      <c r="A161" s="1120"/>
      <c r="B161" s="1121" t="s">
        <v>5140</v>
      </c>
      <c r="C161" s="1122" t="s">
        <v>5141</v>
      </c>
      <c r="D161" s="1122" t="s">
        <v>5107</v>
      </c>
    </row>
    <row r="162" spans="1:4" ht="15.75" x14ac:dyDescent="0.25">
      <c r="A162" s="1120"/>
      <c r="B162" s="1121" t="s">
        <v>5142</v>
      </c>
      <c r="C162" s="1122" t="s">
        <v>5143</v>
      </c>
      <c r="D162" s="1122" t="s">
        <v>5107</v>
      </c>
    </row>
    <row r="163" spans="1:4" ht="15.75" x14ac:dyDescent="0.25">
      <c r="A163" s="1120"/>
      <c r="B163" s="1121" t="s">
        <v>5144</v>
      </c>
      <c r="C163" s="1122" t="s">
        <v>5145</v>
      </c>
      <c r="D163" s="1122" t="s">
        <v>5107</v>
      </c>
    </row>
    <row r="164" spans="1:4" ht="15.75" x14ac:dyDescent="0.25">
      <c r="A164" s="1120"/>
      <c r="B164" s="1121" t="s">
        <v>5146</v>
      </c>
      <c r="C164" s="1122" t="s">
        <v>5147</v>
      </c>
      <c r="D164" s="1122" t="s">
        <v>5107</v>
      </c>
    </row>
    <row r="165" spans="1:4" ht="15.75" x14ac:dyDescent="0.25">
      <c r="A165" s="1120"/>
      <c r="B165" s="1121" t="s">
        <v>5148</v>
      </c>
      <c r="C165" s="1122" t="s">
        <v>5149</v>
      </c>
      <c r="D165" s="1122" t="s">
        <v>5107</v>
      </c>
    </row>
    <row r="166" spans="1:4" ht="15.75" x14ac:dyDescent="0.25">
      <c r="A166" s="1120"/>
      <c r="B166" s="1121" t="s">
        <v>5150</v>
      </c>
      <c r="C166" s="1122" t="s">
        <v>5151</v>
      </c>
      <c r="D166" s="1122" t="s">
        <v>5107</v>
      </c>
    </row>
    <row r="167" spans="1:4" ht="15.75" x14ac:dyDescent="0.25">
      <c r="A167" s="1120"/>
      <c r="B167" s="1121" t="s">
        <v>5152</v>
      </c>
      <c r="C167" s="1122" t="s">
        <v>5153</v>
      </c>
      <c r="D167" s="1122" t="s">
        <v>5107</v>
      </c>
    </row>
    <row r="168" spans="1:4" ht="15.75" x14ac:dyDescent="0.25">
      <c r="A168" s="1120"/>
      <c r="B168" s="1121" t="s">
        <v>5154</v>
      </c>
      <c r="C168" s="1122" t="s">
        <v>5155</v>
      </c>
      <c r="D168" s="1122" t="s">
        <v>5107</v>
      </c>
    </row>
    <row r="169" spans="1:4" ht="15.75" x14ac:dyDescent="0.25">
      <c r="A169" s="1120"/>
      <c r="B169" s="1121" t="s">
        <v>5156</v>
      </c>
      <c r="C169" s="1122" t="s">
        <v>5157</v>
      </c>
      <c r="D169" s="1122" t="s">
        <v>5107</v>
      </c>
    </row>
    <row r="170" spans="1:4" ht="15.75" x14ac:dyDescent="0.25">
      <c r="A170" s="1120"/>
      <c r="B170" s="1121" t="s">
        <v>5158</v>
      </c>
      <c r="C170" s="1122" t="s">
        <v>5159</v>
      </c>
      <c r="D170" s="1122" t="s">
        <v>5107</v>
      </c>
    </row>
    <row r="171" spans="1:4" ht="15.75" x14ac:dyDescent="0.25">
      <c r="A171" s="1120"/>
      <c r="B171" s="1121" t="s">
        <v>5160</v>
      </c>
      <c r="C171" s="1122" t="s">
        <v>5161</v>
      </c>
      <c r="D171" s="1122" t="s">
        <v>5107</v>
      </c>
    </row>
    <row r="172" spans="1:4" ht="15.75" x14ac:dyDescent="0.25">
      <c r="A172" s="1120"/>
      <c r="B172" s="1121" t="s">
        <v>5162</v>
      </c>
      <c r="C172" s="1122" t="s">
        <v>5163</v>
      </c>
      <c r="D172" s="1122" t="s">
        <v>5107</v>
      </c>
    </row>
    <row r="173" spans="1:4" ht="15.75" x14ac:dyDescent="0.25">
      <c r="A173" s="1120"/>
      <c r="B173" s="1121" t="s">
        <v>5164</v>
      </c>
      <c r="C173" s="1122" t="s">
        <v>5165</v>
      </c>
      <c r="D173" s="1122" t="s">
        <v>5107</v>
      </c>
    </row>
    <row r="174" spans="1:4" ht="15.75" x14ac:dyDescent="0.25">
      <c r="A174" s="1120"/>
      <c r="B174" s="1121" t="s">
        <v>5166</v>
      </c>
      <c r="C174" s="1122" t="s">
        <v>5167</v>
      </c>
      <c r="D174" s="1122" t="s">
        <v>5107</v>
      </c>
    </row>
    <row r="175" spans="1:4" ht="15.75" x14ac:dyDescent="0.25">
      <c r="A175" s="1120"/>
      <c r="B175" s="1121" t="s">
        <v>5168</v>
      </c>
      <c r="C175" s="1122" t="s">
        <v>5169</v>
      </c>
      <c r="D175" s="1122" t="s">
        <v>5107</v>
      </c>
    </row>
    <row r="176" spans="1:4" ht="15.75" x14ac:dyDescent="0.25">
      <c r="A176" s="1120"/>
      <c r="B176" s="1121" t="s">
        <v>5170</v>
      </c>
      <c r="C176" s="1122" t="s">
        <v>5171</v>
      </c>
      <c r="D176" s="1122" t="s">
        <v>5107</v>
      </c>
    </row>
    <row r="177" spans="1:4" ht="15.75" x14ac:dyDescent="0.25">
      <c r="A177" s="1120"/>
      <c r="B177" s="1121" t="s">
        <v>5172</v>
      </c>
      <c r="C177" s="1122" t="s">
        <v>5173</v>
      </c>
      <c r="D177" s="1122" t="s">
        <v>5107</v>
      </c>
    </row>
    <row r="178" spans="1:4" ht="15.75" x14ac:dyDescent="0.25">
      <c r="A178" s="1120"/>
      <c r="B178" s="1121" t="s">
        <v>5174</v>
      </c>
      <c r="C178" s="1122" t="s">
        <v>5175</v>
      </c>
      <c r="D178" s="1122" t="s">
        <v>5107</v>
      </c>
    </row>
    <row r="179" spans="1:4" ht="15.75" x14ac:dyDescent="0.25">
      <c r="A179" s="1120"/>
      <c r="B179" s="1121" t="s">
        <v>5176</v>
      </c>
      <c r="C179" s="1122" t="s">
        <v>5177</v>
      </c>
      <c r="D179" s="1122" t="s">
        <v>5107</v>
      </c>
    </row>
    <row r="180" spans="1:4" ht="15.75" x14ac:dyDescent="0.25">
      <c r="A180" s="1120"/>
      <c r="B180" s="1121" t="s">
        <v>5178</v>
      </c>
      <c r="C180" s="1122" t="s">
        <v>5179</v>
      </c>
      <c r="D180" s="1122" t="s">
        <v>5107</v>
      </c>
    </row>
    <row r="181" spans="1:4" ht="15.75" x14ac:dyDescent="0.25">
      <c r="A181" s="1120"/>
      <c r="B181" s="1121" t="s">
        <v>5180</v>
      </c>
      <c r="C181" s="1122" t="s">
        <v>5181</v>
      </c>
      <c r="D181" s="1122" t="s">
        <v>5107</v>
      </c>
    </row>
    <row r="182" spans="1:4" ht="15.75" x14ac:dyDescent="0.25">
      <c r="A182" s="1120"/>
      <c r="B182" s="1121" t="s">
        <v>5182</v>
      </c>
      <c r="C182" s="1122" t="s">
        <v>5183</v>
      </c>
      <c r="D182" s="1122" t="s">
        <v>5107</v>
      </c>
    </row>
    <row r="183" spans="1:4" ht="15.75" x14ac:dyDescent="0.25">
      <c r="A183" s="1120"/>
      <c r="B183" s="1121" t="s">
        <v>5184</v>
      </c>
      <c r="C183" s="1122" t="s">
        <v>5185</v>
      </c>
      <c r="D183" s="1122" t="s">
        <v>5107</v>
      </c>
    </row>
    <row r="184" spans="1:4" ht="15.75" x14ac:dyDescent="0.25">
      <c r="A184" s="1120"/>
      <c r="B184" s="1121" t="s">
        <v>5186</v>
      </c>
      <c r="C184" s="1122" t="s">
        <v>5187</v>
      </c>
      <c r="D184" s="1122" t="s">
        <v>5107</v>
      </c>
    </row>
    <row r="185" spans="1:4" ht="15.75" x14ac:dyDescent="0.25">
      <c r="A185" s="1120"/>
      <c r="B185" s="1121" t="s">
        <v>5188</v>
      </c>
      <c r="C185" s="1122" t="s">
        <v>5189</v>
      </c>
      <c r="D185" s="1122" t="s">
        <v>5107</v>
      </c>
    </row>
    <row r="186" spans="1:4" ht="15.75" x14ac:dyDescent="0.25">
      <c r="A186" s="1120"/>
      <c r="B186" s="1121" t="s">
        <v>5190</v>
      </c>
      <c r="C186" s="1122" t="s">
        <v>5191</v>
      </c>
      <c r="D186" s="1122" t="s">
        <v>5107</v>
      </c>
    </row>
    <row r="187" spans="1:4" ht="15.75" x14ac:dyDescent="0.25">
      <c r="A187" s="1120"/>
      <c r="B187" s="1121" t="s">
        <v>5192</v>
      </c>
      <c r="C187" s="1122" t="s">
        <v>5193</v>
      </c>
      <c r="D187" s="1122" t="s">
        <v>5107</v>
      </c>
    </row>
    <row r="188" spans="1:4" ht="15.75" x14ac:dyDescent="0.25">
      <c r="A188" s="1120"/>
      <c r="B188" s="1121" t="s">
        <v>5194</v>
      </c>
      <c r="C188" s="1122" t="s">
        <v>5195</v>
      </c>
      <c r="D188" s="1122" t="s">
        <v>5107</v>
      </c>
    </row>
    <row r="189" spans="1:4" ht="15.75" x14ac:dyDescent="0.25">
      <c r="A189" s="1120"/>
      <c r="B189" s="1121" t="s">
        <v>5196</v>
      </c>
      <c r="C189" s="1122" t="s">
        <v>5197</v>
      </c>
      <c r="D189" s="1122" t="s">
        <v>5107</v>
      </c>
    </row>
    <row r="190" spans="1:4" ht="15.75" x14ac:dyDescent="0.25">
      <c r="A190" s="1120"/>
      <c r="B190" s="1121" t="s">
        <v>5198</v>
      </c>
      <c r="C190" s="1122" t="s">
        <v>5199</v>
      </c>
      <c r="D190" s="1122" t="s">
        <v>5107</v>
      </c>
    </row>
    <row r="191" spans="1:4" ht="15.75" x14ac:dyDescent="0.25">
      <c r="A191" s="1120"/>
      <c r="B191" s="1121" t="s">
        <v>5200</v>
      </c>
      <c r="C191" s="1122" t="s">
        <v>5201</v>
      </c>
      <c r="D191" s="1122" t="s">
        <v>5107</v>
      </c>
    </row>
    <row r="192" spans="1:4" ht="15.75" x14ac:dyDescent="0.25">
      <c r="A192" s="1120"/>
      <c r="B192" s="1121" t="s">
        <v>5202</v>
      </c>
      <c r="C192" s="1122" t="s">
        <v>5203</v>
      </c>
      <c r="D192" s="1122" t="s">
        <v>5107</v>
      </c>
    </row>
    <row r="193" spans="1:4" ht="15.75" x14ac:dyDescent="0.25">
      <c r="A193" s="1120"/>
      <c r="B193" s="1121" t="s">
        <v>5204</v>
      </c>
      <c r="C193" s="1122" t="s">
        <v>5205</v>
      </c>
      <c r="D193" s="1122" t="s">
        <v>5107</v>
      </c>
    </row>
    <row r="194" spans="1:4" ht="15.75" x14ac:dyDescent="0.25">
      <c r="A194" s="1120"/>
      <c r="B194" s="1121" t="s">
        <v>5206</v>
      </c>
      <c r="C194" s="1122" t="s">
        <v>5207</v>
      </c>
      <c r="D194" s="1122" t="s">
        <v>5107</v>
      </c>
    </row>
    <row r="195" spans="1:4" ht="15.75" x14ac:dyDescent="0.25">
      <c r="A195" s="1120"/>
      <c r="B195" s="1121" t="s">
        <v>5208</v>
      </c>
      <c r="C195" s="1122" t="s">
        <v>5209</v>
      </c>
      <c r="D195" s="1122" t="s">
        <v>5107</v>
      </c>
    </row>
    <row r="196" spans="1:4" ht="15.75" x14ac:dyDescent="0.25">
      <c r="A196" s="1120"/>
      <c r="B196" s="1121" t="s">
        <v>5210</v>
      </c>
      <c r="C196" s="1122" t="s">
        <v>5211</v>
      </c>
      <c r="D196" s="1122" t="s">
        <v>5107</v>
      </c>
    </row>
    <row r="197" spans="1:4" ht="15.75" x14ac:dyDescent="0.25">
      <c r="A197" s="1120"/>
      <c r="B197" s="1121" t="s">
        <v>5212</v>
      </c>
      <c r="C197" s="1122" t="s">
        <v>5213</v>
      </c>
      <c r="D197" s="1122" t="s">
        <v>5107</v>
      </c>
    </row>
    <row r="198" spans="1:4" ht="15.75" x14ac:dyDescent="0.25">
      <c r="A198" s="1120"/>
      <c r="B198" s="1121" t="s">
        <v>5214</v>
      </c>
      <c r="C198" s="1122" t="s">
        <v>5215</v>
      </c>
      <c r="D198" s="1122" t="s">
        <v>5107</v>
      </c>
    </row>
    <row r="199" spans="1:4" ht="15.75" x14ac:dyDescent="0.25">
      <c r="A199" s="1120"/>
      <c r="B199" s="1121" t="s">
        <v>5216</v>
      </c>
      <c r="C199" s="1122" t="s">
        <v>5217</v>
      </c>
      <c r="D199" s="1122" t="s">
        <v>5107</v>
      </c>
    </row>
    <row r="200" spans="1:4" ht="15.75" x14ac:dyDescent="0.25">
      <c r="A200" s="1120"/>
      <c r="B200" s="1121" t="s">
        <v>5218</v>
      </c>
      <c r="C200" s="1122" t="s">
        <v>5219</v>
      </c>
      <c r="D200" s="1122" t="s">
        <v>5107</v>
      </c>
    </row>
    <row r="201" spans="1:4" ht="15.75" x14ac:dyDescent="0.25">
      <c r="A201" s="1120"/>
      <c r="B201" s="1121" t="s">
        <v>5220</v>
      </c>
      <c r="C201" s="1122" t="s">
        <v>5221</v>
      </c>
      <c r="D201" s="1122" t="s">
        <v>5107</v>
      </c>
    </row>
  </sheetData>
  <sheetProtection algorithmName="SHA-512" hashValue="QzywpvpRKhi9883EdTvOFw8RuvbtD6J21itgkl1/9NjPVnPncV7nopqcLs2rD0sD90LVagMRKBuBwasNSbhz1g==" saltValue="IxtuuygPfdloBCg2yqfNDg==" spinCount="100000" sheet="1" objects="1" scenarios="1" autoFilter="0"/>
  <mergeCells count="1">
    <mergeCell ref="A69:D69"/>
  </mergeCells>
  <hyperlinks>
    <hyperlink ref="C1" location="Index!A1" display="Office of the State Controller" xr:uid="{00000000-0004-0000-5700-000000000000}"/>
  </hyperlinks>
  <pageMargins left="0.7" right="0.7" top="0.75" bottom="0.75" header="0.3" footer="0.3"/>
  <pageSetup scale="60" orientation="portrait" horizontalDpi="1200" verticalDpi="1200" r:id="rId1"/>
  <rowBreaks count="3" manualBreakCount="3">
    <brk id="66" max="16383" man="1"/>
    <brk id="104" max="16383" man="1"/>
    <brk id="143"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tabColor rgb="FFFF0000"/>
    <pageSetUpPr fitToPage="1"/>
  </sheetPr>
  <dimension ref="A1:J64"/>
  <sheetViews>
    <sheetView workbookViewId="0">
      <selection activeCell="Q15" sqref="Q15"/>
    </sheetView>
  </sheetViews>
  <sheetFormatPr defaultColWidth="9.42578125" defaultRowHeight="12.75" x14ac:dyDescent="0.2"/>
  <cols>
    <col min="1" max="1" width="38.5703125" style="436" customWidth="1"/>
    <col min="2" max="2" width="11" style="435" customWidth="1"/>
    <col min="3" max="3" width="9.5703125" style="435" customWidth="1"/>
    <col min="4" max="5" width="12.42578125" style="435" customWidth="1"/>
    <col min="6" max="16384" width="9.42578125" style="436"/>
  </cols>
  <sheetData>
    <row r="1" spans="1:10" ht="15.75" x14ac:dyDescent="0.25">
      <c r="A1" s="3007" t="str">
        <f>+Index!$A$1</f>
        <v xml:space="preserve">                                                               Office of the State Controller                                                                </v>
      </c>
      <c r="B1" s="3007"/>
      <c r="C1" s="3007"/>
      <c r="D1" s="3007"/>
      <c r="E1" s="3007"/>
      <c r="F1" s="462"/>
      <c r="G1" s="462"/>
      <c r="H1" s="462"/>
      <c r="I1" s="462"/>
      <c r="J1" s="462"/>
    </row>
    <row r="2" spans="1:10" ht="15.75" x14ac:dyDescent="0.25">
      <c r="A2" s="3008" t="s">
        <v>5222</v>
      </c>
      <c r="B2" s="2383"/>
      <c r="C2" s="2383"/>
      <c r="D2" s="2383"/>
      <c r="E2" s="2383"/>
    </row>
    <row r="3" spans="1:10" x14ac:dyDescent="0.2">
      <c r="A3" s="436" t="s">
        <v>5223</v>
      </c>
    </row>
    <row r="4" spans="1:10" ht="25.5" x14ac:dyDescent="0.2">
      <c r="A4" s="439" t="s">
        <v>750</v>
      </c>
      <c r="B4" s="440" t="s">
        <v>5224</v>
      </c>
      <c r="C4" s="440" t="s">
        <v>5225</v>
      </c>
      <c r="D4" s="440" t="s">
        <v>5226</v>
      </c>
      <c r="E4" s="440" t="s">
        <v>5227</v>
      </c>
    </row>
    <row r="5" spans="1:10" x14ac:dyDescent="0.2">
      <c r="A5" s="437" t="s">
        <v>394</v>
      </c>
      <c r="B5" s="438" t="s">
        <v>5228</v>
      </c>
      <c r="C5" s="438" t="s">
        <v>5228</v>
      </c>
      <c r="D5" s="438" t="s">
        <v>5229</v>
      </c>
      <c r="E5" s="438" t="s">
        <v>5230</v>
      </c>
    </row>
    <row r="6" spans="1:10" x14ac:dyDescent="0.2">
      <c r="A6" s="437" t="s">
        <v>5231</v>
      </c>
      <c r="B6" s="438" t="s">
        <v>5232</v>
      </c>
      <c r="C6" s="438" t="s">
        <v>5233</v>
      </c>
      <c r="D6" s="438" t="s">
        <v>5229</v>
      </c>
      <c r="E6" s="438" t="s">
        <v>5230</v>
      </c>
    </row>
    <row r="7" spans="1:10" x14ac:dyDescent="0.2">
      <c r="A7" s="437" t="s">
        <v>5234</v>
      </c>
      <c r="B7" s="438" t="s">
        <v>5235</v>
      </c>
      <c r="C7" s="438" t="s">
        <v>5236</v>
      </c>
      <c r="D7" s="438" t="s">
        <v>5229</v>
      </c>
      <c r="E7" s="438">
        <v>1113</v>
      </c>
    </row>
    <row r="8" spans="1:10" x14ac:dyDescent="0.2">
      <c r="A8" s="437" t="s">
        <v>5234</v>
      </c>
      <c r="B8" s="438" t="s">
        <v>5235</v>
      </c>
      <c r="C8" s="438" t="s">
        <v>5236</v>
      </c>
      <c r="D8" s="438">
        <v>1114</v>
      </c>
      <c r="E8" s="438">
        <v>1114</v>
      </c>
    </row>
    <row r="9" spans="1:10" x14ac:dyDescent="0.2">
      <c r="A9" s="437" t="s">
        <v>394</v>
      </c>
      <c r="B9" s="438" t="s">
        <v>5235</v>
      </c>
      <c r="C9" s="438" t="s">
        <v>5236</v>
      </c>
      <c r="D9" s="438">
        <v>1115</v>
      </c>
      <c r="E9" s="438">
        <v>1121</v>
      </c>
    </row>
    <row r="10" spans="1:10" x14ac:dyDescent="0.2">
      <c r="A10" s="437" t="s">
        <v>5237</v>
      </c>
      <c r="B10" s="438" t="s">
        <v>5235</v>
      </c>
      <c r="C10" s="438" t="s">
        <v>5236</v>
      </c>
      <c r="D10" s="438">
        <v>1122</v>
      </c>
      <c r="E10" s="438">
        <v>1122</v>
      </c>
    </row>
    <row r="11" spans="1:10" x14ac:dyDescent="0.2">
      <c r="A11" s="437" t="s">
        <v>394</v>
      </c>
      <c r="B11" s="438" t="s">
        <v>5235</v>
      </c>
      <c r="C11" s="438" t="s">
        <v>5236</v>
      </c>
      <c r="D11" s="438">
        <v>1123</v>
      </c>
      <c r="E11" s="438" t="s">
        <v>5238</v>
      </c>
    </row>
    <row r="12" spans="1:10" x14ac:dyDescent="0.2">
      <c r="A12" s="437" t="s">
        <v>5239</v>
      </c>
      <c r="B12" s="438" t="s">
        <v>5235</v>
      </c>
      <c r="C12" s="438" t="s">
        <v>5236</v>
      </c>
      <c r="D12" s="438">
        <v>1400</v>
      </c>
      <c r="E12" s="438">
        <v>1499</v>
      </c>
    </row>
    <row r="13" spans="1:10" x14ac:dyDescent="0.2">
      <c r="A13" s="437" t="s">
        <v>394</v>
      </c>
      <c r="B13" s="438" t="s">
        <v>5235</v>
      </c>
      <c r="C13" s="438" t="s">
        <v>5236</v>
      </c>
      <c r="D13" s="438">
        <v>1500</v>
      </c>
      <c r="E13" s="438" t="s">
        <v>5240</v>
      </c>
    </row>
    <row r="14" spans="1:10" x14ac:dyDescent="0.2">
      <c r="A14" s="437" t="s">
        <v>394</v>
      </c>
      <c r="B14" s="438" t="s">
        <v>5241</v>
      </c>
      <c r="C14" s="438" t="s">
        <v>5241</v>
      </c>
      <c r="D14" s="438" t="s">
        <v>5229</v>
      </c>
      <c r="E14" s="438" t="s">
        <v>5230</v>
      </c>
    </row>
    <row r="15" spans="1:10" x14ac:dyDescent="0.2">
      <c r="A15" s="437" t="s">
        <v>394</v>
      </c>
      <c r="B15" s="438" t="s">
        <v>5242</v>
      </c>
      <c r="C15" s="438" t="s">
        <v>5243</v>
      </c>
      <c r="D15" s="438" t="s">
        <v>5229</v>
      </c>
      <c r="E15" s="438" t="s">
        <v>5230</v>
      </c>
    </row>
    <row r="16" spans="1:10" x14ac:dyDescent="0.2">
      <c r="A16" s="437" t="s">
        <v>394</v>
      </c>
      <c r="B16" s="438" t="s">
        <v>5244</v>
      </c>
      <c r="C16" s="438" t="s">
        <v>5244</v>
      </c>
      <c r="D16" s="438" t="s">
        <v>5229</v>
      </c>
      <c r="E16" s="438" t="s">
        <v>5230</v>
      </c>
    </row>
    <row r="17" spans="1:5" x14ac:dyDescent="0.2">
      <c r="A17" s="437" t="s">
        <v>394</v>
      </c>
      <c r="B17" s="438" t="s">
        <v>5245</v>
      </c>
      <c r="C17" s="438" t="s">
        <v>5246</v>
      </c>
      <c r="D17" s="438" t="s">
        <v>5229</v>
      </c>
      <c r="E17" s="438">
        <v>1111</v>
      </c>
    </row>
    <row r="18" spans="1:5" x14ac:dyDescent="0.2">
      <c r="A18" s="437" t="s">
        <v>394</v>
      </c>
      <c r="B18" s="438" t="s">
        <v>5245</v>
      </c>
      <c r="C18" s="438" t="s">
        <v>5246</v>
      </c>
      <c r="D18" s="438">
        <v>1113</v>
      </c>
      <c r="E18" s="438">
        <v>1122</v>
      </c>
    </row>
    <row r="19" spans="1:5" x14ac:dyDescent="0.2">
      <c r="A19" s="437" t="s">
        <v>5247</v>
      </c>
      <c r="B19" s="438" t="s">
        <v>5245</v>
      </c>
      <c r="C19" s="438" t="s">
        <v>5246</v>
      </c>
      <c r="D19" s="438">
        <v>1123</v>
      </c>
      <c r="E19" s="438">
        <v>1123</v>
      </c>
    </row>
    <row r="20" spans="1:5" x14ac:dyDescent="0.2">
      <c r="A20" s="437" t="s">
        <v>394</v>
      </c>
      <c r="B20" s="438" t="s">
        <v>5245</v>
      </c>
      <c r="C20" s="438" t="s">
        <v>5246</v>
      </c>
      <c r="D20" s="438">
        <v>1124</v>
      </c>
      <c r="E20" s="438">
        <v>1391</v>
      </c>
    </row>
    <row r="21" spans="1:5" x14ac:dyDescent="0.2">
      <c r="A21" s="437" t="s">
        <v>5248</v>
      </c>
      <c r="B21" s="438" t="s">
        <v>5245</v>
      </c>
      <c r="C21" s="438" t="s">
        <v>5246</v>
      </c>
      <c r="D21" s="438">
        <v>1394</v>
      </c>
      <c r="E21" s="438">
        <v>1394</v>
      </c>
    </row>
    <row r="22" spans="1:5" x14ac:dyDescent="0.2">
      <c r="A22" s="437" t="s">
        <v>394</v>
      </c>
      <c r="B22" s="438" t="s">
        <v>5245</v>
      </c>
      <c r="C22" s="438" t="s">
        <v>5246</v>
      </c>
      <c r="D22" s="438">
        <v>1395</v>
      </c>
      <c r="E22" s="438">
        <v>1398</v>
      </c>
    </row>
    <row r="23" spans="1:5" x14ac:dyDescent="0.2">
      <c r="A23" s="437" t="s">
        <v>394</v>
      </c>
      <c r="B23" s="438" t="s">
        <v>5249</v>
      </c>
      <c r="C23" s="438" t="s">
        <v>5250</v>
      </c>
      <c r="D23" s="438">
        <v>1100</v>
      </c>
      <c r="E23" s="438">
        <v>1106</v>
      </c>
    </row>
    <row r="24" spans="1:5" x14ac:dyDescent="0.2">
      <c r="A24" s="437" t="s">
        <v>394</v>
      </c>
      <c r="B24" s="438" t="s">
        <v>5250</v>
      </c>
      <c r="C24" s="438" t="s">
        <v>5250</v>
      </c>
      <c r="D24" s="438">
        <v>1300</v>
      </c>
      <c r="E24" s="438">
        <v>1361</v>
      </c>
    </row>
    <row r="25" spans="1:5" x14ac:dyDescent="0.2">
      <c r="A25" s="437" t="s">
        <v>5247</v>
      </c>
      <c r="B25" s="438" t="s">
        <v>5250</v>
      </c>
      <c r="C25" s="438" t="s">
        <v>5250</v>
      </c>
      <c r="D25" s="438">
        <v>1362</v>
      </c>
      <c r="E25" s="438">
        <v>1362</v>
      </c>
    </row>
    <row r="26" spans="1:5" ht="12" customHeight="1" x14ac:dyDescent="0.2">
      <c r="A26" s="437" t="s">
        <v>394</v>
      </c>
      <c r="B26" s="438" t="s">
        <v>5250</v>
      </c>
      <c r="C26" s="438" t="s">
        <v>5250</v>
      </c>
      <c r="D26" s="438">
        <v>1363</v>
      </c>
      <c r="E26" s="438">
        <v>1365</v>
      </c>
    </row>
    <row r="27" spans="1:5" x14ac:dyDescent="0.2">
      <c r="A27" s="437" t="s">
        <v>827</v>
      </c>
      <c r="B27" s="438" t="s">
        <v>5250</v>
      </c>
      <c r="C27" s="438" t="s">
        <v>5250</v>
      </c>
      <c r="D27" s="438">
        <v>1371</v>
      </c>
      <c r="E27" s="438">
        <v>1371</v>
      </c>
    </row>
    <row r="28" spans="1:5" x14ac:dyDescent="0.2">
      <c r="A28" s="437" t="s">
        <v>394</v>
      </c>
      <c r="B28" s="438" t="s">
        <v>5250</v>
      </c>
      <c r="C28" s="438" t="s">
        <v>5250</v>
      </c>
      <c r="D28" s="438">
        <v>1372</v>
      </c>
      <c r="E28" s="438">
        <v>1398</v>
      </c>
    </row>
    <row r="29" spans="1:5" x14ac:dyDescent="0.2">
      <c r="A29" s="437" t="s">
        <v>394</v>
      </c>
      <c r="B29" s="438" t="s">
        <v>5245</v>
      </c>
      <c r="C29" s="438" t="s">
        <v>5250</v>
      </c>
      <c r="D29" s="438">
        <v>1400</v>
      </c>
      <c r="E29" s="438">
        <v>1499</v>
      </c>
    </row>
    <row r="30" spans="1:5" x14ac:dyDescent="0.2">
      <c r="A30" s="437" t="s">
        <v>5234</v>
      </c>
      <c r="B30" s="438" t="s">
        <v>5251</v>
      </c>
      <c r="C30" s="438" t="s">
        <v>5252</v>
      </c>
      <c r="D30" s="438" t="s">
        <v>5229</v>
      </c>
      <c r="E30" s="438" t="s">
        <v>5230</v>
      </c>
    </row>
    <row r="31" spans="1:5" x14ac:dyDescent="0.2">
      <c r="A31" s="437" t="s">
        <v>5231</v>
      </c>
      <c r="B31" s="438" t="s">
        <v>5253</v>
      </c>
      <c r="C31" s="438" t="s">
        <v>5253</v>
      </c>
      <c r="D31" s="438" t="s">
        <v>5229</v>
      </c>
      <c r="E31" s="438" t="s">
        <v>5230</v>
      </c>
    </row>
    <row r="32" spans="1:5" x14ac:dyDescent="0.2">
      <c r="A32" s="437" t="s">
        <v>456</v>
      </c>
      <c r="B32" s="438" t="s">
        <v>5254</v>
      </c>
      <c r="C32" s="438" t="s">
        <v>5255</v>
      </c>
      <c r="D32" s="438" t="s">
        <v>5229</v>
      </c>
      <c r="E32" s="438" t="s">
        <v>5230</v>
      </c>
    </row>
    <row r="33" spans="1:5" x14ac:dyDescent="0.2">
      <c r="A33" s="437" t="s">
        <v>5231</v>
      </c>
      <c r="B33" s="438" t="s">
        <v>5256</v>
      </c>
      <c r="C33" s="438" t="s">
        <v>5257</v>
      </c>
      <c r="D33" s="438" t="s">
        <v>5229</v>
      </c>
      <c r="E33" s="438" t="s">
        <v>5230</v>
      </c>
    </row>
    <row r="34" spans="1:5" x14ac:dyDescent="0.2">
      <c r="A34" s="437" t="s">
        <v>5231</v>
      </c>
      <c r="B34" s="438" t="s">
        <v>5258</v>
      </c>
      <c r="C34" s="438" t="s">
        <v>5259</v>
      </c>
      <c r="D34" s="438" t="s">
        <v>5229</v>
      </c>
      <c r="E34" s="438" t="s">
        <v>5230</v>
      </c>
    </row>
    <row r="35" spans="1:5" x14ac:dyDescent="0.2">
      <c r="A35" s="437" t="s">
        <v>394</v>
      </c>
      <c r="B35" s="438" t="s">
        <v>5260</v>
      </c>
      <c r="C35" s="438" t="s">
        <v>5261</v>
      </c>
      <c r="D35" s="438" t="s">
        <v>5229</v>
      </c>
      <c r="E35" s="438">
        <v>1326</v>
      </c>
    </row>
    <row r="36" spans="1:5" x14ac:dyDescent="0.2">
      <c r="A36" s="437" t="s">
        <v>5247</v>
      </c>
      <c r="B36" s="438">
        <v>134</v>
      </c>
      <c r="C36" s="438" t="s">
        <v>5261</v>
      </c>
      <c r="D36" s="438">
        <v>1330</v>
      </c>
      <c r="E36" s="438">
        <v>1330</v>
      </c>
    </row>
    <row r="37" spans="1:5" x14ac:dyDescent="0.2">
      <c r="A37" s="437" t="s">
        <v>394</v>
      </c>
      <c r="B37" s="438" t="s">
        <v>5260</v>
      </c>
      <c r="C37" s="438" t="s">
        <v>5261</v>
      </c>
      <c r="D37" s="438">
        <v>1335</v>
      </c>
      <c r="E37" s="438">
        <v>1398</v>
      </c>
    </row>
    <row r="38" spans="1:5" x14ac:dyDescent="0.2">
      <c r="A38" s="437" t="s">
        <v>5239</v>
      </c>
      <c r="B38" s="438">
        <v>130</v>
      </c>
      <c r="C38" s="438">
        <v>134</v>
      </c>
      <c r="D38" s="438">
        <v>1400</v>
      </c>
      <c r="E38" s="438">
        <v>1499</v>
      </c>
    </row>
    <row r="39" spans="1:5" x14ac:dyDescent="0.2">
      <c r="A39" s="437" t="s">
        <v>394</v>
      </c>
      <c r="B39" s="438" t="s">
        <v>5262</v>
      </c>
      <c r="C39" s="438" t="s">
        <v>5262</v>
      </c>
      <c r="D39" s="438" t="s">
        <v>5229</v>
      </c>
      <c r="E39" s="438" t="s">
        <v>5230</v>
      </c>
    </row>
    <row r="40" spans="1:5" x14ac:dyDescent="0.2">
      <c r="A40" s="437" t="s">
        <v>5234</v>
      </c>
      <c r="B40" s="438" t="s">
        <v>5263</v>
      </c>
      <c r="C40" s="438" t="s">
        <v>5264</v>
      </c>
      <c r="D40" s="438" t="s">
        <v>5229</v>
      </c>
      <c r="E40" s="438" t="s">
        <v>5230</v>
      </c>
    </row>
    <row r="41" spans="1:5" x14ac:dyDescent="0.2">
      <c r="A41" s="437" t="s">
        <v>5247</v>
      </c>
      <c r="B41" s="438" t="s">
        <v>5265</v>
      </c>
      <c r="C41" s="438" t="s">
        <v>5266</v>
      </c>
      <c r="D41" s="438" t="s">
        <v>5229</v>
      </c>
      <c r="E41" s="438" t="s">
        <v>5230</v>
      </c>
    </row>
    <row r="42" spans="1:5" x14ac:dyDescent="0.2">
      <c r="A42" s="437" t="s">
        <v>5247</v>
      </c>
      <c r="B42" s="438" t="s">
        <v>5267</v>
      </c>
      <c r="C42" s="438" t="s">
        <v>5267</v>
      </c>
      <c r="D42" s="438" t="s">
        <v>5229</v>
      </c>
      <c r="E42" s="438" t="s">
        <v>5230</v>
      </c>
    </row>
    <row r="43" spans="1:5" x14ac:dyDescent="0.2">
      <c r="A43" s="437" t="s">
        <v>5231</v>
      </c>
      <c r="B43" s="438" t="s">
        <v>5268</v>
      </c>
      <c r="C43" s="438" t="s">
        <v>5269</v>
      </c>
      <c r="D43" s="438" t="s">
        <v>5229</v>
      </c>
      <c r="E43" s="438" t="s">
        <v>5230</v>
      </c>
    </row>
    <row r="44" spans="1:5" x14ac:dyDescent="0.2">
      <c r="A44" s="437" t="s">
        <v>5237</v>
      </c>
      <c r="B44" s="438" t="s">
        <v>5270</v>
      </c>
      <c r="C44" s="438" t="s">
        <v>5271</v>
      </c>
      <c r="D44" s="438" t="s">
        <v>5229</v>
      </c>
      <c r="E44" s="438" t="s">
        <v>5230</v>
      </c>
    </row>
    <row r="45" spans="1:5" x14ac:dyDescent="0.2">
      <c r="A45" s="437" t="s">
        <v>394</v>
      </c>
      <c r="B45" s="438">
        <v>400</v>
      </c>
      <c r="C45" s="438">
        <v>400</v>
      </c>
      <c r="D45" s="438" t="s">
        <v>5229</v>
      </c>
      <c r="E45" s="438" t="s">
        <v>5230</v>
      </c>
    </row>
    <row r="46" spans="1:5" x14ac:dyDescent="0.2">
      <c r="A46" s="437" t="s">
        <v>394</v>
      </c>
      <c r="B46" s="438" t="s">
        <v>5272</v>
      </c>
      <c r="C46" s="438" t="s">
        <v>5272</v>
      </c>
      <c r="D46" s="438" t="s">
        <v>5229</v>
      </c>
      <c r="E46" s="438" t="s">
        <v>5273</v>
      </c>
    </row>
    <row r="47" spans="1:5" x14ac:dyDescent="0.2">
      <c r="A47" s="437" t="s">
        <v>5237</v>
      </c>
      <c r="B47" s="438" t="s">
        <v>5272</v>
      </c>
      <c r="C47" s="438" t="s">
        <v>5272</v>
      </c>
      <c r="D47" s="438" t="s">
        <v>5274</v>
      </c>
      <c r="E47" s="438" t="s">
        <v>5274</v>
      </c>
    </row>
    <row r="48" spans="1:5" x14ac:dyDescent="0.2">
      <c r="A48" s="437" t="s">
        <v>394</v>
      </c>
      <c r="B48" s="438" t="s">
        <v>5272</v>
      </c>
      <c r="C48" s="438" t="s">
        <v>5272</v>
      </c>
      <c r="D48" s="438" t="s">
        <v>5275</v>
      </c>
      <c r="E48" s="438" t="s">
        <v>5276</v>
      </c>
    </row>
    <row r="49" spans="1:5" x14ac:dyDescent="0.2">
      <c r="A49" s="437" t="s">
        <v>5231</v>
      </c>
      <c r="B49" s="438" t="s">
        <v>5272</v>
      </c>
      <c r="C49" s="438" t="s">
        <v>5272</v>
      </c>
      <c r="D49" s="438" t="s">
        <v>5277</v>
      </c>
      <c r="E49" s="438" t="s">
        <v>5277</v>
      </c>
    </row>
    <row r="50" spans="1:5" x14ac:dyDescent="0.2">
      <c r="A50" s="437" t="s">
        <v>394</v>
      </c>
      <c r="B50" s="438" t="s">
        <v>5272</v>
      </c>
      <c r="C50" s="438" t="s">
        <v>5272</v>
      </c>
      <c r="D50" s="438" t="s">
        <v>5278</v>
      </c>
      <c r="E50" s="438" t="s">
        <v>5230</v>
      </c>
    </row>
    <row r="51" spans="1:5" ht="14.25" customHeight="1" x14ac:dyDescent="0.2">
      <c r="A51" s="437" t="s">
        <v>395</v>
      </c>
      <c r="B51" s="438" t="s">
        <v>5279</v>
      </c>
      <c r="C51" s="438" t="s">
        <v>5280</v>
      </c>
      <c r="D51" s="438" t="s">
        <v>5229</v>
      </c>
      <c r="E51" s="438" t="s">
        <v>5230</v>
      </c>
    </row>
    <row r="52" spans="1:5" x14ac:dyDescent="0.2">
      <c r="A52" s="437" t="s">
        <v>394</v>
      </c>
      <c r="B52" s="438" t="s">
        <v>5281</v>
      </c>
      <c r="C52" s="438" t="s">
        <v>5282</v>
      </c>
      <c r="D52" s="438" t="s">
        <v>5229</v>
      </c>
      <c r="E52" s="438" t="s">
        <v>5230</v>
      </c>
    </row>
    <row r="53" spans="1:5" x14ac:dyDescent="0.2">
      <c r="A53" s="437" t="s">
        <v>5247</v>
      </c>
      <c r="B53" s="438" t="s">
        <v>5283</v>
      </c>
      <c r="C53" s="438" t="s">
        <v>5284</v>
      </c>
      <c r="D53" s="438" t="s">
        <v>5229</v>
      </c>
      <c r="E53" s="438" t="s">
        <v>5230</v>
      </c>
    </row>
    <row r="54" spans="1:5" x14ac:dyDescent="0.2">
      <c r="A54" s="437" t="s">
        <v>434</v>
      </c>
      <c r="B54" s="438" t="s">
        <v>5285</v>
      </c>
      <c r="C54" s="438" t="s">
        <v>5285</v>
      </c>
      <c r="D54" s="438" t="s">
        <v>5229</v>
      </c>
      <c r="E54" s="438">
        <v>1398</v>
      </c>
    </row>
    <row r="55" spans="1:5" x14ac:dyDescent="0.2">
      <c r="A55" s="437" t="s">
        <v>5239</v>
      </c>
      <c r="B55" s="438" t="s">
        <v>5285</v>
      </c>
      <c r="C55" s="438" t="s">
        <v>5285</v>
      </c>
      <c r="D55" s="438">
        <v>1400</v>
      </c>
      <c r="E55" s="438">
        <v>1499</v>
      </c>
    </row>
    <row r="56" spans="1:5" x14ac:dyDescent="0.2">
      <c r="A56" s="437" t="s">
        <v>5231</v>
      </c>
      <c r="B56" s="2012">
        <v>520</v>
      </c>
      <c r="C56" s="2012">
        <v>520</v>
      </c>
      <c r="D56" s="2012">
        <v>1100</v>
      </c>
      <c r="E56" s="438" t="s">
        <v>5286</v>
      </c>
    </row>
    <row r="57" spans="1:5" x14ac:dyDescent="0.2">
      <c r="A57" s="437" t="s">
        <v>394</v>
      </c>
      <c r="B57" s="438" t="s">
        <v>5287</v>
      </c>
      <c r="C57" s="438" t="s">
        <v>5288</v>
      </c>
      <c r="D57" s="438" t="s">
        <v>5229</v>
      </c>
      <c r="E57" s="438" t="s">
        <v>5230</v>
      </c>
    </row>
    <row r="58" spans="1:5" x14ac:dyDescent="0.2">
      <c r="A58" s="437" t="s">
        <v>394</v>
      </c>
      <c r="B58" s="438" t="s">
        <v>5289</v>
      </c>
      <c r="C58" s="438" t="s">
        <v>5289</v>
      </c>
      <c r="D58" s="438" t="s">
        <v>5229</v>
      </c>
      <c r="E58" s="438" t="s">
        <v>5230</v>
      </c>
    </row>
    <row r="59" spans="1:5" x14ac:dyDescent="0.2">
      <c r="A59" s="437" t="s">
        <v>5234</v>
      </c>
      <c r="B59" s="438" t="s">
        <v>5290</v>
      </c>
      <c r="C59" s="438" t="s">
        <v>5290</v>
      </c>
      <c r="D59" s="438" t="s">
        <v>5229</v>
      </c>
      <c r="E59" s="438" t="s">
        <v>5230</v>
      </c>
    </row>
    <row r="60" spans="1:5" x14ac:dyDescent="0.2">
      <c r="A60" s="437" t="s">
        <v>394</v>
      </c>
      <c r="B60" s="438" t="s">
        <v>5291</v>
      </c>
      <c r="C60" s="438" t="s">
        <v>5291</v>
      </c>
      <c r="D60" s="438" t="s">
        <v>5229</v>
      </c>
      <c r="E60" s="438" t="s">
        <v>5292</v>
      </c>
    </row>
    <row r="61" spans="1:5" x14ac:dyDescent="0.2">
      <c r="A61" s="437" t="s">
        <v>5234</v>
      </c>
      <c r="B61" s="438" t="s">
        <v>5293</v>
      </c>
      <c r="C61" s="438" t="s">
        <v>5294</v>
      </c>
      <c r="D61" s="438" t="s">
        <v>5229</v>
      </c>
      <c r="E61" s="438" t="s">
        <v>5230</v>
      </c>
    </row>
    <row r="63" spans="1:5" x14ac:dyDescent="0.2">
      <c r="A63" s="888" t="s">
        <v>5295</v>
      </c>
    </row>
    <row r="64" spans="1:5" x14ac:dyDescent="0.2">
      <c r="A64" s="888" t="s">
        <v>5296</v>
      </c>
    </row>
  </sheetData>
  <sheetProtection algorithmName="SHA-512" hashValue="4QJKZjAXWh1GeBsIwrIY11G7odKMS6v5fMggkjoucFk7GcU+U6XBy5hSi3CtRP2JgEPZkdekj6CCpKWhdWFuCA==" saltValue="KM3MNBVBu2MpYaMGYFNIVg==" spinCount="100000" sheet="1" objects="1" scenarios="1" autoFilter="0"/>
  <customSheetViews>
    <customSheetView guid="{9FCFC836-1CA5-48BF-958D-24D2EA94B219}">
      <selection sqref="A1:E1"/>
      <pageMargins left="0" right="0" top="0" bottom="0" header="0" footer="0"/>
      <pageSetup orientation="portrait" r:id="rId1"/>
    </customSheetView>
    <customSheetView guid="{B08879A4-635B-4C39-9937-AC7883D562FC}">
      <selection sqref="A1:E1"/>
      <pageMargins left="0" right="0" top="0" bottom="0" header="0" footer="0"/>
      <pageSetup orientation="portrait" r:id="rId2"/>
    </customSheetView>
  </customSheetViews>
  <mergeCells count="2">
    <mergeCell ref="A1:E1"/>
    <mergeCell ref="A2:E2"/>
  </mergeCells>
  <phoneticPr fontId="95" type="noConversion"/>
  <hyperlinks>
    <hyperlink ref="A1:I1" location="Index!A1" display="Index!A1" xr:uid="{00000000-0004-0000-5800-000000000000}"/>
  </hyperlinks>
  <pageMargins left="0.7" right="0.7" top="0.5" bottom="0.5" header="0.3" footer="0.3"/>
  <pageSetup scale="90" orientation="portrait" r:id="rId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tabColor rgb="FFFFFF00"/>
  </sheetPr>
  <dimension ref="A1:L48"/>
  <sheetViews>
    <sheetView zoomScaleNormal="100" workbookViewId="0">
      <selection activeCell="C15" sqref="C15"/>
    </sheetView>
  </sheetViews>
  <sheetFormatPr defaultColWidth="9.42578125" defaultRowHeight="12.75" x14ac:dyDescent="0.2"/>
  <cols>
    <col min="1" max="1" width="10" style="591" customWidth="1"/>
    <col min="2" max="2" width="43.5703125" style="591" customWidth="1"/>
    <col min="3" max="3" width="21.5703125" style="591" customWidth="1"/>
    <col min="4" max="4" width="13" style="591" customWidth="1"/>
    <col min="5" max="5" width="11" style="591" customWidth="1"/>
    <col min="6" max="6" width="10" style="591" customWidth="1"/>
    <col min="7" max="7" width="4" style="591" customWidth="1"/>
    <col min="8" max="8" width="9.42578125" style="591"/>
    <col min="9" max="9" width="22.140625" style="925" customWidth="1"/>
    <col min="10" max="10" width="9.42578125" style="591"/>
    <col min="11" max="11" width="19.85546875" style="591" customWidth="1"/>
    <col min="12" max="12" width="14.42578125" style="591" customWidth="1"/>
    <col min="13" max="16384" width="9.42578125" style="591"/>
  </cols>
  <sheetData>
    <row r="1" spans="1:12" x14ac:dyDescent="0.2">
      <c r="B1" s="692" t="s">
        <v>5297</v>
      </c>
      <c r="C1" s="774"/>
      <c r="I1" s="1370"/>
    </row>
    <row r="2" spans="1:12" ht="12.75" customHeight="1" x14ac:dyDescent="0.2">
      <c r="B2" s="612" t="s">
        <v>5298</v>
      </c>
      <c r="C2" s="612"/>
      <c r="I2" s="1370"/>
    </row>
    <row r="3" spans="1:12" ht="51" customHeight="1" x14ac:dyDescent="0.2">
      <c r="A3" s="588" t="s">
        <v>5299</v>
      </c>
      <c r="B3" s="590" t="s">
        <v>5300</v>
      </c>
      <c r="C3" s="589" t="s">
        <v>5301</v>
      </c>
      <c r="D3" s="590" t="s">
        <v>5302</v>
      </c>
      <c r="E3" s="738" t="s">
        <v>5303</v>
      </c>
      <c r="F3" s="590"/>
      <c r="G3" s="590"/>
      <c r="I3" s="1370"/>
    </row>
    <row r="4" spans="1:12" ht="13.5" customHeight="1" x14ac:dyDescent="0.2">
      <c r="A4" s="588"/>
      <c r="B4" s="590"/>
      <c r="C4" s="590"/>
      <c r="D4" s="590"/>
      <c r="F4" s="590"/>
      <c r="G4" s="590"/>
      <c r="I4" s="1370"/>
    </row>
    <row r="5" spans="1:12" ht="15.75" x14ac:dyDescent="0.25">
      <c r="A5" s="602" t="s">
        <v>4588</v>
      </c>
      <c r="B5" s="593" t="s">
        <v>5304</v>
      </c>
      <c r="C5" s="2019">
        <f>PriorYr905!E259</f>
        <v>2586929488.8099999</v>
      </c>
      <c r="D5" s="595" t="s">
        <v>4601</v>
      </c>
      <c r="E5" s="612" t="s">
        <v>5305</v>
      </c>
      <c r="F5" s="594" t="str">
        <f>IF(SUM(C6:C14)=C5,"ok","Problem: sum of net position for the 48 entities should equal 48X net position")</f>
        <v>ok</v>
      </c>
      <c r="I5" s="1370"/>
    </row>
    <row r="6" spans="1:12" ht="15.75" x14ac:dyDescent="0.25">
      <c r="A6" s="614" t="s">
        <v>4590</v>
      </c>
      <c r="B6" s="595" t="s">
        <v>4615</v>
      </c>
      <c r="C6" s="594">
        <f>PriorYr905!F259</f>
        <v>1251877019.8299999</v>
      </c>
      <c r="D6" s="595" t="s">
        <v>4602</v>
      </c>
      <c r="E6" s="612" t="s">
        <v>5305</v>
      </c>
      <c r="F6" s="594"/>
      <c r="I6" s="1370"/>
    </row>
    <row r="7" spans="1:12" ht="15.75" x14ac:dyDescent="0.25">
      <c r="A7" s="602" t="s">
        <v>4591</v>
      </c>
      <c r="B7" s="595" t="s">
        <v>5012</v>
      </c>
      <c r="C7" s="594">
        <f>PriorYr905!G259</f>
        <v>165095146.65000001</v>
      </c>
      <c r="D7" s="596">
        <v>2635</v>
      </c>
      <c r="E7" s="612" t="s">
        <v>5305</v>
      </c>
      <c r="F7" s="594"/>
      <c r="I7" s="1370"/>
    </row>
    <row r="8" spans="1:12" ht="15.75" x14ac:dyDescent="0.25">
      <c r="A8" s="602" t="s">
        <v>4592</v>
      </c>
      <c r="B8" s="595" t="s">
        <v>5013</v>
      </c>
      <c r="C8" s="594">
        <f>PriorYr905!H259</f>
        <v>27173156</v>
      </c>
      <c r="D8" s="596">
        <v>2632</v>
      </c>
      <c r="E8" s="612" t="s">
        <v>5305</v>
      </c>
      <c r="F8" s="594"/>
      <c r="I8" s="1370"/>
    </row>
    <row r="9" spans="1:12" ht="15.75" x14ac:dyDescent="0.25">
      <c r="A9" s="602" t="s">
        <v>4593</v>
      </c>
      <c r="B9" s="595" t="s">
        <v>5014</v>
      </c>
      <c r="C9" s="594">
        <f>PriorYr905!I259</f>
        <v>1004993015.99</v>
      </c>
      <c r="D9" s="596">
        <v>2637</v>
      </c>
      <c r="E9" s="612" t="s">
        <v>5305</v>
      </c>
      <c r="F9" s="594"/>
      <c r="I9" s="1370"/>
    </row>
    <row r="10" spans="1:12" ht="15.75" x14ac:dyDescent="0.25">
      <c r="A10" s="602" t="s">
        <v>4594</v>
      </c>
      <c r="B10" s="595" t="s">
        <v>5015</v>
      </c>
      <c r="C10" s="594">
        <f>PriorYr905!J259</f>
        <v>-2305104.1800000002</v>
      </c>
      <c r="D10" s="596">
        <v>2638</v>
      </c>
      <c r="E10" s="612" t="s">
        <v>5305</v>
      </c>
      <c r="F10" s="594"/>
      <c r="I10" s="1370"/>
    </row>
    <row r="11" spans="1:12" ht="15.75" x14ac:dyDescent="0.25">
      <c r="A11" s="602" t="s">
        <v>4595</v>
      </c>
      <c r="B11" s="595" t="s">
        <v>5306</v>
      </c>
      <c r="C11" s="594">
        <f>PriorYr905!K259</f>
        <v>51946496.740000002</v>
      </c>
      <c r="D11" s="596">
        <v>2639</v>
      </c>
      <c r="E11" s="612" t="s">
        <v>5305</v>
      </c>
      <c r="F11" s="594"/>
      <c r="I11" s="1370"/>
    </row>
    <row r="12" spans="1:12" ht="15.75" x14ac:dyDescent="0.25">
      <c r="A12" s="602" t="s">
        <v>4598</v>
      </c>
      <c r="B12" s="595" t="s">
        <v>5307</v>
      </c>
      <c r="C12" s="594">
        <f>PriorYr905!L259</f>
        <v>0</v>
      </c>
      <c r="D12" s="595" t="s">
        <v>4601</v>
      </c>
      <c r="E12" s="612" t="s">
        <v>5305</v>
      </c>
      <c r="F12" s="594"/>
      <c r="I12" s="1370"/>
    </row>
    <row r="13" spans="1:12" ht="15.75" x14ac:dyDescent="0.25">
      <c r="A13" s="602" t="s">
        <v>4596</v>
      </c>
      <c r="B13" s="595" t="s">
        <v>5017</v>
      </c>
      <c r="C13" s="594">
        <f>PriorYr905!M259</f>
        <v>11127369.91</v>
      </c>
      <c r="D13" s="595" t="s">
        <v>4601</v>
      </c>
      <c r="E13" s="612" t="s">
        <v>5305</v>
      </c>
      <c r="F13" s="594"/>
      <c r="I13" s="1370"/>
    </row>
    <row r="14" spans="1:12" ht="15.75" x14ac:dyDescent="0.25">
      <c r="A14" s="602" t="s">
        <v>4597</v>
      </c>
      <c r="B14" s="595" t="s">
        <v>5308</v>
      </c>
      <c r="C14" s="594">
        <f>PriorYr905!N259</f>
        <v>77022387.870000005</v>
      </c>
      <c r="D14" s="595" t="s">
        <v>4601</v>
      </c>
      <c r="E14" s="612" t="s">
        <v>5305</v>
      </c>
      <c r="F14" s="594"/>
      <c r="I14" s="1370"/>
    </row>
    <row r="15" spans="1:12" ht="15.75" x14ac:dyDescent="0.25">
      <c r="A15" s="613" t="s">
        <v>5032</v>
      </c>
      <c r="B15" s="595" t="s">
        <v>5033</v>
      </c>
      <c r="C15" s="2019">
        <v>85961236.840000004</v>
      </c>
      <c r="D15" s="595" t="s">
        <v>1940</v>
      </c>
      <c r="E15" s="612" t="s">
        <v>5309</v>
      </c>
      <c r="F15" s="1206" t="s">
        <v>5310</v>
      </c>
      <c r="I15" s="1370"/>
      <c r="K15" s="2016"/>
      <c r="L15" s="2016"/>
    </row>
    <row r="16" spans="1:12" ht="15.75" x14ac:dyDescent="0.25">
      <c r="A16" s="602" t="s">
        <v>5040</v>
      </c>
      <c r="B16" s="595" t="s">
        <v>5041</v>
      </c>
      <c r="C16" s="2019">
        <f>PriorYr905!O259</f>
        <v>182847921.52000001</v>
      </c>
      <c r="D16" s="595" t="s">
        <v>1940</v>
      </c>
      <c r="E16" s="612" t="s">
        <v>5305</v>
      </c>
      <c r="F16" s="594"/>
      <c r="I16" s="1370"/>
    </row>
    <row r="17" spans="1:6" ht="15.75" x14ac:dyDescent="0.25">
      <c r="A17" s="602" t="s">
        <v>5042</v>
      </c>
      <c r="B17" s="595" t="s">
        <v>5043</v>
      </c>
      <c r="C17" s="2019">
        <f>PriorYr905!P259</f>
        <v>3956990610.2600002</v>
      </c>
      <c r="D17" s="595" t="s">
        <v>1940</v>
      </c>
      <c r="E17" s="612" t="s">
        <v>5305</v>
      </c>
      <c r="F17" s="594"/>
    </row>
    <row r="18" spans="1:6" ht="15.75" x14ac:dyDescent="0.25">
      <c r="A18" s="602" t="s">
        <v>5044</v>
      </c>
      <c r="B18" s="595" t="s">
        <v>5045</v>
      </c>
      <c r="C18" s="2019">
        <f>PriorYr905!Q259</f>
        <v>1290012726.8499999</v>
      </c>
      <c r="D18" s="595" t="s">
        <v>1940</v>
      </c>
      <c r="E18" s="612" t="s">
        <v>5305</v>
      </c>
      <c r="F18" s="594"/>
    </row>
    <row r="19" spans="1:6" ht="15.75" x14ac:dyDescent="0.25">
      <c r="A19" s="602" t="s">
        <v>5046</v>
      </c>
      <c r="B19" s="595" t="s">
        <v>5047</v>
      </c>
      <c r="C19" s="2019">
        <f>PriorYr905!R259</f>
        <v>712329959.47000003</v>
      </c>
      <c r="D19" s="595" t="s">
        <v>1940</v>
      </c>
      <c r="E19" s="612" t="s">
        <v>5305</v>
      </c>
      <c r="F19" s="594"/>
    </row>
    <row r="20" spans="1:6" ht="15.75" x14ac:dyDescent="0.25">
      <c r="A20" s="602" t="s">
        <v>5048</v>
      </c>
      <c r="B20" s="595" t="s">
        <v>5049</v>
      </c>
      <c r="C20" s="2019">
        <f>PriorYr905!S259</f>
        <v>958221315.57000005</v>
      </c>
      <c r="D20" s="595" t="s">
        <v>1940</v>
      </c>
      <c r="E20" s="612" t="s">
        <v>5305</v>
      </c>
      <c r="F20" s="594"/>
    </row>
    <row r="21" spans="1:6" ht="15.75" x14ac:dyDescent="0.25">
      <c r="A21" s="602" t="s">
        <v>5050</v>
      </c>
      <c r="B21" s="595" t="s">
        <v>5051</v>
      </c>
      <c r="C21" s="2019">
        <f>PriorYr905!T259</f>
        <v>124565369.40000001</v>
      </c>
      <c r="D21" s="595" t="s">
        <v>1940</v>
      </c>
      <c r="E21" s="612" t="s">
        <v>5305</v>
      </c>
      <c r="F21" s="594"/>
    </row>
    <row r="22" spans="1:6" ht="15.75" x14ac:dyDescent="0.25">
      <c r="A22" s="602" t="s">
        <v>5052</v>
      </c>
      <c r="B22" s="595" t="s">
        <v>5053</v>
      </c>
      <c r="C22" s="2019">
        <f>PriorYr905!U259</f>
        <v>501961243.30000001</v>
      </c>
      <c r="D22" s="595" t="s">
        <v>1940</v>
      </c>
      <c r="E22" s="612" t="s">
        <v>5305</v>
      </c>
      <c r="F22" s="594"/>
    </row>
    <row r="23" spans="1:6" ht="15.75" x14ac:dyDescent="0.25">
      <c r="A23" s="602" t="s">
        <v>5054</v>
      </c>
      <c r="B23" s="595" t="s">
        <v>5055</v>
      </c>
      <c r="C23" s="2019">
        <f>PriorYr905!V259</f>
        <v>395239801.85000002</v>
      </c>
      <c r="D23" s="595" t="s">
        <v>1940</v>
      </c>
      <c r="E23" s="612" t="s">
        <v>5305</v>
      </c>
      <c r="F23" s="594"/>
    </row>
    <row r="24" spans="1:6" ht="15.75" x14ac:dyDescent="0.25">
      <c r="A24" s="602" t="s">
        <v>5056</v>
      </c>
      <c r="B24" s="595" t="s">
        <v>5057</v>
      </c>
      <c r="C24" s="2019">
        <f>PriorYr905!W259</f>
        <v>504314819.99000001</v>
      </c>
      <c r="D24" s="595" t="s">
        <v>1940</v>
      </c>
      <c r="E24" s="612" t="s">
        <v>5305</v>
      </c>
      <c r="F24" s="594"/>
    </row>
    <row r="25" spans="1:6" ht="15.75" x14ac:dyDescent="0.25">
      <c r="A25" s="602" t="s">
        <v>5058</v>
      </c>
      <c r="B25" s="595" t="s">
        <v>5059</v>
      </c>
      <c r="C25" s="2019">
        <f>PriorYr905!X259</f>
        <v>517138905.52999997</v>
      </c>
      <c r="D25" s="595" t="s">
        <v>1940</v>
      </c>
      <c r="E25" s="612" t="s">
        <v>5305</v>
      </c>
      <c r="F25" s="594"/>
    </row>
    <row r="26" spans="1:6" ht="15.75" x14ac:dyDescent="0.25">
      <c r="A26" s="602" t="s">
        <v>5060</v>
      </c>
      <c r="B26" s="595" t="s">
        <v>5061</v>
      </c>
      <c r="C26" s="2019">
        <f>PriorYr905!Y259</f>
        <v>462565194.05000001</v>
      </c>
      <c r="D26" s="595" t="s">
        <v>1940</v>
      </c>
      <c r="E26" s="612" t="s">
        <v>5305</v>
      </c>
      <c r="F26" s="594"/>
    </row>
    <row r="27" spans="1:6" ht="15.75" x14ac:dyDescent="0.25">
      <c r="A27" s="602" t="s">
        <v>5062</v>
      </c>
      <c r="B27" s="595" t="s">
        <v>5063</v>
      </c>
      <c r="C27" s="2019">
        <f>PriorYr905!Z259</f>
        <v>134250195.46000001</v>
      </c>
      <c r="D27" s="595" t="s">
        <v>1940</v>
      </c>
      <c r="E27" s="612" t="s">
        <v>5305</v>
      </c>
      <c r="F27" s="594"/>
    </row>
    <row r="28" spans="1:6" ht="15.75" x14ac:dyDescent="0.25">
      <c r="A28" s="602" t="s">
        <v>5064</v>
      </c>
      <c r="B28" s="595" t="s">
        <v>5065</v>
      </c>
      <c r="C28" s="2019">
        <f>PriorYr905!AA259</f>
        <v>138313803.61000001</v>
      </c>
      <c r="D28" s="595" t="s">
        <v>1940</v>
      </c>
      <c r="E28" s="612" t="s">
        <v>5305</v>
      </c>
      <c r="F28" s="594"/>
    </row>
    <row r="29" spans="1:6" ht="15.75" x14ac:dyDescent="0.25">
      <c r="A29" s="602" t="s">
        <v>5066</v>
      </c>
      <c r="B29" s="595" t="s">
        <v>5067</v>
      </c>
      <c r="C29" s="2019">
        <f>PriorYr905!AB259</f>
        <v>125222277.5</v>
      </c>
      <c r="D29" s="595" t="s">
        <v>1940</v>
      </c>
      <c r="E29" s="612" t="s">
        <v>5305</v>
      </c>
      <c r="F29" s="594"/>
    </row>
    <row r="30" spans="1:6" ht="15.75" x14ac:dyDescent="0.25">
      <c r="A30" s="602" t="s">
        <v>5068</v>
      </c>
      <c r="B30" s="595" t="s">
        <v>5069</v>
      </c>
      <c r="C30" s="2019">
        <f>PriorYr905!AC259</f>
        <v>77799704.400000006</v>
      </c>
      <c r="D30" s="595" t="s">
        <v>1940</v>
      </c>
      <c r="E30" s="612" t="s">
        <v>5305</v>
      </c>
      <c r="F30" s="594"/>
    </row>
    <row r="31" spans="1:6" ht="15.75" x14ac:dyDescent="0.25">
      <c r="A31" s="602" t="s">
        <v>5070</v>
      </c>
      <c r="B31" s="595" t="s">
        <v>5071</v>
      </c>
      <c r="C31" s="2019">
        <f>PriorYr905!AD259</f>
        <v>123920772.20999999</v>
      </c>
      <c r="D31" s="595" t="s">
        <v>1940</v>
      </c>
      <c r="E31" s="612" t="s">
        <v>5305</v>
      </c>
      <c r="F31" s="594"/>
    </row>
    <row r="32" spans="1:6" ht="15.75" x14ac:dyDescent="0.25">
      <c r="A32" s="602" t="s">
        <v>5072</v>
      </c>
      <c r="B32" s="595" t="s">
        <v>5073</v>
      </c>
      <c r="C32" s="2019">
        <f>PriorYr905!AE259</f>
        <v>146367826.69</v>
      </c>
      <c r="D32" s="595" t="s">
        <v>1940</v>
      </c>
      <c r="E32" s="612" t="s">
        <v>5305</v>
      </c>
      <c r="F32" s="594"/>
    </row>
    <row r="33" spans="1:12" ht="15.75" x14ac:dyDescent="0.25">
      <c r="A33" s="602" t="s">
        <v>5074</v>
      </c>
      <c r="B33" s="595" t="s">
        <v>5102</v>
      </c>
      <c r="C33" s="2019">
        <f>PriorYr905!AF259</f>
        <v>52091785.82</v>
      </c>
      <c r="D33" s="595" t="s">
        <v>1940</v>
      </c>
      <c r="E33" s="612" t="s">
        <v>5305</v>
      </c>
      <c r="F33" s="594"/>
      <c r="I33" s="1370"/>
      <c r="K33" s="612"/>
      <c r="L33" s="612"/>
    </row>
    <row r="34" spans="1:12" ht="15.75" x14ac:dyDescent="0.25">
      <c r="A34" s="731" t="s">
        <v>5029</v>
      </c>
      <c r="B34" s="595" t="s">
        <v>5030</v>
      </c>
      <c r="C34" s="727">
        <f>PriorYr905!AG259</f>
        <v>9144737.3000000007</v>
      </c>
      <c r="D34" s="596">
        <v>2517</v>
      </c>
      <c r="E34" s="612" t="s">
        <v>5305</v>
      </c>
      <c r="F34" s="594"/>
      <c r="I34" s="1370"/>
      <c r="K34" s="1370"/>
    </row>
    <row r="35" spans="1:12" ht="15.75" x14ac:dyDescent="0.25">
      <c r="A35" s="601" t="s">
        <v>4642</v>
      </c>
      <c r="B35" s="595" t="s">
        <v>5311</v>
      </c>
      <c r="C35" s="726">
        <v>1987955327.1900001</v>
      </c>
      <c r="D35" s="596">
        <v>3324</v>
      </c>
      <c r="E35" s="612" t="s">
        <v>5305</v>
      </c>
      <c r="F35" s="594" t="s">
        <v>5312</v>
      </c>
      <c r="I35" s="1348"/>
      <c r="K35" s="2020"/>
      <c r="L35" s="2020"/>
    </row>
    <row r="36" spans="1:12" ht="15.75" x14ac:dyDescent="0.25">
      <c r="A36" s="601" t="s">
        <v>4708</v>
      </c>
      <c r="B36" s="595" t="s">
        <v>4709</v>
      </c>
      <c r="C36" s="726">
        <v>14664013269.809999</v>
      </c>
      <c r="D36" s="596">
        <v>3318</v>
      </c>
      <c r="E36" s="612" t="s">
        <v>5305</v>
      </c>
      <c r="F36" s="594" t="s">
        <v>5312</v>
      </c>
      <c r="I36" s="1348"/>
    </row>
    <row r="37" spans="1:12" ht="15.75" x14ac:dyDescent="0.25">
      <c r="A37" s="592"/>
      <c r="B37" s="595"/>
      <c r="C37" s="594"/>
      <c r="D37" s="596"/>
      <c r="F37" s="594"/>
      <c r="I37" s="1370"/>
    </row>
    <row r="38" spans="1:12" ht="15.75" x14ac:dyDescent="0.25">
      <c r="A38" s="592"/>
      <c r="B38" s="595" t="s">
        <v>5313</v>
      </c>
      <c r="C38" s="594">
        <f>SUM(C6:C33)-C15</f>
        <v>12991083722.290001</v>
      </c>
      <c r="D38" s="596"/>
      <c r="F38" s="832" t="str">
        <f>IF((C38-PriorYr905!AH192=0),"ok","problem-check PY balances")</f>
        <v>ok</v>
      </c>
      <c r="I38" s="1370"/>
    </row>
    <row r="39" spans="1:12" ht="15.75" x14ac:dyDescent="0.25">
      <c r="A39" s="603" t="s">
        <v>5314</v>
      </c>
      <c r="B39" s="595" t="s">
        <v>5315</v>
      </c>
      <c r="C39" s="600">
        <f>SUM(C6:C33)</f>
        <v>13077044959.129999</v>
      </c>
      <c r="D39" s="596"/>
      <c r="F39" s="594" t="s">
        <v>5316</v>
      </c>
      <c r="I39" s="1370"/>
    </row>
    <row r="40" spans="1:12" ht="15.75" x14ac:dyDescent="0.25">
      <c r="C40" s="597"/>
      <c r="F40" s="594" t="s">
        <v>5317</v>
      </c>
      <c r="I40" s="1370"/>
    </row>
    <row r="41" spans="1:12" ht="29.25" customHeight="1" x14ac:dyDescent="0.2">
      <c r="B41" s="3009" t="s">
        <v>5318</v>
      </c>
      <c r="C41" s="3009"/>
      <c r="D41" s="3009"/>
      <c r="E41" s="3009"/>
      <c r="I41" s="1370"/>
      <c r="K41" s="612"/>
    </row>
    <row r="42" spans="1:12" x14ac:dyDescent="0.2">
      <c r="C42" s="597"/>
      <c r="I42" s="1370"/>
      <c r="K42" s="1370"/>
      <c r="L42" s="2020"/>
    </row>
    <row r="43" spans="1:12" x14ac:dyDescent="0.2">
      <c r="A43" s="612" t="s">
        <v>5319</v>
      </c>
      <c r="C43" s="597"/>
      <c r="I43" s="1370"/>
      <c r="K43" s="1370"/>
      <c r="L43" s="2020"/>
    </row>
    <row r="44" spans="1:12" x14ac:dyDescent="0.2">
      <c r="A44" s="2015" t="s">
        <v>5320</v>
      </c>
      <c r="B44" s="2014"/>
      <c r="C44" s="597"/>
      <c r="I44" s="1370"/>
      <c r="K44" s="1370"/>
      <c r="L44" s="2020"/>
    </row>
    <row r="45" spans="1:12" x14ac:dyDescent="0.2">
      <c r="A45" s="612" t="s">
        <v>5321</v>
      </c>
      <c r="I45" s="1370"/>
      <c r="K45" s="1370"/>
      <c r="L45" s="2020"/>
    </row>
    <row r="46" spans="1:12" x14ac:dyDescent="0.2">
      <c r="A46" s="612"/>
      <c r="I46" s="1370"/>
    </row>
    <row r="47" spans="1:12" x14ac:dyDescent="0.2">
      <c r="A47" s="612"/>
      <c r="I47" s="1370"/>
    </row>
    <row r="48" spans="1:12" x14ac:dyDescent="0.2">
      <c r="A48" s="612"/>
      <c r="I48" s="1370"/>
    </row>
  </sheetData>
  <sheetProtection algorithmName="SHA-512" hashValue="fr6ZMML9YfXOqoIjDnbnIOyydbbpqZZycGTbmjBMgAT83IBjvVz7M0wjzRQRXhtcSu8pOa2E2OTuZiO9YHrsmg==" saltValue="vquz7tjk7R4Q7z9d+zBkNQ==" spinCount="100000" sheet="1" objects="1" scenarios="1" autoFilter="0"/>
  <customSheetViews>
    <customSheetView guid="{9FCFC836-1CA5-48BF-958D-24D2EA94B219}" topLeftCell="A25">
      <pageMargins left="0" right="0" top="0" bottom="0" header="0" footer="0"/>
      <printOptions headings="1"/>
      <pageSetup orientation="portrait" r:id="rId1"/>
    </customSheetView>
    <customSheetView guid="{B08879A4-635B-4C39-9937-AC7883D562FC}" topLeftCell="A25">
      <pageMargins left="0" right="0" top="0" bottom="0" header="0" footer="0"/>
      <printOptions headings="1"/>
      <pageSetup orientation="portrait" r:id="rId2"/>
    </customSheetView>
  </customSheetViews>
  <mergeCells count="1">
    <mergeCell ref="B41:E41"/>
  </mergeCells>
  <hyperlinks>
    <hyperlink ref="B1" location="Index!A1" display="NC Office of the State Controller " xr:uid="{00000000-0004-0000-5900-000000000000}"/>
  </hyperlinks>
  <printOptions headings="1" gridLines="1"/>
  <pageMargins left="0.2" right="0.2" top="0.5" bottom="0.5" header="0.3" footer="0.3"/>
  <pageSetup scale="95" orientation="portrait" r:id="rId3"/>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tabColor rgb="FFFFFF00"/>
  </sheetPr>
  <dimension ref="A1:AI350"/>
  <sheetViews>
    <sheetView zoomScale="115" zoomScaleNormal="115" workbookViewId="0">
      <pane xSplit="4" ySplit="11" topLeftCell="E180" activePane="bottomRight" state="frozen"/>
      <selection pane="topRight" sqref="A1:E1"/>
      <selection pane="bottomLeft" sqref="A1:E1"/>
      <selection pane="bottomRight" activeCell="AA298" sqref="AA298"/>
    </sheetView>
  </sheetViews>
  <sheetFormatPr defaultRowHeight="12.75" x14ac:dyDescent="0.2"/>
  <cols>
    <col min="1" max="1" width="4.42578125" customWidth="1"/>
    <col min="2" max="2" width="22" customWidth="1"/>
    <col min="3" max="3" width="18.5703125" customWidth="1"/>
    <col min="4" max="4" width="4" customWidth="1"/>
    <col min="5" max="5" width="17.5703125" customWidth="1"/>
    <col min="6" max="6" width="18.42578125" customWidth="1"/>
    <col min="7" max="8" width="16.5703125" customWidth="1"/>
    <col min="9" max="9" width="19.42578125" customWidth="1"/>
    <col min="10" max="11" width="16.5703125" customWidth="1"/>
    <col min="12" max="12" width="17.7109375" hidden="1" customWidth="1"/>
    <col min="13" max="14" width="16.5703125" customWidth="1"/>
    <col min="15" max="15" width="16.5703125" style="159" customWidth="1"/>
    <col min="16" max="16" width="17.7109375" customWidth="1"/>
    <col min="17" max="17" width="17.28515625" customWidth="1"/>
    <col min="18" max="33" width="16.5703125" customWidth="1"/>
    <col min="34" max="34" width="18.42578125" customWidth="1"/>
    <col min="35" max="35" width="17.5703125" bestFit="1" customWidth="1"/>
  </cols>
  <sheetData>
    <row r="1" spans="1:34" ht="15.75" x14ac:dyDescent="0.25">
      <c r="B1" s="2455" t="str">
        <f>+Index!$A$1</f>
        <v xml:space="preserve">                                                               Office of the State Controller                                                                </v>
      </c>
      <c r="C1" s="2455"/>
      <c r="D1" s="2455"/>
      <c r="E1" s="2455"/>
      <c r="F1" s="2455"/>
      <c r="G1" s="2455"/>
      <c r="H1" s="2455"/>
      <c r="I1" s="159"/>
      <c r="J1" s="159"/>
      <c r="K1" s="159"/>
      <c r="L1" s="159"/>
      <c r="M1" s="159"/>
      <c r="N1" s="159"/>
      <c r="P1" s="159"/>
      <c r="Q1" s="844"/>
      <c r="R1" s="159"/>
      <c r="S1" s="159"/>
      <c r="T1" s="844"/>
      <c r="U1" s="159"/>
      <c r="V1" s="159"/>
      <c r="W1" s="159"/>
      <c r="X1" s="159"/>
      <c r="Y1" s="159"/>
      <c r="Z1" s="159"/>
      <c r="AA1" s="159"/>
      <c r="AB1" s="159"/>
      <c r="AC1" s="159"/>
      <c r="AD1" s="159"/>
      <c r="AE1" s="159"/>
      <c r="AF1" s="159"/>
      <c r="AG1" s="159"/>
    </row>
    <row r="2" spans="1:34" ht="15.75" x14ac:dyDescent="0.25">
      <c r="B2" s="2439" t="str">
        <f>+Index!$A$2</f>
        <v>2023 ACFR Worksheets</v>
      </c>
      <c r="C2" s="2439"/>
      <c r="D2" s="2439"/>
      <c r="E2" s="2439"/>
      <c r="F2" s="2439"/>
      <c r="G2" s="2439"/>
      <c r="H2" s="2439"/>
      <c r="I2" s="159"/>
      <c r="J2" s="159"/>
      <c r="K2" s="159"/>
      <c r="L2" s="159"/>
      <c r="M2" s="159"/>
      <c r="N2" s="159"/>
      <c r="P2" s="159"/>
      <c r="Q2" s="159"/>
      <c r="R2" s="159"/>
      <c r="S2" s="159"/>
      <c r="T2" s="159"/>
      <c r="U2" s="159"/>
      <c r="X2" s="159"/>
      <c r="Y2" s="159"/>
      <c r="Z2" s="159"/>
      <c r="AA2" s="159"/>
      <c r="AB2" s="159"/>
      <c r="AC2" s="159"/>
      <c r="AE2" s="159"/>
      <c r="AG2" s="159"/>
    </row>
    <row r="3" spans="1:34" ht="15.75" x14ac:dyDescent="0.25">
      <c r="B3" s="2978" t="s">
        <v>5322</v>
      </c>
      <c r="C3" s="2978"/>
      <c r="D3" s="2978"/>
      <c r="E3" s="2978"/>
      <c r="F3" s="2978"/>
      <c r="G3" s="2978"/>
      <c r="H3" s="2978"/>
      <c r="K3" s="2347"/>
      <c r="L3" s="2347"/>
      <c r="M3" s="2347"/>
      <c r="N3" s="2347"/>
      <c r="P3" s="159"/>
      <c r="U3" s="159"/>
      <c r="AG3" s="159"/>
    </row>
    <row r="4" spans="1:34" x14ac:dyDescent="0.2">
      <c r="B4" s="2962" t="s">
        <v>5323</v>
      </c>
      <c r="C4" s="2962"/>
      <c r="D4" s="2962"/>
      <c r="E4" s="2962"/>
      <c r="F4" s="2962"/>
      <c r="G4" s="2962"/>
      <c r="H4" s="2962"/>
      <c r="I4" s="365"/>
      <c r="J4" s="365"/>
      <c r="K4" s="2347"/>
      <c r="L4" s="2347"/>
      <c r="M4" s="2347"/>
      <c r="N4" s="2347"/>
      <c r="P4" s="159"/>
    </row>
    <row r="5" spans="1:34" x14ac:dyDescent="0.2">
      <c r="B5" s="124" t="s">
        <v>317</v>
      </c>
      <c r="C5" s="732" t="str">
        <f>+Index!$E$10</f>
        <v>01</v>
      </c>
      <c r="E5" s="448" t="s">
        <v>319</v>
      </c>
      <c r="F5" s="2977" t="str">
        <f>+CONCATENATE(Index!$E$12," ",Index!$E$14)</f>
        <v xml:space="preserve"> </v>
      </c>
      <c r="G5" s="2977"/>
      <c r="H5" s="2977"/>
      <c r="I5" s="1998"/>
      <c r="J5" s="1998"/>
      <c r="P5" s="159"/>
    </row>
    <row r="6" spans="1:34" x14ac:dyDescent="0.2">
      <c r="B6" s="124" t="s">
        <v>318</v>
      </c>
      <c r="C6" s="2961" t="str">
        <f>+Index!$E$11</f>
        <v>North Carolina General Assembly</v>
      </c>
      <c r="D6" s="2961"/>
      <c r="E6" s="2961"/>
      <c r="F6" s="449" t="s">
        <v>71</v>
      </c>
      <c r="G6" s="3013">
        <f>+Index!$E$13</f>
        <v>0</v>
      </c>
      <c r="H6" s="3013"/>
      <c r="P6" s="1021"/>
    </row>
    <row r="7" spans="1:34" ht="13.5" thickBot="1" x14ac:dyDescent="0.25">
      <c r="B7" s="733"/>
      <c r="C7" s="730"/>
      <c r="D7" s="472"/>
      <c r="E7" s="733"/>
      <c r="F7" s="733"/>
      <c r="G7" s="734"/>
      <c r="H7" s="733"/>
      <c r="L7" s="1021" t="s">
        <v>4586</v>
      </c>
      <c r="R7" s="159"/>
      <c r="S7" s="159"/>
      <c r="T7" s="159"/>
      <c r="W7" s="1021"/>
      <c r="X7" s="159"/>
      <c r="Y7" s="159"/>
      <c r="Z7" s="159"/>
      <c r="AA7" s="159"/>
      <c r="AB7" s="159"/>
      <c r="AC7" s="159"/>
      <c r="AD7" s="159"/>
      <c r="AE7" s="1021"/>
    </row>
    <row r="8" spans="1:34" x14ac:dyDescent="0.2">
      <c r="B8" s="1983"/>
      <c r="C8" s="27" t="s">
        <v>5324</v>
      </c>
      <c r="D8" s="27"/>
      <c r="E8" s="735" t="s">
        <v>4588</v>
      </c>
      <c r="F8" s="744" t="s">
        <v>4590</v>
      </c>
      <c r="G8" s="735" t="s">
        <v>4591</v>
      </c>
      <c r="H8" s="735" t="s">
        <v>4592</v>
      </c>
      <c r="I8" s="735" t="s">
        <v>4593</v>
      </c>
      <c r="J8" s="735" t="s">
        <v>4594</v>
      </c>
      <c r="K8" s="735" t="s">
        <v>4595</v>
      </c>
      <c r="L8" s="735" t="s">
        <v>4598</v>
      </c>
      <c r="M8" s="1330" t="s">
        <v>4596</v>
      </c>
      <c r="N8" s="735" t="s">
        <v>4597</v>
      </c>
      <c r="O8" s="1330" t="s">
        <v>5040</v>
      </c>
      <c r="P8" s="735" t="s">
        <v>5042</v>
      </c>
      <c r="Q8" s="735" t="s">
        <v>5044</v>
      </c>
      <c r="R8" s="735" t="s">
        <v>5046</v>
      </c>
      <c r="S8" s="735" t="s">
        <v>5048</v>
      </c>
      <c r="T8" s="735" t="s">
        <v>5050</v>
      </c>
      <c r="U8" s="735" t="s">
        <v>5052</v>
      </c>
      <c r="V8" s="735" t="s">
        <v>5054</v>
      </c>
      <c r="W8" s="735" t="s">
        <v>5056</v>
      </c>
      <c r="X8" s="735" t="s">
        <v>5058</v>
      </c>
      <c r="Y8" s="735" t="s">
        <v>5060</v>
      </c>
      <c r="Z8" s="735" t="s">
        <v>5062</v>
      </c>
      <c r="AA8" s="735" t="s">
        <v>5064</v>
      </c>
      <c r="AB8" s="735" t="s">
        <v>5066</v>
      </c>
      <c r="AC8" s="735" t="s">
        <v>5068</v>
      </c>
      <c r="AD8" s="735" t="s">
        <v>5070</v>
      </c>
      <c r="AE8" s="735" t="s">
        <v>5072</v>
      </c>
      <c r="AF8" s="735" t="s">
        <v>5074</v>
      </c>
      <c r="AG8" s="745" t="s">
        <v>5029</v>
      </c>
    </row>
    <row r="9" spans="1:34" x14ac:dyDescent="0.2">
      <c r="C9" t="s">
        <v>5325</v>
      </c>
      <c r="E9" s="2246" t="s">
        <v>4604</v>
      </c>
      <c r="F9" s="2246" t="s">
        <v>4610</v>
      </c>
      <c r="G9" s="2246" t="s">
        <v>5326</v>
      </c>
      <c r="H9" s="2246" t="s">
        <v>5326</v>
      </c>
      <c r="I9" s="2246" t="s">
        <v>4608</v>
      </c>
      <c r="J9" s="2246" t="s">
        <v>5327</v>
      </c>
      <c r="K9" s="2246" t="s">
        <v>5328</v>
      </c>
      <c r="L9" s="2246" t="s">
        <v>4613</v>
      </c>
      <c r="M9" s="2246" t="s">
        <v>5329</v>
      </c>
      <c r="N9" s="2246" t="s">
        <v>4612</v>
      </c>
      <c r="O9" s="2246" t="s">
        <v>5330</v>
      </c>
      <c r="P9" s="2246" t="s">
        <v>5331</v>
      </c>
      <c r="Q9" s="2246" t="s">
        <v>5332</v>
      </c>
      <c r="R9" s="2246" t="s">
        <v>5331</v>
      </c>
      <c r="S9" s="2246" t="s">
        <v>5331</v>
      </c>
      <c r="T9" s="2246" t="s">
        <v>5331</v>
      </c>
      <c r="U9" s="2246" t="s">
        <v>5331</v>
      </c>
      <c r="V9" s="2246" t="s">
        <v>5333</v>
      </c>
      <c r="W9" s="2246" t="s">
        <v>5334</v>
      </c>
      <c r="X9" s="2246" t="s">
        <v>5335</v>
      </c>
      <c r="Y9" s="2246" t="s">
        <v>5336</v>
      </c>
      <c r="Z9" s="2246" t="s">
        <v>5331</v>
      </c>
      <c r="AA9" s="2246" t="s">
        <v>5337</v>
      </c>
      <c r="AB9" s="2246" t="s">
        <v>5338</v>
      </c>
      <c r="AC9" s="2246" t="s">
        <v>5339</v>
      </c>
      <c r="AD9" s="2246" t="s">
        <v>5340</v>
      </c>
      <c r="AE9" s="2246" t="s">
        <v>5341</v>
      </c>
      <c r="AF9" s="2246" t="s">
        <v>5342</v>
      </c>
      <c r="AG9" s="2246" t="s">
        <v>5343</v>
      </c>
    </row>
    <row r="10" spans="1:34" x14ac:dyDescent="0.2">
      <c r="B10" s="2377" t="s">
        <v>5344</v>
      </c>
      <c r="E10" s="2246" t="s">
        <v>5345</v>
      </c>
      <c r="F10" s="2246" t="s">
        <v>5346</v>
      </c>
      <c r="G10" s="2246" t="s">
        <v>5347</v>
      </c>
      <c r="H10" s="2246" t="s">
        <v>5348</v>
      </c>
      <c r="I10" s="2246" t="s">
        <v>4618</v>
      </c>
      <c r="J10" s="2246" t="s">
        <v>4619</v>
      </c>
      <c r="K10" s="2246" t="s">
        <v>5349</v>
      </c>
      <c r="L10" s="2246" t="s">
        <v>5350</v>
      </c>
      <c r="M10" s="2246" t="s">
        <v>4621</v>
      </c>
      <c r="N10" s="2246" t="s">
        <v>4622</v>
      </c>
      <c r="O10" s="2246" t="s">
        <v>5351</v>
      </c>
      <c r="P10" s="2246" t="s">
        <v>5352</v>
      </c>
      <c r="Q10" s="2246" t="s">
        <v>5353</v>
      </c>
      <c r="R10" s="2246" t="s">
        <v>5354</v>
      </c>
      <c r="S10" s="2246" t="s">
        <v>5355</v>
      </c>
      <c r="T10" s="2246" t="s">
        <v>5356</v>
      </c>
      <c r="U10" s="2246" t="s">
        <v>5357</v>
      </c>
      <c r="V10" s="2246" t="s">
        <v>5358</v>
      </c>
      <c r="W10" s="2246" t="s">
        <v>5359</v>
      </c>
      <c r="X10" s="2246" t="s">
        <v>5358</v>
      </c>
      <c r="Y10" s="2246" t="s">
        <v>5359</v>
      </c>
      <c r="Z10" s="2246" t="s">
        <v>5360</v>
      </c>
      <c r="AA10" s="2246" t="s">
        <v>5359</v>
      </c>
      <c r="AB10" s="2246" t="s">
        <v>5359</v>
      </c>
      <c r="AC10" s="2246" t="s">
        <v>5359</v>
      </c>
      <c r="AD10" s="2246" t="s">
        <v>5353</v>
      </c>
      <c r="AE10" s="2246" t="s">
        <v>5361</v>
      </c>
      <c r="AF10" s="2246" t="s">
        <v>5362</v>
      </c>
      <c r="AG10" s="2246" t="s">
        <v>5363</v>
      </c>
    </row>
    <row r="11" spans="1:34" x14ac:dyDescent="0.2">
      <c r="B11" s="2377" t="s">
        <v>2621</v>
      </c>
      <c r="E11" s="636" t="str">
        <f>TEXT(Data!$A$4,"mmmm d,yyyy")</f>
        <v>June 30,2022</v>
      </c>
      <c r="F11" s="636" t="str">
        <f>TEXT(Data!$A$4,"mmmm d,yyyy")</f>
        <v>June 30,2022</v>
      </c>
      <c r="G11" s="636" t="str">
        <f>TEXT(Data!$A$4,"mmmm d,yyyy")</f>
        <v>June 30,2022</v>
      </c>
      <c r="H11" s="636" t="str">
        <f>TEXT(Data!$A$4,"mmmm d,yyyy")</f>
        <v>June 30,2022</v>
      </c>
      <c r="I11" s="636" t="str">
        <f>TEXT(Data!$A$4,"mmmm d,yyyy")</f>
        <v>June 30,2022</v>
      </c>
      <c r="J11" s="636" t="str">
        <f>TEXT(Data!$A$4,"mmmm d,yyyy")</f>
        <v>June 30,2022</v>
      </c>
      <c r="K11" s="636" t="str">
        <f>TEXT(Data!$A$4,"mmmm d,yyyy")</f>
        <v>June 30,2022</v>
      </c>
      <c r="L11" s="636" t="str">
        <f>TEXT(Data!$A$4,"mmmm d,yyyy")</f>
        <v>June 30,2022</v>
      </c>
      <c r="M11" s="636" t="str">
        <f>TEXT(Data!$A$4,"mmmm d,yyyy")</f>
        <v>June 30,2022</v>
      </c>
      <c r="N11" s="636" t="str">
        <f>TEXT(Data!$A$4,"mmmm d,yyyy")</f>
        <v>June 30,2022</v>
      </c>
      <c r="O11" s="636" t="str">
        <f>TEXT(Data!$A$4,"mmmm d,yyyy")</f>
        <v>June 30,2022</v>
      </c>
      <c r="P11" s="636" t="str">
        <f>TEXT(Data!$A$4,"mmmm d,yyyy")</f>
        <v>June 30,2022</v>
      </c>
      <c r="Q11" s="636" t="str">
        <f>TEXT(Data!$A$4,"mmmm d,yyyy")</f>
        <v>June 30,2022</v>
      </c>
      <c r="R11" s="636" t="str">
        <f>TEXT(Data!$A$4,"mmmm d,yyyy")</f>
        <v>June 30,2022</v>
      </c>
      <c r="S11" s="636" t="str">
        <f>TEXT(Data!$A$4,"mmmm d,yyyy")</f>
        <v>June 30,2022</v>
      </c>
      <c r="T11" s="636" t="str">
        <f>TEXT(Data!$A$4,"mmmm d,yyyy")</f>
        <v>June 30,2022</v>
      </c>
      <c r="U11" s="636" t="str">
        <f>TEXT(Data!$A$4,"mmmm d,yyyy")</f>
        <v>June 30,2022</v>
      </c>
      <c r="V11" s="636" t="str">
        <f>TEXT(Data!$A$4,"mmmm d,yyyy")</f>
        <v>June 30,2022</v>
      </c>
      <c r="W11" s="636" t="str">
        <f>TEXT(Data!$A$4,"mmmm d,yyyy")</f>
        <v>June 30,2022</v>
      </c>
      <c r="X11" s="636" t="str">
        <f>TEXT(Data!$A$4,"mmmm d,yyyy")</f>
        <v>June 30,2022</v>
      </c>
      <c r="Y11" s="636" t="str">
        <f>TEXT(Data!$A$4,"mmmm d,yyyy")</f>
        <v>June 30,2022</v>
      </c>
      <c r="Z11" s="636" t="str">
        <f>TEXT(Data!$A$4,"mmmm d,yyyy")</f>
        <v>June 30,2022</v>
      </c>
      <c r="AA11" s="636" t="str">
        <f>TEXT(Data!$A$4,"mmmm d,yyyy")</f>
        <v>June 30,2022</v>
      </c>
      <c r="AB11" s="636" t="str">
        <f>TEXT(Data!$A$4,"mmmm d,yyyy")</f>
        <v>June 30,2022</v>
      </c>
      <c r="AC11" s="636" t="str">
        <f>TEXT(Data!$A$4,"mmmm d,yyyy")</f>
        <v>June 30,2022</v>
      </c>
      <c r="AD11" s="636" t="str">
        <f>TEXT(Data!$A$4,"mmmm d,yyyy")</f>
        <v>June 30,2022</v>
      </c>
      <c r="AE11" s="636" t="str">
        <f>TEXT(Data!$A$4,"mmmm d,yyyy")</f>
        <v>June 30,2022</v>
      </c>
      <c r="AF11" s="636" t="str">
        <f>TEXT(Data!$A$4,"mmmm d,yyyy")</f>
        <v>June 30,2022</v>
      </c>
      <c r="AG11" s="636" t="str">
        <f>TEXT(Data!$A$4,"mmmm d,yyyy")</f>
        <v>June 30,2022</v>
      </c>
    </row>
    <row r="12" spans="1:34" x14ac:dyDescent="0.2">
      <c r="B12" s="234" t="s">
        <v>2623</v>
      </c>
      <c r="C12" s="234"/>
    </row>
    <row r="13" spans="1:34" x14ac:dyDescent="0.2">
      <c r="A13" s="191">
        <v>1000</v>
      </c>
      <c r="B13" s="2881" t="s">
        <v>2624</v>
      </c>
      <c r="C13" s="2881"/>
      <c r="D13" t="str">
        <f>IF(SUM(F13:N13)=E13,"OK","prob")</f>
        <v>OK</v>
      </c>
      <c r="E13" s="366">
        <v>383814581.19999999</v>
      </c>
      <c r="F13" s="365">
        <v>12284901.189999999</v>
      </c>
      <c r="G13" s="365">
        <v>141699464</v>
      </c>
      <c r="H13" s="365">
        <v>0</v>
      </c>
      <c r="I13" s="365">
        <v>155835385.31</v>
      </c>
      <c r="J13" s="365">
        <v>-3058622.82</v>
      </c>
      <c r="K13" s="365">
        <v>53536611.270000003</v>
      </c>
      <c r="M13" s="365">
        <v>7007431.4199999999</v>
      </c>
      <c r="N13" s="365">
        <v>16509410.83</v>
      </c>
      <c r="O13" s="366">
        <v>1957011.9</v>
      </c>
      <c r="P13" s="366">
        <v>123001489.77</v>
      </c>
      <c r="Q13" s="366">
        <v>181920</v>
      </c>
      <c r="R13" s="366">
        <v>6255591</v>
      </c>
      <c r="S13" s="366">
        <v>478810.56</v>
      </c>
      <c r="T13" s="366">
        <v>12936.12</v>
      </c>
      <c r="U13" s="366">
        <v>130532.84</v>
      </c>
      <c r="V13" s="366">
        <v>197219.98</v>
      </c>
      <c r="W13" s="366">
        <v>8299</v>
      </c>
      <c r="X13" s="366">
        <v>34130</v>
      </c>
      <c r="Y13" s="366">
        <v>7391036.6399999997</v>
      </c>
      <c r="Z13" s="366">
        <v>8757.43</v>
      </c>
      <c r="AA13" s="366">
        <v>0</v>
      </c>
      <c r="AB13" s="366">
        <v>0</v>
      </c>
      <c r="AC13" s="366">
        <v>7338820.5999999996</v>
      </c>
      <c r="AD13" s="366">
        <v>2400</v>
      </c>
      <c r="AE13" s="366">
        <v>720.7</v>
      </c>
      <c r="AF13" s="366">
        <v>1584107.6</v>
      </c>
      <c r="AG13" s="366">
        <v>5043274.43</v>
      </c>
    </row>
    <row r="14" spans="1:34" x14ac:dyDescent="0.2">
      <c r="A14" s="191">
        <v>1010</v>
      </c>
      <c r="B14" s="2881" t="s">
        <v>1527</v>
      </c>
      <c r="C14" s="2881"/>
      <c r="D14" t="str">
        <f>IF(SUM(F14:N14)-E14=0,"OK","prob")</f>
        <v>OK</v>
      </c>
      <c r="E14" s="365">
        <v>114137204.52</v>
      </c>
      <c r="F14" s="365">
        <v>107872797.52</v>
      </c>
      <c r="G14" s="365">
        <v>0</v>
      </c>
      <c r="H14" s="365">
        <v>6264407</v>
      </c>
      <c r="I14" s="365">
        <v>0</v>
      </c>
      <c r="J14" s="365">
        <v>0</v>
      </c>
      <c r="K14" s="365">
        <v>0</v>
      </c>
      <c r="L14" s="365"/>
      <c r="M14" s="365">
        <v>0</v>
      </c>
      <c r="N14" s="365">
        <v>0</v>
      </c>
      <c r="O14" s="1213">
        <v>13513128.24</v>
      </c>
      <c r="P14" s="1213">
        <v>711872270.07000005</v>
      </c>
      <c r="Q14" s="1213">
        <v>195601666.49000001</v>
      </c>
      <c r="R14" s="1213">
        <v>147990596.91999999</v>
      </c>
      <c r="S14" s="1213">
        <v>423512910.80000001</v>
      </c>
      <c r="T14" s="1213">
        <v>24974543.140000001</v>
      </c>
      <c r="U14" s="1213">
        <v>149614642.34</v>
      </c>
      <c r="V14" s="1213">
        <v>317611937.50999999</v>
      </c>
      <c r="W14" s="1213">
        <v>150383949.13999999</v>
      </c>
      <c r="X14" s="1213">
        <v>149545120.91</v>
      </c>
      <c r="Y14" s="1213">
        <v>142344988.40000001</v>
      </c>
      <c r="Z14" s="1213">
        <v>29866204.920000002</v>
      </c>
      <c r="AA14" s="1213">
        <v>58585983.729999997</v>
      </c>
      <c r="AB14" s="1213">
        <v>20174075.949999999</v>
      </c>
      <c r="AC14" s="1213">
        <v>4514686.2300000004</v>
      </c>
      <c r="AD14" s="1213">
        <v>25224228.190000001</v>
      </c>
      <c r="AE14" s="1213">
        <v>27555586.199999999</v>
      </c>
      <c r="AF14" s="1213">
        <v>0</v>
      </c>
      <c r="AG14" s="365">
        <v>0</v>
      </c>
    </row>
    <row r="15" spans="1:34" x14ac:dyDescent="0.2">
      <c r="A15" s="191">
        <v>1050</v>
      </c>
      <c r="B15" s="2881" t="s">
        <v>2626</v>
      </c>
      <c r="C15" s="2881"/>
      <c r="D15" t="str">
        <f>IF(ROUND(SUM(F15:N15),2)-ROUND(E15,2)=0,"OK","prob")</f>
        <v>OK</v>
      </c>
      <c r="E15" s="365">
        <v>0</v>
      </c>
      <c r="F15" s="365">
        <v>0</v>
      </c>
      <c r="G15" s="365">
        <v>0</v>
      </c>
      <c r="H15" s="365">
        <v>0</v>
      </c>
      <c r="I15" s="365">
        <v>0</v>
      </c>
      <c r="J15" s="365">
        <v>0</v>
      </c>
      <c r="K15" s="365">
        <v>0</v>
      </c>
      <c r="L15" s="365"/>
      <c r="M15" s="365">
        <v>0</v>
      </c>
      <c r="N15" s="365">
        <v>0</v>
      </c>
      <c r="O15" s="1213">
        <v>0</v>
      </c>
      <c r="P15" s="2003">
        <v>467295368.64999998</v>
      </c>
      <c r="Q15" s="1213">
        <v>0</v>
      </c>
      <c r="R15" s="1213">
        <v>219667.43</v>
      </c>
      <c r="S15" s="1213">
        <v>0</v>
      </c>
      <c r="T15" s="1213">
        <v>0</v>
      </c>
      <c r="U15" s="1213">
        <v>0</v>
      </c>
      <c r="V15" s="1213">
        <v>0</v>
      </c>
      <c r="W15" s="1213">
        <v>91237</v>
      </c>
      <c r="X15" s="1213">
        <v>0</v>
      </c>
      <c r="Y15" s="1213">
        <v>0</v>
      </c>
      <c r="Z15" s="1213">
        <v>0</v>
      </c>
      <c r="AA15" s="1213">
        <v>0</v>
      </c>
      <c r="AB15" s="1213">
        <v>0</v>
      </c>
      <c r="AC15" s="1213">
        <v>0</v>
      </c>
      <c r="AD15" s="1213">
        <v>0</v>
      </c>
      <c r="AE15" s="1213">
        <v>0</v>
      </c>
      <c r="AF15" s="1213">
        <v>0</v>
      </c>
      <c r="AG15" s="365">
        <v>0</v>
      </c>
    </row>
    <row r="16" spans="1:34" x14ac:dyDescent="0.2">
      <c r="A16" s="191">
        <v>1060</v>
      </c>
      <c r="B16" s="2881" t="s">
        <v>2627</v>
      </c>
      <c r="C16" s="2881"/>
      <c r="D16" t="str">
        <f>IF(SUM(F16:N16)-E16=0,"OK","prob")</f>
        <v>OK</v>
      </c>
      <c r="E16" s="365">
        <v>0</v>
      </c>
      <c r="F16" s="365">
        <v>0</v>
      </c>
      <c r="G16" s="365">
        <v>0</v>
      </c>
      <c r="H16" s="365">
        <v>0</v>
      </c>
      <c r="I16" s="365">
        <v>0</v>
      </c>
      <c r="J16" s="365">
        <v>0</v>
      </c>
      <c r="K16" s="365">
        <v>0</v>
      </c>
      <c r="L16" s="365"/>
      <c r="M16" s="365">
        <v>0</v>
      </c>
      <c r="N16" s="365">
        <v>0</v>
      </c>
      <c r="O16" s="1213">
        <v>0</v>
      </c>
      <c r="P16" s="1213">
        <v>0</v>
      </c>
      <c r="Q16" s="1213">
        <v>0</v>
      </c>
      <c r="R16" s="1213">
        <v>0</v>
      </c>
      <c r="S16" s="1213">
        <v>0</v>
      </c>
      <c r="T16" s="1213">
        <v>0</v>
      </c>
      <c r="U16" s="1213">
        <v>0</v>
      </c>
      <c r="V16" s="1213">
        <v>0</v>
      </c>
      <c r="W16" s="1213">
        <v>0</v>
      </c>
      <c r="X16" s="1213">
        <v>0</v>
      </c>
      <c r="Y16" s="1213">
        <v>0</v>
      </c>
      <c r="Z16" s="1213">
        <v>0</v>
      </c>
      <c r="AA16" s="1213">
        <v>0</v>
      </c>
      <c r="AB16" s="1213">
        <v>0</v>
      </c>
      <c r="AC16" s="1213">
        <v>0</v>
      </c>
      <c r="AD16" s="1213">
        <v>0</v>
      </c>
      <c r="AE16" s="1213">
        <v>0</v>
      </c>
      <c r="AF16" s="1213">
        <v>0</v>
      </c>
      <c r="AG16" s="233">
        <v>0</v>
      </c>
      <c r="AH16" s="236"/>
    </row>
    <row r="17" spans="1:35" x14ac:dyDescent="0.2">
      <c r="A17" s="191">
        <v>1090</v>
      </c>
      <c r="B17" s="2881" t="s">
        <v>2930</v>
      </c>
      <c r="C17" s="2881"/>
      <c r="D17" t="str">
        <f>IF(SUM(F17:N17)-E17=0,"OK","prob")</f>
        <v>OK</v>
      </c>
      <c r="E17" s="365">
        <v>0</v>
      </c>
      <c r="F17" s="365">
        <v>0</v>
      </c>
      <c r="G17" s="365">
        <v>0</v>
      </c>
      <c r="H17" s="365">
        <v>0</v>
      </c>
      <c r="I17" s="365">
        <v>0</v>
      </c>
      <c r="J17" s="365">
        <v>0</v>
      </c>
      <c r="K17" s="365">
        <v>0</v>
      </c>
      <c r="L17" s="365"/>
      <c r="M17" s="365">
        <v>0</v>
      </c>
      <c r="N17" s="365">
        <v>0</v>
      </c>
      <c r="O17" s="1213">
        <v>0</v>
      </c>
      <c r="P17" s="1213">
        <v>0</v>
      </c>
      <c r="Q17" s="1213">
        <v>0</v>
      </c>
      <c r="R17" s="1213">
        <v>0</v>
      </c>
      <c r="S17" s="1213">
        <v>0</v>
      </c>
      <c r="T17" s="1213">
        <v>0</v>
      </c>
      <c r="U17" s="1213">
        <v>0</v>
      </c>
      <c r="V17" s="1213">
        <v>0</v>
      </c>
      <c r="W17" s="1213">
        <v>0</v>
      </c>
      <c r="X17" s="1213">
        <v>0</v>
      </c>
      <c r="Y17" s="1213">
        <v>0</v>
      </c>
      <c r="Z17" s="1213">
        <v>0</v>
      </c>
      <c r="AA17" s="1213">
        <v>0</v>
      </c>
      <c r="AB17" s="1213">
        <v>0</v>
      </c>
      <c r="AC17" s="1213">
        <v>0</v>
      </c>
      <c r="AD17" s="1213">
        <v>0</v>
      </c>
      <c r="AE17" s="1213">
        <v>0</v>
      </c>
      <c r="AF17" s="1213">
        <v>0</v>
      </c>
      <c r="AG17" s="233">
        <v>0</v>
      </c>
      <c r="AH17" s="236"/>
    </row>
    <row r="18" spans="1:35" x14ac:dyDescent="0.2">
      <c r="A18" s="191"/>
      <c r="B18" s="191" t="s">
        <v>2629</v>
      </c>
      <c r="C18" s="191"/>
      <c r="E18" s="365"/>
      <c r="F18" s="365"/>
      <c r="G18" s="365"/>
      <c r="H18" s="365"/>
      <c r="I18" s="365"/>
      <c r="J18" s="365"/>
      <c r="K18" s="365"/>
      <c r="L18" s="365"/>
      <c r="M18" s="365"/>
      <c r="N18" s="365"/>
      <c r="O18" s="1370"/>
      <c r="P18" s="1348"/>
      <c r="Q18" s="1348"/>
      <c r="R18" s="1213"/>
      <c r="S18" s="1213"/>
      <c r="T18" s="1213"/>
      <c r="U18" s="1213"/>
      <c r="V18" s="365"/>
      <c r="W18" s="365"/>
      <c r="X18" s="365"/>
      <c r="Y18" s="365"/>
      <c r="Z18" s="365"/>
      <c r="AA18" s="365"/>
      <c r="AB18" s="365"/>
      <c r="AC18" s="365"/>
      <c r="AD18" s="365"/>
      <c r="AE18" s="365"/>
      <c r="AF18" s="365"/>
      <c r="AG18" s="365"/>
    </row>
    <row r="19" spans="1:35" x14ac:dyDescent="0.2">
      <c r="A19" s="191">
        <v>1110</v>
      </c>
      <c r="B19" s="2987" t="s">
        <v>2630</v>
      </c>
      <c r="C19" s="2987"/>
      <c r="D19" t="str">
        <f>IF(ROUND(SUM(F19:N19),2)-ROUND(E19,2)=0,"OK","prob")</f>
        <v>OK</v>
      </c>
      <c r="E19" s="365">
        <v>538585450.85000002</v>
      </c>
      <c r="F19" s="365">
        <v>258010926.49000001</v>
      </c>
      <c r="G19" s="365">
        <v>96320478.510000005</v>
      </c>
      <c r="H19" s="365">
        <v>0</v>
      </c>
      <c r="I19" s="365">
        <v>150167823.49000001</v>
      </c>
      <c r="J19" s="365">
        <v>3754229.57</v>
      </c>
      <c r="K19" s="365">
        <v>11137987.119999999</v>
      </c>
      <c r="L19" s="365"/>
      <c r="M19" s="365">
        <v>6731410.5599999996</v>
      </c>
      <c r="N19" s="365">
        <v>12462595.109999999</v>
      </c>
      <c r="O19" s="1213">
        <v>6217238.7000000002</v>
      </c>
      <c r="P19" s="1213">
        <v>179289426.49000001</v>
      </c>
      <c r="Q19" s="1213">
        <v>62751748.890000001</v>
      </c>
      <c r="R19" s="1213">
        <v>8592577.4100000001</v>
      </c>
      <c r="S19" s="1213">
        <v>6591066.2599999998</v>
      </c>
      <c r="T19" s="1213">
        <v>1689946.94</v>
      </c>
      <c r="U19" s="1213">
        <v>8342675.29</v>
      </c>
      <c r="V19" s="1213">
        <v>46077668.789999999</v>
      </c>
      <c r="W19" s="1213">
        <v>3430279.77</v>
      </c>
      <c r="X19" s="1213">
        <v>3990530.4</v>
      </c>
      <c r="Y19" s="1213">
        <v>12039512.890000001</v>
      </c>
      <c r="Z19" s="1213">
        <v>619815.07999999996</v>
      </c>
      <c r="AA19" s="1213">
        <v>2592925.2999999998</v>
      </c>
      <c r="AB19" s="1213">
        <v>276199.8</v>
      </c>
      <c r="AC19" s="1213">
        <v>4467222.1399999997</v>
      </c>
      <c r="AD19" s="1213">
        <v>11815108.960000001</v>
      </c>
      <c r="AE19" s="1213">
        <v>64995.34</v>
      </c>
      <c r="AF19" s="1213">
        <v>472089.51</v>
      </c>
      <c r="AG19" s="365">
        <v>119819.2</v>
      </c>
      <c r="AI19" s="365">
        <f t="shared" ref="AI19:AI30" si="0">SUM(F19:AF19)</f>
        <v>897906478.80999994</v>
      </c>
    </row>
    <row r="20" spans="1:35" x14ac:dyDescent="0.2">
      <c r="A20" s="191">
        <v>1120</v>
      </c>
      <c r="B20" s="2987" t="s">
        <v>2631</v>
      </c>
      <c r="C20" s="2987"/>
      <c r="D20" t="str">
        <f>IF(SUM(F20:N20)-E20=0,"OK","prob")</f>
        <v>OK</v>
      </c>
      <c r="E20" s="365">
        <v>0</v>
      </c>
      <c r="F20" s="365">
        <v>0</v>
      </c>
      <c r="G20" s="365">
        <v>0</v>
      </c>
      <c r="H20" s="365">
        <v>0</v>
      </c>
      <c r="I20" s="365">
        <v>0</v>
      </c>
      <c r="J20" s="365">
        <v>0</v>
      </c>
      <c r="K20" s="365">
        <v>0</v>
      </c>
      <c r="L20" s="365"/>
      <c r="M20" s="365">
        <v>0</v>
      </c>
      <c r="N20" s="365">
        <v>0</v>
      </c>
      <c r="O20" s="1213">
        <v>2245563.12</v>
      </c>
      <c r="P20" s="1213">
        <v>105009877.84</v>
      </c>
      <c r="Q20" s="1213">
        <v>65076809.920000002</v>
      </c>
      <c r="R20" s="1213">
        <v>10944171.27</v>
      </c>
      <c r="S20" s="1213">
        <v>4308560.3099999996</v>
      </c>
      <c r="T20" s="1213">
        <v>106249.77</v>
      </c>
      <c r="U20" s="1213">
        <v>1286141.8500000001</v>
      </c>
      <c r="V20" s="1213">
        <v>4748328.1399999997</v>
      </c>
      <c r="W20" s="1213">
        <v>13198233.33</v>
      </c>
      <c r="X20" s="1213">
        <v>768517.62</v>
      </c>
      <c r="Y20" s="1213">
        <v>9352408.0899999999</v>
      </c>
      <c r="Z20" s="1213">
        <v>2211581.2200000002</v>
      </c>
      <c r="AA20" s="1213">
        <v>4680005.8</v>
      </c>
      <c r="AB20" s="1213">
        <v>2463171.91</v>
      </c>
      <c r="AC20" s="1213">
        <v>6455804.1500000004</v>
      </c>
      <c r="AD20" s="1213">
        <v>0</v>
      </c>
      <c r="AE20" s="1213">
        <v>0</v>
      </c>
      <c r="AF20" s="1213">
        <v>0</v>
      </c>
      <c r="AG20" s="365">
        <v>0</v>
      </c>
      <c r="AI20" s="365">
        <f t="shared" si="0"/>
        <v>232855424.34</v>
      </c>
    </row>
    <row r="21" spans="1:35" x14ac:dyDescent="0.2">
      <c r="A21" s="191">
        <v>1130</v>
      </c>
      <c r="B21" s="2987" t="s">
        <v>2632</v>
      </c>
      <c r="C21" s="2987"/>
      <c r="D21" t="str">
        <f>IF(SUM(F21:N21)-E21=0,"OK","prob")</f>
        <v>OK</v>
      </c>
      <c r="E21" s="365">
        <v>0</v>
      </c>
      <c r="F21" s="365">
        <v>0</v>
      </c>
      <c r="G21" s="365">
        <v>0</v>
      </c>
      <c r="H21" s="365">
        <v>0</v>
      </c>
      <c r="I21" s="365">
        <v>0</v>
      </c>
      <c r="J21" s="365">
        <v>0</v>
      </c>
      <c r="K21" s="365">
        <v>0</v>
      </c>
      <c r="L21" s="365"/>
      <c r="M21" s="365">
        <v>0</v>
      </c>
      <c r="N21" s="365">
        <v>0</v>
      </c>
      <c r="O21" s="1213">
        <v>0</v>
      </c>
      <c r="P21" s="1213">
        <v>1302410.77</v>
      </c>
      <c r="Q21" s="1213">
        <v>1043736.71</v>
      </c>
      <c r="R21" s="1213">
        <v>97711.96</v>
      </c>
      <c r="S21" s="1213">
        <v>75557.009999999995</v>
      </c>
      <c r="T21" s="1213">
        <v>181257.93</v>
      </c>
      <c r="U21" s="1213">
        <v>48570.26</v>
      </c>
      <c r="V21" s="1213">
        <v>138480.06</v>
      </c>
      <c r="W21" s="1213">
        <v>18832.45</v>
      </c>
      <c r="X21" s="1213">
        <v>40365.360000000001</v>
      </c>
      <c r="Y21" s="1213">
        <v>68486.559999999998</v>
      </c>
      <c r="Z21" s="1213">
        <v>0</v>
      </c>
      <c r="AA21" s="1213">
        <v>0</v>
      </c>
      <c r="AB21" s="1213">
        <v>0</v>
      </c>
      <c r="AC21" s="1213">
        <v>40082.120000000003</v>
      </c>
      <c r="AD21" s="1213">
        <v>423052.83</v>
      </c>
      <c r="AE21" s="1213">
        <v>0</v>
      </c>
      <c r="AF21" s="1213">
        <v>0</v>
      </c>
      <c r="AG21" s="365">
        <v>0</v>
      </c>
      <c r="AI21" s="365">
        <f t="shared" si="0"/>
        <v>3478544.02</v>
      </c>
    </row>
    <row r="22" spans="1:35" x14ac:dyDescent="0.2">
      <c r="A22" s="191">
        <v>1160</v>
      </c>
      <c r="B22" s="2987" t="s">
        <v>2633</v>
      </c>
      <c r="C22" s="2987"/>
      <c r="D22" t="str">
        <f>IF(SUM(F22:N22)-E22=0,"OK","prob")</f>
        <v>OK</v>
      </c>
      <c r="E22" s="365">
        <v>160581326.86000001</v>
      </c>
      <c r="F22" s="365">
        <v>38947874.700000003</v>
      </c>
      <c r="G22" s="365">
        <v>47741430.299999997</v>
      </c>
      <c r="H22" s="365">
        <v>0</v>
      </c>
      <c r="I22" s="365">
        <v>19753492.469999999</v>
      </c>
      <c r="J22" s="365">
        <v>532339.31999999995</v>
      </c>
      <c r="K22" s="365">
        <v>45818828.490000002</v>
      </c>
      <c r="L22" s="365"/>
      <c r="M22" s="365">
        <v>7157047.2999999998</v>
      </c>
      <c r="N22" s="365">
        <v>630314.28</v>
      </c>
      <c r="O22" s="1213">
        <v>0</v>
      </c>
      <c r="P22" s="1213">
        <v>46542351.990000002</v>
      </c>
      <c r="Q22" s="1213">
        <v>16621.78</v>
      </c>
      <c r="R22" s="1213">
        <v>4003517.26</v>
      </c>
      <c r="S22" s="1213">
        <v>134146.43</v>
      </c>
      <c r="T22" s="1213">
        <v>1671.57</v>
      </c>
      <c r="U22" s="1213">
        <v>3419747.95</v>
      </c>
      <c r="V22" s="1213">
        <v>12670044.02</v>
      </c>
      <c r="W22" s="1213">
        <v>1974801.57</v>
      </c>
      <c r="X22" s="1213">
        <v>563882.68000000005</v>
      </c>
      <c r="Y22" s="1213">
        <v>7012670.8200000003</v>
      </c>
      <c r="Z22" s="1213">
        <v>166007.57999999999</v>
      </c>
      <c r="AA22" s="1213">
        <v>1111.75</v>
      </c>
      <c r="AB22" s="1213">
        <v>266870.03000000003</v>
      </c>
      <c r="AC22" s="1213">
        <v>0</v>
      </c>
      <c r="AD22" s="1213">
        <v>1845265.07</v>
      </c>
      <c r="AE22" s="1213">
        <v>30326.46</v>
      </c>
      <c r="AF22" s="1213">
        <v>0</v>
      </c>
      <c r="AG22" s="365">
        <v>0</v>
      </c>
      <c r="AI22" s="365">
        <f t="shared" si="0"/>
        <v>239230363.81999999</v>
      </c>
    </row>
    <row r="23" spans="1:35" x14ac:dyDescent="0.2">
      <c r="A23" s="191">
        <v>1175</v>
      </c>
      <c r="B23" s="2881" t="s">
        <v>2984</v>
      </c>
      <c r="C23" s="2881"/>
      <c r="D23" t="str">
        <f>IF(SUM(F23:N23)-E23=0,"OK","prob")</f>
        <v>OK</v>
      </c>
      <c r="E23" s="365">
        <v>0</v>
      </c>
      <c r="F23" s="365">
        <v>0</v>
      </c>
      <c r="G23" s="365">
        <v>0</v>
      </c>
      <c r="H23" s="365">
        <v>0</v>
      </c>
      <c r="I23" s="365">
        <v>0</v>
      </c>
      <c r="J23" s="365">
        <v>0</v>
      </c>
      <c r="K23" s="365">
        <v>0</v>
      </c>
      <c r="L23" s="365"/>
      <c r="M23" s="365">
        <v>0</v>
      </c>
      <c r="N23" s="365">
        <v>0</v>
      </c>
      <c r="O23" s="1423">
        <v>0</v>
      </c>
      <c r="P23" s="1213">
        <v>0</v>
      </c>
      <c r="Q23" s="1213">
        <v>0</v>
      </c>
      <c r="R23" s="1213">
        <v>0</v>
      </c>
      <c r="S23" s="1213">
        <v>0</v>
      </c>
      <c r="T23" s="1213">
        <v>0</v>
      </c>
      <c r="U23" s="1213">
        <v>0</v>
      </c>
      <c r="V23" s="1213">
        <v>0</v>
      </c>
      <c r="W23" s="1213">
        <v>0</v>
      </c>
      <c r="X23" s="1213">
        <v>0</v>
      </c>
      <c r="Y23" s="1213">
        <v>0</v>
      </c>
      <c r="Z23" s="1213">
        <v>0</v>
      </c>
      <c r="AA23" s="1213">
        <v>0</v>
      </c>
      <c r="AB23" s="1213">
        <v>0</v>
      </c>
      <c r="AC23" s="1213">
        <v>0</v>
      </c>
      <c r="AD23" s="1213">
        <v>0</v>
      </c>
      <c r="AE23" s="1213">
        <v>0</v>
      </c>
      <c r="AF23" s="1213">
        <v>0</v>
      </c>
      <c r="AG23" s="365">
        <v>0</v>
      </c>
      <c r="AI23" s="365">
        <f t="shared" si="0"/>
        <v>0</v>
      </c>
    </row>
    <row r="24" spans="1:35" x14ac:dyDescent="0.2">
      <c r="A24" s="666">
        <v>1190</v>
      </c>
      <c r="B24" s="2881" t="s">
        <v>4832</v>
      </c>
      <c r="C24" s="2881"/>
      <c r="D24" s="1382" t="str">
        <f>IF(ROUND(SUM(F24:N24),2)-ROUND(E24,2)=0,"OK","prob")</f>
        <v>prob</v>
      </c>
      <c r="E24" s="1207">
        <v>12556881.289999999</v>
      </c>
      <c r="F24" s="1207">
        <v>235175974.72</v>
      </c>
      <c r="G24" s="1207">
        <v>31477517.100000001</v>
      </c>
      <c r="H24" s="1207">
        <v>0</v>
      </c>
      <c r="I24" s="1207">
        <v>54021871.359999999</v>
      </c>
      <c r="J24" s="1207">
        <v>2777739.31</v>
      </c>
      <c r="K24" s="1207">
        <v>7475534.3600000003</v>
      </c>
      <c r="L24" s="1207"/>
      <c r="M24" s="1207">
        <v>0</v>
      </c>
      <c r="N24" s="1207">
        <v>1414624.21</v>
      </c>
      <c r="O24" s="1379">
        <v>0</v>
      </c>
      <c r="P24" s="1379">
        <v>50433194.920000002</v>
      </c>
      <c r="Q24" s="1379">
        <v>1103335.74</v>
      </c>
      <c r="R24" s="1379">
        <v>0</v>
      </c>
      <c r="S24" s="1379">
        <v>0</v>
      </c>
      <c r="T24" s="1379">
        <v>0</v>
      </c>
      <c r="U24" s="1379">
        <v>0</v>
      </c>
      <c r="V24" s="1379">
        <v>0</v>
      </c>
      <c r="W24" s="1379">
        <v>0</v>
      </c>
      <c r="X24" s="1379">
        <v>0</v>
      </c>
      <c r="Y24" s="1379">
        <v>0</v>
      </c>
      <c r="Z24" s="1379">
        <v>0</v>
      </c>
      <c r="AA24" s="1379">
        <v>0</v>
      </c>
      <c r="AB24" s="1379">
        <v>0</v>
      </c>
      <c r="AC24" s="1379">
        <v>0</v>
      </c>
      <c r="AD24" s="1379">
        <v>0</v>
      </c>
      <c r="AE24" s="1379">
        <v>0</v>
      </c>
      <c r="AF24" s="1379">
        <v>0</v>
      </c>
      <c r="AG24" s="587">
        <v>0</v>
      </c>
      <c r="AI24" s="365">
        <f t="shared" si="0"/>
        <v>383879791.72000003</v>
      </c>
    </row>
    <row r="25" spans="1:35" x14ac:dyDescent="0.2">
      <c r="A25" s="666">
        <v>1195</v>
      </c>
      <c r="B25" s="2881" t="s">
        <v>2989</v>
      </c>
      <c r="C25" s="2881"/>
      <c r="D25" t="str">
        <f t="shared" ref="D25:D38" si="1">IF(SUM(F25:N25)-E25=0,"OK","prob")</f>
        <v>OK</v>
      </c>
      <c r="E25" s="1207">
        <v>0</v>
      </c>
      <c r="F25" s="1207">
        <v>0</v>
      </c>
      <c r="G25" s="1207">
        <v>0</v>
      </c>
      <c r="H25" s="1207">
        <v>0</v>
      </c>
      <c r="I25" s="1207">
        <v>0</v>
      </c>
      <c r="J25" s="1207">
        <v>0</v>
      </c>
      <c r="K25" s="1207">
        <v>0</v>
      </c>
      <c r="L25" s="1207"/>
      <c r="M25" s="1207">
        <v>0</v>
      </c>
      <c r="N25" s="1207">
        <v>0</v>
      </c>
      <c r="O25" s="1379">
        <v>0</v>
      </c>
      <c r="P25" s="1379">
        <v>0</v>
      </c>
      <c r="Q25" s="1379">
        <v>0</v>
      </c>
      <c r="R25" s="1379">
        <v>0</v>
      </c>
      <c r="S25" s="1379">
        <v>0</v>
      </c>
      <c r="T25" s="1379">
        <v>0</v>
      </c>
      <c r="U25" s="1379">
        <v>0</v>
      </c>
      <c r="V25" s="1379">
        <v>2048629.01</v>
      </c>
      <c r="W25" s="1379">
        <v>1059208.6100000001</v>
      </c>
      <c r="X25" s="1379">
        <v>0</v>
      </c>
      <c r="Y25" s="1379">
        <v>0</v>
      </c>
      <c r="Z25" s="1379">
        <v>0</v>
      </c>
      <c r="AA25" s="1379">
        <v>0</v>
      </c>
      <c r="AB25" s="1379">
        <v>0</v>
      </c>
      <c r="AC25" s="1379">
        <v>0</v>
      </c>
      <c r="AD25" s="1379">
        <v>164394.73000000001</v>
      </c>
      <c r="AE25" s="1379">
        <v>55694.07</v>
      </c>
      <c r="AF25" s="1379">
        <v>0</v>
      </c>
      <c r="AG25" s="587">
        <v>0</v>
      </c>
      <c r="AI25" s="365">
        <f t="shared" si="0"/>
        <v>3327926.42</v>
      </c>
    </row>
    <row r="26" spans="1:35" x14ac:dyDescent="0.2">
      <c r="A26" s="666">
        <v>1200</v>
      </c>
      <c r="B26" s="2881" t="s">
        <v>2992</v>
      </c>
      <c r="C26" s="2881"/>
      <c r="D26" t="str">
        <f t="shared" si="1"/>
        <v>OK</v>
      </c>
      <c r="E26" s="1207">
        <v>4031086</v>
      </c>
      <c r="F26" s="1207">
        <v>4031086</v>
      </c>
      <c r="G26" s="1207">
        <v>0</v>
      </c>
      <c r="H26" s="1207">
        <v>0</v>
      </c>
      <c r="I26" s="1207">
        <v>0</v>
      </c>
      <c r="J26" s="1207">
        <v>0</v>
      </c>
      <c r="K26" s="1207">
        <v>0</v>
      </c>
      <c r="L26" s="1207"/>
      <c r="M26" s="1207">
        <v>0</v>
      </c>
      <c r="N26" s="1207">
        <v>0</v>
      </c>
      <c r="O26" s="1379">
        <v>0</v>
      </c>
      <c r="P26" s="1379">
        <v>3703398.59</v>
      </c>
      <c r="Q26" s="1379">
        <v>3219085</v>
      </c>
      <c r="R26" s="1379">
        <v>0</v>
      </c>
      <c r="S26" s="1379">
        <v>0</v>
      </c>
      <c r="T26" s="1379">
        <v>0</v>
      </c>
      <c r="U26" s="1379">
        <v>22891265.079999998</v>
      </c>
      <c r="V26" s="1379">
        <v>0</v>
      </c>
      <c r="W26" s="1379">
        <v>0</v>
      </c>
      <c r="X26" s="1379">
        <v>0</v>
      </c>
      <c r="Y26" s="1379">
        <v>0</v>
      </c>
      <c r="Z26" s="1379">
        <v>0</v>
      </c>
      <c r="AA26" s="1379">
        <v>0</v>
      </c>
      <c r="AB26" s="1379">
        <v>0</v>
      </c>
      <c r="AC26" s="1379">
        <v>0</v>
      </c>
      <c r="AD26" s="1379">
        <v>0</v>
      </c>
      <c r="AE26" s="1379">
        <v>0</v>
      </c>
      <c r="AF26" s="1379">
        <v>0</v>
      </c>
      <c r="AG26" s="587">
        <v>0</v>
      </c>
      <c r="AI26" s="365">
        <f t="shared" si="0"/>
        <v>33844834.670000002</v>
      </c>
    </row>
    <row r="27" spans="1:35" x14ac:dyDescent="0.2">
      <c r="A27" s="191">
        <v>1220</v>
      </c>
      <c r="B27" s="2881" t="s">
        <v>2638</v>
      </c>
      <c r="C27" s="2881"/>
      <c r="D27" t="str">
        <f t="shared" si="1"/>
        <v>OK</v>
      </c>
      <c r="E27" s="365">
        <v>115327368.88</v>
      </c>
      <c r="F27" s="365">
        <v>65977582.25</v>
      </c>
      <c r="G27" s="365">
        <v>17295885.800000001</v>
      </c>
      <c r="H27" s="365">
        <v>0</v>
      </c>
      <c r="I27" s="365">
        <v>26240167.969999999</v>
      </c>
      <c r="J27" s="365">
        <v>696754.09</v>
      </c>
      <c r="K27" s="365">
        <v>0</v>
      </c>
      <c r="L27" s="365"/>
      <c r="M27" s="365">
        <v>1130515.92</v>
      </c>
      <c r="N27" s="365">
        <v>3986462.85</v>
      </c>
      <c r="O27" s="1213">
        <v>21920.02</v>
      </c>
      <c r="P27" s="1213">
        <v>20597120.25</v>
      </c>
      <c r="Q27" s="1213">
        <v>6570747.8300000001</v>
      </c>
      <c r="R27" s="1213">
        <v>483240.7</v>
      </c>
      <c r="S27" s="1213">
        <v>229088.95</v>
      </c>
      <c r="T27" s="1213">
        <v>432141.65</v>
      </c>
      <c r="U27" s="1213">
        <v>594293.99</v>
      </c>
      <c r="V27" s="1213">
        <v>3442898.22</v>
      </c>
      <c r="W27" s="1213">
        <v>903383.02</v>
      </c>
      <c r="X27" s="1213">
        <v>7104013.2999999998</v>
      </c>
      <c r="Y27" s="1213">
        <v>5272125.8899999997</v>
      </c>
      <c r="Z27" s="1213">
        <v>81168.039999999994</v>
      </c>
      <c r="AA27" s="1213">
        <v>287564.21999999997</v>
      </c>
      <c r="AB27" s="1213">
        <v>81679.11</v>
      </c>
      <c r="AC27" s="1213">
        <v>209013.21</v>
      </c>
      <c r="AD27" s="1213">
        <v>479730.05</v>
      </c>
      <c r="AE27" s="1213">
        <v>245644.81</v>
      </c>
      <c r="AF27" s="1213">
        <v>0</v>
      </c>
      <c r="AG27" s="365">
        <v>157843.69</v>
      </c>
      <c r="AI27" s="365">
        <f t="shared" si="0"/>
        <v>162363142.13999999</v>
      </c>
    </row>
    <row r="28" spans="1:35" x14ac:dyDescent="0.2">
      <c r="A28" s="191">
        <v>1230</v>
      </c>
      <c r="B28" s="2881" t="s">
        <v>2639</v>
      </c>
      <c r="C28" s="2881"/>
      <c r="D28" s="1382" t="str">
        <f t="shared" si="1"/>
        <v>prob</v>
      </c>
      <c r="E28" s="365">
        <v>62503940.920000002</v>
      </c>
      <c r="F28" s="365">
        <v>183502620.47</v>
      </c>
      <c r="G28" s="365">
        <v>41160373.630000003</v>
      </c>
      <c r="H28" s="365">
        <v>0</v>
      </c>
      <c r="I28" s="365">
        <v>20976384.420000002</v>
      </c>
      <c r="J28" s="365">
        <v>572821.78</v>
      </c>
      <c r="K28" s="365">
        <v>3396287.2</v>
      </c>
      <c r="L28" s="365"/>
      <c r="M28" s="365">
        <v>1973232.35</v>
      </c>
      <c r="N28" s="365">
        <v>2336603.0699999998</v>
      </c>
      <c r="O28" s="1213">
        <v>1855764.24</v>
      </c>
      <c r="P28" s="1213">
        <v>18628364.859999999</v>
      </c>
      <c r="Q28" s="1213">
        <v>0</v>
      </c>
      <c r="R28" s="1213">
        <v>0</v>
      </c>
      <c r="S28" s="1213">
        <v>14206481.310000001</v>
      </c>
      <c r="T28" s="1213">
        <v>106638</v>
      </c>
      <c r="U28" s="1213">
        <v>0</v>
      </c>
      <c r="V28" s="1213">
        <v>5947173.7699999996</v>
      </c>
      <c r="W28" s="1213">
        <v>0</v>
      </c>
      <c r="X28" s="1213">
        <v>176480.23</v>
      </c>
      <c r="Y28" s="1213">
        <v>2108209.14</v>
      </c>
      <c r="Z28" s="1213">
        <v>5000</v>
      </c>
      <c r="AA28" s="1213">
        <v>649426.18000000005</v>
      </c>
      <c r="AB28" s="1213">
        <v>896367.71</v>
      </c>
      <c r="AC28" s="1213">
        <v>0</v>
      </c>
      <c r="AD28" s="1213">
        <v>0</v>
      </c>
      <c r="AE28" s="1213">
        <v>30061.42</v>
      </c>
      <c r="AF28" s="1213">
        <v>56553.31</v>
      </c>
      <c r="AG28" s="365">
        <v>178888.3</v>
      </c>
      <c r="AI28" s="365">
        <f t="shared" si="0"/>
        <v>298584843.08999997</v>
      </c>
    </row>
    <row r="29" spans="1:35" x14ac:dyDescent="0.2">
      <c r="A29" s="191">
        <v>1210</v>
      </c>
      <c r="B29" s="2881" t="s">
        <v>2640</v>
      </c>
      <c r="C29" s="2881"/>
      <c r="D29" t="str">
        <f t="shared" si="1"/>
        <v>prob</v>
      </c>
      <c r="E29" s="365">
        <v>6647791.4100000001</v>
      </c>
      <c r="F29" s="365">
        <v>0</v>
      </c>
      <c r="G29" s="365">
        <v>6512182.0199999996</v>
      </c>
      <c r="H29" s="365">
        <v>0</v>
      </c>
      <c r="I29" s="365">
        <v>135609.39000000001</v>
      </c>
      <c r="J29" s="365">
        <v>0</v>
      </c>
      <c r="K29" s="365">
        <v>0</v>
      </c>
      <c r="L29" s="365"/>
      <c r="M29" s="365">
        <v>0</v>
      </c>
      <c r="N29" s="365">
        <v>0</v>
      </c>
      <c r="O29" s="1423">
        <v>0</v>
      </c>
      <c r="P29" s="1213">
        <v>3873359.42</v>
      </c>
      <c r="Q29" s="1213">
        <v>2203852.35</v>
      </c>
      <c r="R29" s="1213">
        <v>225357.79</v>
      </c>
      <c r="S29" s="1213">
        <v>249425.06</v>
      </c>
      <c r="T29" s="1213">
        <v>294423.13</v>
      </c>
      <c r="U29" s="1213">
        <v>220360.78</v>
      </c>
      <c r="V29" s="1213">
        <v>272455.96999999997</v>
      </c>
      <c r="W29" s="1213">
        <v>23321.21</v>
      </c>
      <c r="X29" s="1213">
        <v>784503.64</v>
      </c>
      <c r="Y29" s="1213">
        <v>555369</v>
      </c>
      <c r="Z29" s="1213">
        <v>11174.95</v>
      </c>
      <c r="AA29" s="1213">
        <v>0</v>
      </c>
      <c r="AB29" s="1213">
        <v>6026.6</v>
      </c>
      <c r="AC29" s="1213">
        <v>0</v>
      </c>
      <c r="AD29" s="1213">
        <v>0</v>
      </c>
      <c r="AE29" s="1213">
        <v>0</v>
      </c>
      <c r="AF29" s="1213">
        <v>0</v>
      </c>
      <c r="AG29" s="365">
        <v>0</v>
      </c>
      <c r="AI29" s="365">
        <f t="shared" si="0"/>
        <v>15367421.310000001</v>
      </c>
    </row>
    <row r="30" spans="1:35" x14ac:dyDescent="0.2">
      <c r="A30" s="191">
        <v>1211</v>
      </c>
      <c r="B30" s="2881" t="s">
        <v>4623</v>
      </c>
      <c r="C30" s="2881"/>
      <c r="D30" t="str">
        <f t="shared" si="1"/>
        <v>OK</v>
      </c>
      <c r="E30" s="365">
        <v>0.01</v>
      </c>
      <c r="F30" s="365">
        <v>0</v>
      </c>
      <c r="G30" s="365">
        <v>0</v>
      </c>
      <c r="H30" s="365">
        <v>0</v>
      </c>
      <c r="I30" s="365">
        <v>0</v>
      </c>
      <c r="J30" s="365">
        <v>0</v>
      </c>
      <c r="K30" s="365">
        <v>0</v>
      </c>
      <c r="L30" s="365">
        <v>0</v>
      </c>
      <c r="M30" s="365">
        <v>0</v>
      </c>
      <c r="N30" s="365">
        <v>0.01</v>
      </c>
      <c r="O30" s="1423">
        <v>0</v>
      </c>
      <c r="P30" s="1213">
        <v>998916.67</v>
      </c>
      <c r="Q30" s="1213">
        <v>2689764.37</v>
      </c>
      <c r="R30" s="1213">
        <v>370414.14</v>
      </c>
      <c r="S30" s="1213">
        <v>225323.82</v>
      </c>
      <c r="T30" s="1213">
        <v>256415.02</v>
      </c>
      <c r="U30" s="1213">
        <v>369202.87</v>
      </c>
      <c r="V30" s="1213">
        <v>478683.32</v>
      </c>
      <c r="W30" s="1213">
        <v>0</v>
      </c>
      <c r="X30" s="1213">
        <v>163816.04</v>
      </c>
      <c r="Y30" s="1213">
        <v>344948.72</v>
      </c>
      <c r="Z30" s="1213">
        <v>0</v>
      </c>
      <c r="AA30" s="1213">
        <v>136213.39000000001</v>
      </c>
      <c r="AB30" s="1213">
        <v>0</v>
      </c>
      <c r="AC30" s="1213">
        <v>85356.39</v>
      </c>
      <c r="AD30" s="1213">
        <v>134434.97</v>
      </c>
      <c r="AE30" s="1213">
        <v>0</v>
      </c>
      <c r="AF30" s="1213">
        <v>1067046</v>
      </c>
      <c r="AG30" s="365">
        <v>0</v>
      </c>
      <c r="AI30" s="365">
        <f t="shared" si="0"/>
        <v>7320535.7300000004</v>
      </c>
    </row>
    <row r="31" spans="1:35" x14ac:dyDescent="0.2">
      <c r="A31" s="2366">
        <v>1214</v>
      </c>
      <c r="B31" s="2945" t="s">
        <v>4624</v>
      </c>
      <c r="C31" s="2945"/>
      <c r="D31" t="str">
        <f>IF(SUM(F31:N31)-E31=0,"OK","prob")</f>
        <v>OK</v>
      </c>
      <c r="E31" s="2076"/>
      <c r="F31" s="365"/>
      <c r="G31" s="365"/>
      <c r="H31" s="365"/>
      <c r="I31" s="365"/>
      <c r="J31" s="365"/>
      <c r="K31" s="365"/>
      <c r="L31" s="365"/>
      <c r="M31" s="365"/>
      <c r="N31" s="365"/>
      <c r="O31" s="1423"/>
      <c r="P31" s="1213"/>
      <c r="Q31" s="1213"/>
      <c r="R31" s="1213"/>
      <c r="S31" s="1213"/>
      <c r="T31" s="1213"/>
      <c r="U31" s="1213"/>
      <c r="V31" s="1213"/>
      <c r="W31" s="1213"/>
      <c r="X31" s="1213"/>
      <c r="Y31" s="1213"/>
      <c r="Z31" s="1213"/>
      <c r="AA31" s="1213"/>
      <c r="AB31" s="1213"/>
      <c r="AC31" s="1213"/>
      <c r="AD31" s="1213"/>
      <c r="AE31" s="1213"/>
      <c r="AF31" s="1213"/>
      <c r="AG31" s="365"/>
      <c r="AI31" s="365"/>
    </row>
    <row r="32" spans="1:35" x14ac:dyDescent="0.2">
      <c r="A32" s="191">
        <v>1020</v>
      </c>
      <c r="B32" s="2881" t="s">
        <v>2644</v>
      </c>
      <c r="C32" s="2881"/>
      <c r="D32" t="str">
        <f t="shared" si="1"/>
        <v>OK</v>
      </c>
      <c r="E32" s="365">
        <v>14574736.57</v>
      </c>
      <c r="F32" s="365">
        <v>0</v>
      </c>
      <c r="G32" s="365">
        <v>0</v>
      </c>
      <c r="H32" s="365">
        <v>0</v>
      </c>
      <c r="I32" s="365">
        <v>14574736.57</v>
      </c>
      <c r="J32" s="365">
        <v>0</v>
      </c>
      <c r="K32" s="365">
        <v>0</v>
      </c>
      <c r="L32" s="365"/>
      <c r="M32" s="365">
        <v>0</v>
      </c>
      <c r="N32" s="365">
        <v>0</v>
      </c>
      <c r="O32" s="1213">
        <v>9842874.7300000004</v>
      </c>
      <c r="P32" s="1213">
        <v>7593583.1699999999</v>
      </c>
      <c r="Q32" s="1213">
        <v>3923616.95</v>
      </c>
      <c r="R32" s="1213">
        <v>3225125.36</v>
      </c>
      <c r="S32" s="1213">
        <v>738972.51</v>
      </c>
      <c r="T32" s="1213">
        <v>3063.13</v>
      </c>
      <c r="U32" s="1213">
        <v>161077.54</v>
      </c>
      <c r="V32" s="1213">
        <v>0</v>
      </c>
      <c r="W32" s="1213">
        <v>73178.880000000005</v>
      </c>
      <c r="X32" s="1213">
        <v>590689.30000000005</v>
      </c>
      <c r="Y32" s="1213">
        <v>17162.5</v>
      </c>
      <c r="Z32" s="1213">
        <v>13275974.470000001</v>
      </c>
      <c r="AA32" s="1213">
        <v>0</v>
      </c>
      <c r="AB32" s="1213">
        <v>0</v>
      </c>
      <c r="AC32" s="1213">
        <v>0</v>
      </c>
      <c r="AD32" s="1213">
        <v>262395.94</v>
      </c>
      <c r="AE32" s="1213">
        <v>203368.02</v>
      </c>
      <c r="AF32" s="1213">
        <v>0</v>
      </c>
      <c r="AG32" s="365">
        <v>1581779.43</v>
      </c>
      <c r="AI32" s="365">
        <f t="shared" ref="AI32:AI40" si="2">SUM(F32:AF32)</f>
        <v>54485819.07</v>
      </c>
    </row>
    <row r="33" spans="1:35" x14ac:dyDescent="0.2">
      <c r="A33" s="191">
        <v>1030</v>
      </c>
      <c r="B33" s="2881" t="s">
        <v>4833</v>
      </c>
      <c r="C33" s="2881"/>
      <c r="D33" t="str">
        <f t="shared" si="1"/>
        <v>OK</v>
      </c>
      <c r="E33" s="365">
        <v>1429042.81</v>
      </c>
      <c r="F33" s="365">
        <v>1429042.81</v>
      </c>
      <c r="G33" s="365">
        <v>0</v>
      </c>
      <c r="H33" s="365">
        <v>0</v>
      </c>
      <c r="I33" s="365">
        <v>0</v>
      </c>
      <c r="J33" s="365">
        <v>0</v>
      </c>
      <c r="K33" s="365">
        <v>0</v>
      </c>
      <c r="L33" s="365"/>
      <c r="M33" s="365">
        <v>0</v>
      </c>
      <c r="N33" s="365">
        <v>0</v>
      </c>
      <c r="O33" s="1213">
        <v>149435265.28</v>
      </c>
      <c r="P33" s="1213">
        <v>403762911.32999998</v>
      </c>
      <c r="Q33" s="1213">
        <v>165140266.59</v>
      </c>
      <c r="R33" s="1213">
        <v>27848154.09</v>
      </c>
      <c r="S33" s="1213">
        <v>37816273.719999999</v>
      </c>
      <c r="T33" s="1213">
        <v>4260678.08</v>
      </c>
      <c r="U33" s="1213">
        <v>30366781.210000001</v>
      </c>
      <c r="V33" s="1213">
        <v>43676653.530000001</v>
      </c>
      <c r="W33" s="1213">
        <v>31287798.649999999</v>
      </c>
      <c r="X33" s="1213">
        <v>30713288.52</v>
      </c>
      <c r="Y33" s="1213">
        <v>36958354.100000001</v>
      </c>
      <c r="Z33" s="1213">
        <v>0</v>
      </c>
      <c r="AA33" s="1213">
        <v>0</v>
      </c>
      <c r="AB33" s="1213">
        <v>4054203.84</v>
      </c>
      <c r="AC33" s="1213">
        <v>10333021.9</v>
      </c>
      <c r="AD33" s="1213">
        <v>14801099.77</v>
      </c>
      <c r="AE33" s="1213">
        <v>13135350.279999999</v>
      </c>
      <c r="AF33" s="1213">
        <v>0</v>
      </c>
      <c r="AG33" s="365">
        <v>0</v>
      </c>
      <c r="AI33" s="365">
        <f t="shared" si="2"/>
        <v>1005019143.7</v>
      </c>
    </row>
    <row r="34" spans="1:35" x14ac:dyDescent="0.2">
      <c r="A34" s="191">
        <v>1070</v>
      </c>
      <c r="B34" s="2881" t="s">
        <v>2648</v>
      </c>
      <c r="C34" s="2881"/>
      <c r="D34" t="str">
        <f t="shared" si="1"/>
        <v>OK</v>
      </c>
      <c r="E34" s="365">
        <v>0</v>
      </c>
      <c r="F34" s="365">
        <v>0</v>
      </c>
      <c r="G34" s="365">
        <v>0</v>
      </c>
      <c r="H34" s="365">
        <v>0</v>
      </c>
      <c r="I34" s="365">
        <v>0</v>
      </c>
      <c r="J34" s="365">
        <v>0</v>
      </c>
      <c r="K34" s="365">
        <v>0</v>
      </c>
      <c r="L34" s="365"/>
      <c r="M34" s="365">
        <v>0</v>
      </c>
      <c r="N34" s="365">
        <v>0</v>
      </c>
      <c r="O34" s="1213">
        <v>0</v>
      </c>
      <c r="P34" s="1213">
        <v>156019755.84999999</v>
      </c>
      <c r="Q34" s="1213">
        <v>0</v>
      </c>
      <c r="R34" s="1213">
        <v>9906983.0199999996</v>
      </c>
      <c r="S34" s="1213">
        <v>675000</v>
      </c>
      <c r="T34" s="1213">
        <v>1996.7</v>
      </c>
      <c r="U34" s="1213">
        <v>0</v>
      </c>
      <c r="V34" s="1213">
        <v>5406.49</v>
      </c>
      <c r="W34" s="1213">
        <v>0</v>
      </c>
      <c r="X34" s="1213">
        <v>0</v>
      </c>
      <c r="Y34" s="1213">
        <v>0</v>
      </c>
      <c r="Z34" s="1213">
        <v>1782622.59</v>
      </c>
      <c r="AA34" s="1213">
        <v>7.04</v>
      </c>
      <c r="AB34" s="1213">
        <v>0</v>
      </c>
      <c r="AC34" s="1213">
        <v>0</v>
      </c>
      <c r="AD34" s="1213">
        <v>1712062.04</v>
      </c>
      <c r="AE34" s="1213">
        <v>0</v>
      </c>
      <c r="AF34" s="1213">
        <v>0</v>
      </c>
      <c r="AG34" s="365">
        <v>0</v>
      </c>
      <c r="AI34" s="365">
        <f t="shared" si="2"/>
        <v>170103833.72999999</v>
      </c>
    </row>
    <row r="35" spans="1:35" x14ac:dyDescent="0.2">
      <c r="A35" s="191">
        <v>1232</v>
      </c>
      <c r="B35" s="2881" t="s">
        <v>5364</v>
      </c>
      <c r="C35" s="2881"/>
      <c r="D35" t="str">
        <f t="shared" si="1"/>
        <v>OK</v>
      </c>
      <c r="E35" s="365">
        <v>0</v>
      </c>
      <c r="F35" s="365">
        <v>0</v>
      </c>
      <c r="G35" s="365">
        <v>0</v>
      </c>
      <c r="H35" s="365">
        <v>0</v>
      </c>
      <c r="I35" s="365">
        <v>0</v>
      </c>
      <c r="J35" s="365">
        <v>0</v>
      </c>
      <c r="K35" s="365">
        <v>0</v>
      </c>
      <c r="L35" s="365"/>
      <c r="M35" s="365">
        <v>0</v>
      </c>
      <c r="N35" s="365">
        <v>0</v>
      </c>
      <c r="O35" s="1213">
        <v>0</v>
      </c>
      <c r="P35" s="1213">
        <v>0</v>
      </c>
      <c r="Q35" s="1213">
        <v>0</v>
      </c>
      <c r="R35" s="1213">
        <v>0</v>
      </c>
      <c r="S35" s="1213">
        <v>0</v>
      </c>
      <c r="T35" s="1213">
        <v>0</v>
      </c>
      <c r="U35" s="1213">
        <v>0</v>
      </c>
      <c r="V35" s="1213">
        <v>0</v>
      </c>
      <c r="W35" s="1213">
        <v>0</v>
      </c>
      <c r="X35" s="1213">
        <v>0</v>
      </c>
      <c r="Y35" s="1213">
        <v>0</v>
      </c>
      <c r="Z35" s="1213">
        <v>0</v>
      </c>
      <c r="AA35" s="1213">
        <v>0</v>
      </c>
      <c r="AB35" s="1213">
        <v>0</v>
      </c>
      <c r="AC35" s="1213">
        <v>0</v>
      </c>
      <c r="AD35" s="1213">
        <v>0</v>
      </c>
      <c r="AE35" s="1213">
        <v>0</v>
      </c>
      <c r="AF35" s="1213">
        <v>0</v>
      </c>
      <c r="AG35" s="365">
        <v>0</v>
      </c>
      <c r="AH35" s="365">
        <f>SUM(E35:AG35)</f>
        <v>0</v>
      </c>
      <c r="AI35" s="365">
        <f t="shared" si="2"/>
        <v>0</v>
      </c>
    </row>
    <row r="36" spans="1:35" x14ac:dyDescent="0.2">
      <c r="A36" s="191">
        <v>1235</v>
      </c>
      <c r="B36" s="2881" t="s">
        <v>2650</v>
      </c>
      <c r="C36" s="2881"/>
      <c r="D36" t="str">
        <f t="shared" si="1"/>
        <v>OK</v>
      </c>
      <c r="E36" s="365">
        <v>0</v>
      </c>
      <c r="F36" s="365">
        <v>0</v>
      </c>
      <c r="G36" s="365">
        <v>0</v>
      </c>
      <c r="H36" s="365">
        <v>0</v>
      </c>
      <c r="I36" s="365">
        <v>0</v>
      </c>
      <c r="J36" s="365">
        <v>0</v>
      </c>
      <c r="K36" s="365">
        <v>0</v>
      </c>
      <c r="L36" s="365"/>
      <c r="M36" s="365">
        <v>0</v>
      </c>
      <c r="N36" s="365">
        <v>0</v>
      </c>
      <c r="O36" s="1213">
        <v>0</v>
      </c>
      <c r="P36" s="1213">
        <v>0</v>
      </c>
      <c r="Q36" s="1213">
        <v>0</v>
      </c>
      <c r="R36" s="1213">
        <v>0</v>
      </c>
      <c r="S36" s="1213">
        <v>0</v>
      </c>
      <c r="T36" s="1213">
        <v>0</v>
      </c>
      <c r="U36" s="1213">
        <v>0</v>
      </c>
      <c r="V36" s="1213">
        <v>0</v>
      </c>
      <c r="W36" s="1213">
        <v>0</v>
      </c>
      <c r="X36" s="1213">
        <v>0</v>
      </c>
      <c r="Y36" s="1213">
        <v>0</v>
      </c>
      <c r="Z36" s="1213">
        <v>0</v>
      </c>
      <c r="AA36" s="1213">
        <v>0</v>
      </c>
      <c r="AB36" s="1213">
        <v>0</v>
      </c>
      <c r="AC36" s="1213">
        <v>0</v>
      </c>
      <c r="AD36" s="1213">
        <v>0</v>
      </c>
      <c r="AE36" s="1213">
        <v>0</v>
      </c>
      <c r="AF36" s="1213">
        <v>0</v>
      </c>
      <c r="AG36" s="365">
        <v>0</v>
      </c>
      <c r="AH36" s="365"/>
      <c r="AI36" s="365">
        <f t="shared" si="2"/>
        <v>0</v>
      </c>
    </row>
    <row r="37" spans="1:35" x14ac:dyDescent="0.2">
      <c r="A37" s="191">
        <v>1233</v>
      </c>
      <c r="B37" s="2881" t="s">
        <v>2651</v>
      </c>
      <c r="C37" s="2881"/>
      <c r="D37" t="str">
        <f t="shared" si="1"/>
        <v>OK</v>
      </c>
      <c r="E37" s="365">
        <v>0</v>
      </c>
      <c r="F37" s="365">
        <v>0</v>
      </c>
      <c r="G37" s="365">
        <v>0</v>
      </c>
      <c r="H37" s="365">
        <v>0</v>
      </c>
      <c r="I37" s="365">
        <v>0</v>
      </c>
      <c r="J37" s="365">
        <v>0</v>
      </c>
      <c r="K37" s="365">
        <v>0</v>
      </c>
      <c r="L37" s="365"/>
      <c r="M37" s="365">
        <v>0</v>
      </c>
      <c r="N37" s="365">
        <v>0</v>
      </c>
      <c r="O37" s="1213">
        <v>0</v>
      </c>
      <c r="P37" s="1213">
        <v>0</v>
      </c>
      <c r="Q37" s="1213">
        <v>0</v>
      </c>
      <c r="R37" s="1213">
        <v>0</v>
      </c>
      <c r="S37" s="1213">
        <v>0</v>
      </c>
      <c r="T37" s="1213">
        <v>0</v>
      </c>
      <c r="U37" s="1213">
        <v>0</v>
      </c>
      <c r="V37" s="1213">
        <v>0</v>
      </c>
      <c r="W37" s="1213">
        <v>0</v>
      </c>
      <c r="X37" s="1213">
        <v>0</v>
      </c>
      <c r="Y37" s="1213">
        <v>0</v>
      </c>
      <c r="Z37" s="1213">
        <v>0</v>
      </c>
      <c r="AA37" s="1213">
        <v>0</v>
      </c>
      <c r="AB37" s="1213">
        <v>0</v>
      </c>
      <c r="AC37" s="1213">
        <v>0</v>
      </c>
      <c r="AD37" s="1213">
        <v>0</v>
      </c>
      <c r="AE37" s="1213">
        <v>0</v>
      </c>
      <c r="AF37" s="1213">
        <v>0</v>
      </c>
      <c r="AG37" s="365">
        <v>0</v>
      </c>
      <c r="AH37" s="365"/>
      <c r="AI37" s="365">
        <f t="shared" si="2"/>
        <v>0</v>
      </c>
    </row>
    <row r="38" spans="1:35" x14ac:dyDescent="0.2">
      <c r="B38" s="2881" t="s">
        <v>3040</v>
      </c>
      <c r="C38" s="2881"/>
      <c r="D38" s="1382" t="str">
        <f t="shared" si="1"/>
        <v>prob</v>
      </c>
      <c r="E38" s="374">
        <f t="shared" ref="E38:AG38" si="3">SUM(E12:E37)</f>
        <v>1414189411.3199999</v>
      </c>
      <c r="F38" s="2137">
        <f t="shared" si="3"/>
        <v>907232806.14999998</v>
      </c>
      <c r="G38" s="374">
        <f t="shared" si="3"/>
        <v>382207331.36000001</v>
      </c>
      <c r="H38" s="374">
        <f t="shared" si="3"/>
        <v>6264407</v>
      </c>
      <c r="I38" s="374">
        <f t="shared" si="3"/>
        <v>441705470.98000002</v>
      </c>
      <c r="J38" s="374">
        <f t="shared" si="3"/>
        <v>5275261.25</v>
      </c>
      <c r="K38" s="374">
        <f t="shared" si="3"/>
        <v>121365248.44</v>
      </c>
      <c r="L38" s="374">
        <f>SUM(L12:L37)</f>
        <v>0</v>
      </c>
      <c r="M38" s="374">
        <f t="shared" si="3"/>
        <v>23999637.550000001</v>
      </c>
      <c r="N38" s="374">
        <f t="shared" si="3"/>
        <v>37340010.359999999</v>
      </c>
      <c r="O38" s="403">
        <f t="shared" si="3"/>
        <v>185088766.22999999</v>
      </c>
      <c r="P38" s="374">
        <f t="shared" si="3"/>
        <v>2299923800.6399999</v>
      </c>
      <c r="Q38" s="374">
        <f t="shared" si="3"/>
        <v>509523172.62</v>
      </c>
      <c r="R38" s="374">
        <f t="shared" si="3"/>
        <v>220163108.34999999</v>
      </c>
      <c r="S38" s="374">
        <f t="shared" si="3"/>
        <v>489241616.74000001</v>
      </c>
      <c r="T38" s="374">
        <f t="shared" si="3"/>
        <v>32321961.18</v>
      </c>
      <c r="U38" s="374">
        <f t="shared" si="3"/>
        <v>217445292</v>
      </c>
      <c r="V38" s="374">
        <f t="shared" si="3"/>
        <v>437315578.81</v>
      </c>
      <c r="W38" s="374">
        <f t="shared" si="3"/>
        <v>202452522.63</v>
      </c>
      <c r="X38" s="374">
        <f t="shared" si="3"/>
        <v>194475338</v>
      </c>
      <c r="Y38" s="374">
        <f t="shared" si="3"/>
        <v>223465272.75</v>
      </c>
      <c r="Z38" s="374">
        <f t="shared" si="3"/>
        <v>48028306.280000001</v>
      </c>
      <c r="AA38" s="374">
        <f t="shared" si="3"/>
        <v>66933237.409999996</v>
      </c>
      <c r="AB38" s="374">
        <f t="shared" si="3"/>
        <v>28218594.949999999</v>
      </c>
      <c r="AC38" s="374">
        <f t="shared" si="3"/>
        <v>33444006.739999998</v>
      </c>
      <c r="AD38" s="374">
        <f t="shared" si="3"/>
        <v>56864172.549999997</v>
      </c>
      <c r="AE38" s="374">
        <f t="shared" si="3"/>
        <v>41321747.299999997</v>
      </c>
      <c r="AF38" s="374">
        <f t="shared" si="3"/>
        <v>3179796.42</v>
      </c>
      <c r="AG38" s="374">
        <f t="shared" si="3"/>
        <v>7081605.0499999998</v>
      </c>
      <c r="AI38" s="365">
        <f t="shared" si="2"/>
        <v>7214796464.6899996</v>
      </c>
    </row>
    <row r="39" spans="1:35" x14ac:dyDescent="0.2">
      <c r="B39" s="2358"/>
      <c r="C39" s="2358"/>
      <c r="E39" s="365"/>
      <c r="F39" s="365"/>
      <c r="G39" s="365"/>
      <c r="H39" s="365"/>
      <c r="I39" s="365"/>
      <c r="J39" s="365"/>
      <c r="K39" s="365"/>
      <c r="L39" s="365"/>
      <c r="M39" s="365"/>
      <c r="N39" s="365"/>
      <c r="O39" s="233"/>
      <c r="P39" s="365"/>
      <c r="Q39" s="365"/>
      <c r="R39" s="365"/>
      <c r="S39" s="365"/>
      <c r="T39" s="365"/>
      <c r="U39" s="365"/>
      <c r="V39" s="365"/>
      <c r="W39" s="365"/>
      <c r="X39" s="365"/>
      <c r="Y39" s="365"/>
      <c r="Z39" s="365"/>
      <c r="AA39" s="365"/>
      <c r="AB39" s="365"/>
      <c r="AC39" s="365"/>
      <c r="AD39" s="365"/>
      <c r="AE39" s="365"/>
      <c r="AF39" s="365"/>
      <c r="AG39" s="365"/>
      <c r="AI39" s="365">
        <f t="shared" si="2"/>
        <v>0</v>
      </c>
    </row>
    <row r="40" spans="1:35" x14ac:dyDescent="0.2">
      <c r="B40" s="234" t="s">
        <v>2653</v>
      </c>
      <c r="C40" s="234"/>
      <c r="E40" s="365"/>
      <c r="F40" s="365"/>
      <c r="G40" s="365"/>
      <c r="H40" s="365"/>
      <c r="I40" s="365"/>
      <c r="J40" s="365"/>
      <c r="K40" s="365"/>
      <c r="L40" s="365"/>
      <c r="M40" s="365"/>
      <c r="N40" s="365"/>
      <c r="O40" s="233"/>
      <c r="P40" s="365"/>
      <c r="Q40" s="365"/>
      <c r="R40" s="365"/>
      <c r="S40" s="365"/>
      <c r="T40" s="365"/>
      <c r="U40" s="365"/>
      <c r="V40" s="365"/>
      <c r="W40" s="365"/>
      <c r="X40" s="365"/>
      <c r="Y40" s="365"/>
      <c r="Z40" s="365"/>
      <c r="AA40" s="365"/>
      <c r="AB40" s="365"/>
      <c r="AC40" s="365"/>
      <c r="AD40" s="365"/>
      <c r="AE40" s="365"/>
      <c r="AF40" s="365"/>
      <c r="AG40" s="365"/>
      <c r="AI40" s="365">
        <f t="shared" si="2"/>
        <v>0</v>
      </c>
    </row>
    <row r="41" spans="1:35" x14ac:dyDescent="0.2">
      <c r="A41" s="191">
        <v>1300</v>
      </c>
      <c r="B41" s="2881" t="s">
        <v>1528</v>
      </c>
      <c r="C41" s="2881"/>
      <c r="D41" t="str">
        <f>IF(SUM(F41:N41)-E41=0,"OK","prob")</f>
        <v>OK</v>
      </c>
      <c r="E41" s="365">
        <v>2147640790.4699998</v>
      </c>
      <c r="F41" s="365">
        <v>1117243918.47</v>
      </c>
      <c r="G41" s="365">
        <v>373594748.64999998</v>
      </c>
      <c r="H41" s="365">
        <v>47738171</v>
      </c>
      <c r="I41" s="365">
        <v>608568200.94000006</v>
      </c>
      <c r="J41" s="365">
        <v>495751.41</v>
      </c>
      <c r="K41" s="365">
        <v>0</v>
      </c>
      <c r="L41" s="365"/>
      <c r="M41" s="365">
        <v>0</v>
      </c>
      <c r="N41" s="365">
        <v>0</v>
      </c>
      <c r="O41" s="1371">
        <v>0</v>
      </c>
      <c r="P41" s="1371">
        <v>58269537.450000003</v>
      </c>
      <c r="Q41" s="1371">
        <v>222570105.05000001</v>
      </c>
      <c r="R41" s="1371">
        <v>1440390.41</v>
      </c>
      <c r="S41" s="1371">
        <v>0</v>
      </c>
      <c r="T41" s="1371">
        <v>0</v>
      </c>
      <c r="U41" s="1371">
        <v>6009979.4699999997</v>
      </c>
      <c r="V41" s="1371">
        <v>0</v>
      </c>
      <c r="W41" s="1371">
        <v>3485.85</v>
      </c>
      <c r="X41" s="1371">
        <v>3077912.19</v>
      </c>
      <c r="Y41" s="1371">
        <v>11508137.359999999</v>
      </c>
      <c r="Z41" s="1371">
        <v>0</v>
      </c>
      <c r="AA41" s="1371">
        <v>0</v>
      </c>
      <c r="AB41" s="1371">
        <v>14413973.49</v>
      </c>
      <c r="AC41" s="1371">
        <v>0</v>
      </c>
      <c r="AD41" s="1371">
        <v>0</v>
      </c>
      <c r="AE41" s="1371">
        <v>0</v>
      </c>
      <c r="AF41" s="1371">
        <v>0</v>
      </c>
      <c r="AG41" s="365">
        <v>0</v>
      </c>
      <c r="AI41" s="365">
        <f t="shared" ref="AI41:AI69" si="4">SUM(F41:AF41)</f>
        <v>2464934311.7399998</v>
      </c>
    </row>
    <row r="42" spans="1:35" x14ac:dyDescent="0.2">
      <c r="A42" s="191">
        <v>1310</v>
      </c>
      <c r="B42" s="2881" t="s">
        <v>2276</v>
      </c>
      <c r="C42" s="2881"/>
      <c r="D42" t="str">
        <f>IF(SUM(F42:N42)-E42=0,"OK","prob")</f>
        <v>OK</v>
      </c>
      <c r="E42" s="365">
        <v>0</v>
      </c>
      <c r="F42" s="365">
        <v>0</v>
      </c>
      <c r="G42" s="365">
        <v>0</v>
      </c>
      <c r="H42" s="365">
        <v>0</v>
      </c>
      <c r="I42" s="365">
        <v>0</v>
      </c>
      <c r="J42" s="365">
        <v>0</v>
      </c>
      <c r="K42" s="365">
        <v>0</v>
      </c>
      <c r="L42" s="365"/>
      <c r="M42" s="365">
        <v>0</v>
      </c>
      <c r="N42" s="365">
        <v>0</v>
      </c>
      <c r="O42" s="1371">
        <v>0</v>
      </c>
      <c r="P42" s="1371">
        <v>0</v>
      </c>
      <c r="Q42" s="1371">
        <v>0</v>
      </c>
      <c r="R42" s="1371">
        <v>0</v>
      </c>
      <c r="S42" s="1371">
        <v>0</v>
      </c>
      <c r="T42" s="1371">
        <v>0</v>
      </c>
      <c r="U42" s="1371">
        <v>0</v>
      </c>
      <c r="V42" s="1371">
        <v>0</v>
      </c>
      <c r="W42" s="1371">
        <v>0</v>
      </c>
      <c r="X42" s="1371">
        <v>0</v>
      </c>
      <c r="Y42" s="1371">
        <v>0</v>
      </c>
      <c r="Z42" s="1371">
        <v>0</v>
      </c>
      <c r="AA42" s="1371">
        <v>0</v>
      </c>
      <c r="AB42" s="1371">
        <v>0</v>
      </c>
      <c r="AC42" s="1371">
        <v>0</v>
      </c>
      <c r="AD42" s="1371">
        <v>0</v>
      </c>
      <c r="AE42" s="1371">
        <v>0</v>
      </c>
      <c r="AF42" s="1371">
        <v>0</v>
      </c>
      <c r="AG42" s="233">
        <v>0</v>
      </c>
      <c r="AI42" s="365">
        <f t="shared" si="4"/>
        <v>0</v>
      </c>
    </row>
    <row r="43" spans="1:35" x14ac:dyDescent="0.2">
      <c r="A43" s="191"/>
      <c r="B43" s="191" t="s">
        <v>2629</v>
      </c>
      <c r="C43" s="191"/>
      <c r="E43" s="365"/>
      <c r="F43" s="365"/>
      <c r="G43" s="365"/>
      <c r="H43" s="365"/>
      <c r="I43" s="365"/>
      <c r="J43" s="365"/>
      <c r="K43" s="365"/>
      <c r="L43" s="365"/>
      <c r="M43" s="365"/>
      <c r="N43" s="365"/>
      <c r="O43" s="1371"/>
      <c r="P43" s="315"/>
      <c r="Q43" s="315"/>
      <c r="R43" s="315"/>
      <c r="S43" s="315"/>
      <c r="T43" s="315"/>
      <c r="U43" s="315"/>
      <c r="V43" s="315"/>
      <c r="W43" s="315"/>
      <c r="X43" s="315"/>
      <c r="Y43" s="315"/>
      <c r="Z43" s="315"/>
      <c r="AA43" s="315"/>
      <c r="AB43" s="315"/>
      <c r="AC43" s="315"/>
      <c r="AD43" s="315"/>
      <c r="AE43" s="315"/>
      <c r="AF43" s="315"/>
      <c r="AG43" s="365"/>
      <c r="AI43" s="365">
        <f t="shared" si="4"/>
        <v>0</v>
      </c>
    </row>
    <row r="44" spans="1:35" x14ac:dyDescent="0.2">
      <c r="A44" s="191">
        <v>1340</v>
      </c>
      <c r="B44" s="2987" t="s">
        <v>2630</v>
      </c>
      <c r="C44" s="2987"/>
      <c r="D44" t="str">
        <f t="shared" ref="D44:D60" si="5">IF(SUM(F44:N44)-E44=0,"OK","prob")</f>
        <v>OK</v>
      </c>
      <c r="E44" s="365">
        <v>12194650.75</v>
      </c>
      <c r="F44" s="365">
        <v>12194650.75</v>
      </c>
      <c r="G44" s="365">
        <v>0</v>
      </c>
      <c r="H44" s="365">
        <v>0</v>
      </c>
      <c r="I44" s="365">
        <v>0</v>
      </c>
      <c r="J44" s="365">
        <v>0</v>
      </c>
      <c r="K44" s="365">
        <v>0</v>
      </c>
      <c r="L44" s="365"/>
      <c r="M44" s="365">
        <v>0</v>
      </c>
      <c r="N44" s="365">
        <v>0</v>
      </c>
      <c r="O44" s="1371">
        <v>0</v>
      </c>
      <c r="P44" s="1371">
        <v>0</v>
      </c>
      <c r="Q44" s="1371">
        <v>0</v>
      </c>
      <c r="R44" s="1371">
        <v>0</v>
      </c>
      <c r="S44" s="1371">
        <v>0</v>
      </c>
      <c r="T44" s="1371">
        <v>0</v>
      </c>
      <c r="U44" s="1371">
        <v>0</v>
      </c>
      <c r="V44" s="1371">
        <v>0</v>
      </c>
      <c r="W44" s="1371">
        <v>3135272.08</v>
      </c>
      <c r="X44" s="1371">
        <v>0</v>
      </c>
      <c r="Y44" s="1371">
        <v>0</v>
      </c>
      <c r="Z44" s="1371">
        <v>0</v>
      </c>
      <c r="AA44" s="1371">
        <v>0</v>
      </c>
      <c r="AB44" s="1371">
        <v>0</v>
      </c>
      <c r="AC44" s="1371">
        <v>12032</v>
      </c>
      <c r="AD44" s="1371">
        <v>0</v>
      </c>
      <c r="AE44" s="1371">
        <v>0</v>
      </c>
      <c r="AF44" s="1371">
        <v>0</v>
      </c>
      <c r="AG44" s="365">
        <v>0</v>
      </c>
      <c r="AI44" s="365">
        <f t="shared" si="4"/>
        <v>15341954.83</v>
      </c>
    </row>
    <row r="45" spans="1:35" x14ac:dyDescent="0.2">
      <c r="A45" s="191">
        <v>1345</v>
      </c>
      <c r="B45" s="2987" t="s">
        <v>2631</v>
      </c>
      <c r="C45" s="2987"/>
      <c r="D45" t="str">
        <f t="shared" si="5"/>
        <v>OK</v>
      </c>
      <c r="E45" s="365">
        <v>0</v>
      </c>
      <c r="F45" s="365">
        <v>0</v>
      </c>
      <c r="G45" s="365">
        <v>0</v>
      </c>
      <c r="H45" s="365">
        <v>0</v>
      </c>
      <c r="I45" s="365">
        <v>0</v>
      </c>
      <c r="J45" s="365">
        <v>0</v>
      </c>
      <c r="K45" s="365">
        <v>0</v>
      </c>
      <c r="L45" s="365"/>
      <c r="M45" s="365">
        <v>0</v>
      </c>
      <c r="N45" s="365">
        <v>0</v>
      </c>
      <c r="O45" s="1371">
        <v>0</v>
      </c>
      <c r="P45" s="1371">
        <v>0</v>
      </c>
      <c r="Q45" s="1371">
        <v>0</v>
      </c>
      <c r="R45" s="1371">
        <v>0</v>
      </c>
      <c r="S45" s="1371">
        <v>0</v>
      </c>
      <c r="T45" s="1371">
        <v>0</v>
      </c>
      <c r="U45" s="1371">
        <v>0</v>
      </c>
      <c r="V45" s="1371">
        <v>0</v>
      </c>
      <c r="W45" s="1371">
        <v>0</v>
      </c>
      <c r="X45" s="1371">
        <v>0</v>
      </c>
      <c r="Y45" s="1371">
        <v>0</v>
      </c>
      <c r="Z45" s="1371">
        <v>0</v>
      </c>
      <c r="AA45" s="1371">
        <v>0</v>
      </c>
      <c r="AB45" s="1371">
        <v>0</v>
      </c>
      <c r="AC45" s="1371">
        <v>0</v>
      </c>
      <c r="AD45" s="1371">
        <v>0</v>
      </c>
      <c r="AE45" s="1371">
        <v>0</v>
      </c>
      <c r="AF45" s="1371">
        <v>0</v>
      </c>
      <c r="AG45" s="365">
        <v>0</v>
      </c>
      <c r="AI45" s="365">
        <f t="shared" si="4"/>
        <v>0</v>
      </c>
    </row>
    <row r="46" spans="1:35" x14ac:dyDescent="0.2">
      <c r="A46" s="191">
        <v>1350</v>
      </c>
      <c r="B46" s="2987" t="s">
        <v>2632</v>
      </c>
      <c r="C46" s="2987"/>
      <c r="D46" t="str">
        <f t="shared" si="5"/>
        <v>OK</v>
      </c>
      <c r="E46" s="365">
        <v>0</v>
      </c>
      <c r="F46" s="365">
        <v>0</v>
      </c>
      <c r="G46" s="365">
        <v>0</v>
      </c>
      <c r="H46" s="365">
        <v>0</v>
      </c>
      <c r="I46" s="365">
        <v>0</v>
      </c>
      <c r="J46" s="365">
        <v>0</v>
      </c>
      <c r="K46" s="365">
        <v>0</v>
      </c>
      <c r="L46" s="365"/>
      <c r="M46" s="365">
        <v>0</v>
      </c>
      <c r="N46" s="365">
        <v>0</v>
      </c>
      <c r="O46" s="1371">
        <v>0</v>
      </c>
      <c r="P46" s="1371">
        <v>0</v>
      </c>
      <c r="Q46" s="1371">
        <v>0</v>
      </c>
      <c r="R46" s="1371">
        <v>0</v>
      </c>
      <c r="S46" s="1371">
        <v>0</v>
      </c>
      <c r="T46" s="1371">
        <v>0</v>
      </c>
      <c r="U46" s="1371">
        <v>0</v>
      </c>
      <c r="V46" s="1371">
        <v>0</v>
      </c>
      <c r="W46" s="1371">
        <v>0</v>
      </c>
      <c r="X46" s="1371">
        <v>0</v>
      </c>
      <c r="Y46" s="1371">
        <v>0</v>
      </c>
      <c r="Z46" s="1371">
        <v>0</v>
      </c>
      <c r="AA46" s="1371">
        <v>0</v>
      </c>
      <c r="AB46" s="1371">
        <v>0</v>
      </c>
      <c r="AC46" s="1371">
        <v>0</v>
      </c>
      <c r="AD46" s="1371">
        <v>0</v>
      </c>
      <c r="AE46" s="1371">
        <v>0</v>
      </c>
      <c r="AF46" s="1371">
        <v>0</v>
      </c>
      <c r="AG46" s="365">
        <v>0</v>
      </c>
      <c r="AI46" s="365">
        <f t="shared" si="4"/>
        <v>0</v>
      </c>
    </row>
    <row r="47" spans="1:35" x14ac:dyDescent="0.2">
      <c r="A47" s="191">
        <v>1370</v>
      </c>
      <c r="B47" s="2987" t="s">
        <v>2633</v>
      </c>
      <c r="C47" s="2987"/>
      <c r="D47" s="1382" t="str">
        <f t="shared" si="5"/>
        <v>prob</v>
      </c>
      <c r="E47" s="365">
        <v>17521548.489999998</v>
      </c>
      <c r="F47" s="365">
        <v>13989019.75</v>
      </c>
      <c r="G47" s="365">
        <v>0</v>
      </c>
      <c r="H47" s="365">
        <v>0</v>
      </c>
      <c r="I47" s="365">
        <v>1538934.74</v>
      </c>
      <c r="J47" s="365">
        <v>0</v>
      </c>
      <c r="K47" s="365">
        <v>0</v>
      </c>
      <c r="L47" s="365"/>
      <c r="M47" s="365">
        <v>0</v>
      </c>
      <c r="N47" s="365">
        <v>1993594</v>
      </c>
      <c r="O47" s="1371">
        <v>0</v>
      </c>
      <c r="P47" s="1371">
        <v>62648824.210000001</v>
      </c>
      <c r="Q47" s="1371">
        <v>0</v>
      </c>
      <c r="R47" s="1371">
        <v>2428278.23</v>
      </c>
      <c r="S47" s="1371">
        <v>0</v>
      </c>
      <c r="T47" s="1371">
        <v>0</v>
      </c>
      <c r="U47" s="1371">
        <v>485784.76</v>
      </c>
      <c r="V47" s="1371">
        <v>13355243.77</v>
      </c>
      <c r="W47" s="1371">
        <v>0</v>
      </c>
      <c r="X47" s="1371">
        <v>1622514.8</v>
      </c>
      <c r="Y47" s="1371">
        <v>14693320.050000001</v>
      </c>
      <c r="Z47" s="1371">
        <v>138540.28</v>
      </c>
      <c r="AA47" s="1371">
        <v>0</v>
      </c>
      <c r="AB47" s="1371">
        <v>0</v>
      </c>
      <c r="AC47" s="1371">
        <v>0</v>
      </c>
      <c r="AD47" s="1371">
        <v>0</v>
      </c>
      <c r="AE47" s="1371">
        <v>0</v>
      </c>
      <c r="AF47" s="1371">
        <v>0</v>
      </c>
      <c r="AG47" s="365">
        <v>0</v>
      </c>
      <c r="AI47" s="365">
        <f t="shared" si="4"/>
        <v>112894054.59</v>
      </c>
    </row>
    <row r="48" spans="1:35" x14ac:dyDescent="0.2">
      <c r="A48" s="191">
        <v>1400</v>
      </c>
      <c r="B48" s="2881" t="s">
        <v>2640</v>
      </c>
      <c r="C48" s="2881"/>
      <c r="D48" t="str">
        <f t="shared" si="5"/>
        <v>OK</v>
      </c>
      <c r="E48" s="365">
        <v>23634031.829999998</v>
      </c>
      <c r="F48" s="365">
        <v>0</v>
      </c>
      <c r="G48" s="365">
        <v>21117008.949999999</v>
      </c>
      <c r="H48" s="365">
        <v>0</v>
      </c>
      <c r="I48" s="365">
        <v>2517022.88</v>
      </c>
      <c r="J48" s="365">
        <v>0</v>
      </c>
      <c r="K48" s="365">
        <v>0</v>
      </c>
      <c r="L48" s="365"/>
      <c r="M48" s="365">
        <v>0</v>
      </c>
      <c r="N48" s="365">
        <v>0</v>
      </c>
      <c r="O48" s="1371">
        <v>0</v>
      </c>
      <c r="P48" s="1371">
        <v>28576723.859999999</v>
      </c>
      <c r="Q48" s="1371">
        <v>2237233.0699999998</v>
      </c>
      <c r="R48" s="1371">
        <v>1073439.06</v>
      </c>
      <c r="S48" s="1371">
        <v>1582314.62</v>
      </c>
      <c r="T48" s="1371">
        <v>51015.23</v>
      </c>
      <c r="U48" s="1371">
        <v>1539155.87</v>
      </c>
      <c r="V48" s="1371">
        <v>4581055.3</v>
      </c>
      <c r="W48" s="1371">
        <v>124158.14</v>
      </c>
      <c r="X48" s="1371">
        <v>1373379.59</v>
      </c>
      <c r="Y48" s="1371">
        <v>577494.42000000004</v>
      </c>
      <c r="Z48" s="1371">
        <v>112393.81</v>
      </c>
      <c r="AA48" s="1371">
        <v>0</v>
      </c>
      <c r="AB48" s="1371">
        <v>0</v>
      </c>
      <c r="AC48" s="1371">
        <v>440073.95</v>
      </c>
      <c r="AD48" s="1371">
        <v>-222824.76</v>
      </c>
      <c r="AE48" s="1371">
        <v>0</v>
      </c>
      <c r="AF48" s="1371">
        <v>0</v>
      </c>
      <c r="AG48" s="365">
        <v>0</v>
      </c>
      <c r="AI48" s="365">
        <f t="shared" si="4"/>
        <v>65679643.990000002</v>
      </c>
    </row>
    <row r="49" spans="1:35" x14ac:dyDescent="0.2">
      <c r="A49" s="191">
        <v>1401</v>
      </c>
      <c r="B49" s="2881" t="s">
        <v>4623</v>
      </c>
      <c r="C49" s="2881"/>
      <c r="D49" t="str">
        <f t="shared" si="5"/>
        <v>OK</v>
      </c>
      <c r="E49" s="365">
        <v>51123619.899999999</v>
      </c>
      <c r="F49" s="365">
        <v>2642682.3199999998</v>
      </c>
      <c r="G49" s="365">
        <v>38767039.100000001</v>
      </c>
      <c r="H49" s="365">
        <v>0</v>
      </c>
      <c r="I49" s="365">
        <v>8902864.3599999994</v>
      </c>
      <c r="J49" s="365">
        <v>0</v>
      </c>
      <c r="K49" s="365">
        <v>0</v>
      </c>
      <c r="L49" s="365">
        <v>0</v>
      </c>
      <c r="M49" s="365">
        <v>811034.12</v>
      </c>
      <c r="N49" s="365">
        <v>0</v>
      </c>
      <c r="O49" s="315">
        <v>0</v>
      </c>
      <c r="P49" s="315">
        <v>11109810.699999999</v>
      </c>
      <c r="Q49" s="315">
        <v>28900803.120000001</v>
      </c>
      <c r="R49" s="315">
        <v>1791177.43</v>
      </c>
      <c r="S49" s="315">
        <v>1127095.28</v>
      </c>
      <c r="T49" s="315">
        <v>337303.13</v>
      </c>
      <c r="U49" s="315">
        <v>693216.04</v>
      </c>
      <c r="V49" s="1371">
        <v>1024914.02</v>
      </c>
      <c r="W49" s="1371">
        <v>0</v>
      </c>
      <c r="X49" s="1371">
        <v>4858094.3099999996</v>
      </c>
      <c r="Y49" s="1371">
        <v>3376132.26</v>
      </c>
      <c r="Z49" s="1371">
        <v>0</v>
      </c>
      <c r="AA49" s="1371">
        <v>460341.76000000001</v>
      </c>
      <c r="AB49" s="1371">
        <v>0</v>
      </c>
      <c r="AC49" s="1371">
        <v>1335035.53</v>
      </c>
      <c r="AD49" s="1371">
        <v>0</v>
      </c>
      <c r="AE49" s="1371">
        <v>0</v>
      </c>
      <c r="AF49" s="1371">
        <v>6240427.0999999996</v>
      </c>
      <c r="AG49" s="365">
        <v>0</v>
      </c>
      <c r="AI49" s="365"/>
    </row>
    <row r="50" spans="1:35" x14ac:dyDescent="0.2">
      <c r="A50" s="2366">
        <v>1404</v>
      </c>
      <c r="B50" s="2945" t="s">
        <v>4625</v>
      </c>
      <c r="C50" s="2945"/>
      <c r="D50" t="str">
        <f>IF(SUM(F50:N50)-E50=0,"OK","prob")</f>
        <v>OK</v>
      </c>
      <c r="E50" s="365">
        <v>0</v>
      </c>
      <c r="F50" s="365">
        <v>0</v>
      </c>
      <c r="G50" s="365">
        <v>0</v>
      </c>
      <c r="H50" s="365">
        <v>0</v>
      </c>
      <c r="I50" s="365">
        <v>0</v>
      </c>
      <c r="J50" s="365">
        <v>0</v>
      </c>
      <c r="K50" s="365">
        <v>0</v>
      </c>
      <c r="L50" s="365"/>
      <c r="M50" s="365">
        <v>0</v>
      </c>
      <c r="N50" s="365">
        <v>0</v>
      </c>
      <c r="O50" s="315"/>
      <c r="P50" s="315"/>
      <c r="Q50" s="315"/>
      <c r="R50" s="315"/>
      <c r="S50" s="315"/>
      <c r="T50" s="315"/>
      <c r="U50" s="315"/>
      <c r="V50" s="1371"/>
      <c r="W50" s="1371"/>
      <c r="X50" s="1371"/>
      <c r="Y50" s="1371"/>
      <c r="Z50" s="1371"/>
      <c r="AA50" s="1371"/>
      <c r="AB50" s="1371"/>
      <c r="AC50" s="1371"/>
      <c r="AD50" s="1371"/>
      <c r="AE50" s="1371"/>
      <c r="AF50" s="1371"/>
      <c r="AG50" s="365"/>
      <c r="AI50" s="365"/>
    </row>
    <row r="51" spans="1:35" x14ac:dyDescent="0.2">
      <c r="A51" s="191">
        <v>1415</v>
      </c>
      <c r="B51" s="2881" t="s">
        <v>2655</v>
      </c>
      <c r="C51" s="2881"/>
      <c r="D51" t="str">
        <f t="shared" si="5"/>
        <v>OK</v>
      </c>
      <c r="E51" s="365">
        <v>211141217.24000001</v>
      </c>
      <c r="F51" s="365">
        <v>29200575.48</v>
      </c>
      <c r="G51" s="365">
        <v>129996359.61</v>
      </c>
      <c r="H51" s="365">
        <v>0</v>
      </c>
      <c r="I51" s="365">
        <v>51711011.159999996</v>
      </c>
      <c r="J51" s="365">
        <v>0</v>
      </c>
      <c r="K51" s="365">
        <v>0</v>
      </c>
      <c r="L51" s="365"/>
      <c r="M51" s="365">
        <v>0</v>
      </c>
      <c r="N51" s="365">
        <v>233270.99</v>
      </c>
      <c r="O51" s="1371">
        <v>0</v>
      </c>
      <c r="P51" s="1371">
        <v>17726340.43</v>
      </c>
      <c r="Q51" s="1371">
        <v>0</v>
      </c>
      <c r="R51" s="1371">
        <v>0</v>
      </c>
      <c r="S51" s="1371">
        <v>0</v>
      </c>
      <c r="T51" s="1371">
        <v>0</v>
      </c>
      <c r="U51" s="1371">
        <v>0</v>
      </c>
      <c r="V51" s="1371">
        <v>262413.18</v>
      </c>
      <c r="W51" s="1371">
        <v>0</v>
      </c>
      <c r="X51" s="1371">
        <v>0</v>
      </c>
      <c r="Y51" s="1371">
        <v>0</v>
      </c>
      <c r="Z51" s="1371">
        <v>0</v>
      </c>
      <c r="AA51" s="1371">
        <v>0</v>
      </c>
      <c r="AB51" s="1371">
        <v>0</v>
      </c>
      <c r="AC51" s="1371">
        <v>0</v>
      </c>
      <c r="AD51" s="1371">
        <v>0</v>
      </c>
      <c r="AE51" s="1371">
        <v>0</v>
      </c>
      <c r="AF51" s="1371">
        <v>0</v>
      </c>
      <c r="AG51" s="365">
        <v>0</v>
      </c>
      <c r="AI51" s="365">
        <f t="shared" si="4"/>
        <v>229129970.84999999</v>
      </c>
    </row>
    <row r="52" spans="1:35" x14ac:dyDescent="0.2">
      <c r="A52" s="191">
        <v>1420</v>
      </c>
      <c r="B52" s="2881" t="s">
        <v>2639</v>
      </c>
      <c r="C52" s="2881"/>
      <c r="D52" t="str">
        <f t="shared" si="5"/>
        <v>OK</v>
      </c>
      <c r="E52" s="365">
        <v>45806351.490000002</v>
      </c>
      <c r="F52" s="365">
        <v>292114</v>
      </c>
      <c r="G52" s="365">
        <v>0</v>
      </c>
      <c r="H52" s="365">
        <v>0</v>
      </c>
      <c r="I52" s="365">
        <v>34443079.990000002</v>
      </c>
      <c r="J52" s="365">
        <v>834601.03</v>
      </c>
      <c r="K52" s="365">
        <v>3985632.89</v>
      </c>
      <c r="L52" s="365"/>
      <c r="M52" s="365">
        <v>580692</v>
      </c>
      <c r="N52" s="365">
        <v>5670231.5800000001</v>
      </c>
      <c r="O52" s="1371">
        <v>0</v>
      </c>
      <c r="P52" s="1371">
        <v>0</v>
      </c>
      <c r="Q52" s="1371">
        <v>0</v>
      </c>
      <c r="R52" s="1371">
        <v>0</v>
      </c>
      <c r="S52" s="1371">
        <v>0</v>
      </c>
      <c r="T52" s="1371">
        <v>0</v>
      </c>
      <c r="U52" s="1371">
        <v>0</v>
      </c>
      <c r="V52" s="1371">
        <v>0</v>
      </c>
      <c r="W52" s="1371">
        <v>0</v>
      </c>
      <c r="X52" s="1371">
        <v>81019.19</v>
      </c>
      <c r="Y52" s="1371">
        <v>0</v>
      </c>
      <c r="Z52" s="1371">
        <v>0</v>
      </c>
      <c r="AA52" s="1371">
        <v>0</v>
      </c>
      <c r="AB52" s="1371">
        <v>0</v>
      </c>
      <c r="AC52" s="1371">
        <v>273773.13</v>
      </c>
      <c r="AD52" s="1371">
        <v>0</v>
      </c>
      <c r="AE52" s="1371">
        <v>0</v>
      </c>
      <c r="AF52" s="1371">
        <v>3371.67</v>
      </c>
      <c r="AG52" s="365">
        <v>0</v>
      </c>
      <c r="AI52" s="365">
        <f t="shared" si="4"/>
        <v>46164515.479999997</v>
      </c>
    </row>
    <row r="53" spans="1:35" x14ac:dyDescent="0.2">
      <c r="A53" s="191">
        <v>1270</v>
      </c>
      <c r="B53" s="2881" t="s">
        <v>2644</v>
      </c>
      <c r="C53" s="2881"/>
      <c r="D53" t="str">
        <f t="shared" si="5"/>
        <v>OK</v>
      </c>
      <c r="E53" s="365">
        <v>18637239.079999998</v>
      </c>
      <c r="F53" s="365">
        <v>0</v>
      </c>
      <c r="G53" s="365">
        <v>0</v>
      </c>
      <c r="H53" s="365">
        <v>0</v>
      </c>
      <c r="I53" s="365">
        <v>18637239.079999998</v>
      </c>
      <c r="J53" s="365">
        <v>0</v>
      </c>
      <c r="K53" s="365">
        <v>0</v>
      </c>
      <c r="L53" s="365"/>
      <c r="M53" s="365">
        <v>0</v>
      </c>
      <c r="N53" s="365">
        <v>0</v>
      </c>
      <c r="O53" s="1371">
        <v>0</v>
      </c>
      <c r="P53" s="1371">
        <v>0</v>
      </c>
      <c r="Q53" s="1371">
        <v>417.07</v>
      </c>
      <c r="R53" s="1371">
        <v>237722.85</v>
      </c>
      <c r="S53" s="1371">
        <v>900673.42</v>
      </c>
      <c r="T53" s="1371">
        <v>0</v>
      </c>
      <c r="U53" s="1371">
        <v>0</v>
      </c>
      <c r="V53" s="1371">
        <v>0</v>
      </c>
      <c r="W53" s="1371">
        <v>0</v>
      </c>
      <c r="X53" s="1371">
        <v>150793.70000000001</v>
      </c>
      <c r="Y53" s="1371">
        <v>18166692</v>
      </c>
      <c r="Z53" s="1371">
        <v>16531195.779999999</v>
      </c>
      <c r="AA53" s="1371">
        <v>0</v>
      </c>
      <c r="AB53" s="1371">
        <v>1479342.97</v>
      </c>
      <c r="AC53" s="1371">
        <v>0</v>
      </c>
      <c r="AD53" s="1371">
        <v>0</v>
      </c>
      <c r="AE53" s="1371">
        <v>0</v>
      </c>
      <c r="AF53" s="1371">
        <v>0</v>
      </c>
      <c r="AG53" s="365">
        <v>0</v>
      </c>
      <c r="AI53" s="365">
        <f t="shared" si="4"/>
        <v>56104076.869999997</v>
      </c>
    </row>
    <row r="54" spans="1:35" x14ac:dyDescent="0.2">
      <c r="A54" s="191">
        <v>1280</v>
      </c>
      <c r="B54" s="2881" t="s">
        <v>2656</v>
      </c>
      <c r="C54" s="2881"/>
      <c r="D54" t="str">
        <f t="shared" si="5"/>
        <v>OK</v>
      </c>
      <c r="E54" s="365">
        <v>38119146.759999998</v>
      </c>
      <c r="F54" s="365">
        <v>38119146.759999998</v>
      </c>
      <c r="G54" s="365">
        <v>0</v>
      </c>
      <c r="H54" s="365">
        <v>0</v>
      </c>
      <c r="I54" s="365">
        <v>0</v>
      </c>
      <c r="J54" s="365">
        <v>0</v>
      </c>
      <c r="K54" s="365">
        <v>0</v>
      </c>
      <c r="L54" s="365"/>
      <c r="M54" s="365">
        <v>0</v>
      </c>
      <c r="N54" s="365">
        <v>0</v>
      </c>
      <c r="O54" s="1371">
        <v>4321687.1399999997</v>
      </c>
      <c r="P54" s="1371">
        <v>135963716.44999999</v>
      </c>
      <c r="Q54" s="1371">
        <v>171048818.72999999</v>
      </c>
      <c r="R54" s="1371">
        <v>32235378.609999999</v>
      </c>
      <c r="S54" s="1371">
        <v>39345359.5</v>
      </c>
      <c r="T54" s="1371">
        <v>5261225.71</v>
      </c>
      <c r="U54" s="1371">
        <v>39585383.359999999</v>
      </c>
      <c r="V54" s="1371">
        <v>57168803.659999996</v>
      </c>
      <c r="W54" s="1371">
        <v>29674375.390000001</v>
      </c>
      <c r="X54" s="1371">
        <v>23639294.48</v>
      </c>
      <c r="Y54" s="1371">
        <v>16366832.869999999</v>
      </c>
      <c r="Z54" s="1371">
        <v>0</v>
      </c>
      <c r="AA54" s="1371">
        <v>0</v>
      </c>
      <c r="AB54" s="1371">
        <v>5370746.0800000001</v>
      </c>
      <c r="AC54" s="1371">
        <v>8963110.2200000007</v>
      </c>
      <c r="AD54" s="1371">
        <v>5484018.3300000001</v>
      </c>
      <c r="AE54" s="1371">
        <v>8388281.6100000003</v>
      </c>
      <c r="AF54" s="1371">
        <v>0</v>
      </c>
      <c r="AG54" s="365">
        <v>0</v>
      </c>
      <c r="AI54" s="365">
        <f t="shared" si="4"/>
        <v>620936178.89999998</v>
      </c>
    </row>
    <row r="55" spans="1:35" x14ac:dyDescent="0.2">
      <c r="A55" s="191">
        <v>1410</v>
      </c>
      <c r="B55" s="2881" t="s">
        <v>4755</v>
      </c>
      <c r="C55" s="2881"/>
      <c r="D55" t="str">
        <f t="shared" si="5"/>
        <v>OK</v>
      </c>
      <c r="E55" s="365">
        <v>448113002.32999998</v>
      </c>
      <c r="F55" s="365">
        <v>448113002.32999998</v>
      </c>
      <c r="G55" s="365">
        <v>0</v>
      </c>
      <c r="H55" s="365">
        <v>0</v>
      </c>
      <c r="I55" s="365">
        <v>0</v>
      </c>
      <c r="J55" s="365">
        <v>0</v>
      </c>
      <c r="K55" s="365">
        <v>0</v>
      </c>
      <c r="L55" s="365"/>
      <c r="M55" s="365">
        <v>0</v>
      </c>
      <c r="N55" s="365">
        <v>0</v>
      </c>
      <c r="O55" s="1371">
        <v>122425819.56</v>
      </c>
      <c r="P55" s="1371">
        <v>3042313675.25</v>
      </c>
      <c r="Q55" s="1371">
        <v>531981083.69</v>
      </c>
      <c r="R55" s="1371">
        <v>366330209.63</v>
      </c>
      <c r="S55" s="1371">
        <v>198309279.00999999</v>
      </c>
      <c r="T55" s="1371">
        <v>21187904.440000001</v>
      </c>
      <c r="U55" s="1371">
        <v>133964693.48</v>
      </c>
      <c r="V55" s="1371">
        <v>65443810.149999999</v>
      </c>
      <c r="W55" s="1371">
        <v>142213079.94</v>
      </c>
      <c r="X55" s="1371">
        <v>127016574.41</v>
      </c>
      <c r="Y55" s="1371">
        <v>186628133.63999999</v>
      </c>
      <c r="Z55" s="1371">
        <v>31925204.989999998</v>
      </c>
      <c r="AA55" s="1371">
        <v>51098283.899999999</v>
      </c>
      <c r="AB55" s="1371">
        <v>17121482.010000002</v>
      </c>
      <c r="AC55" s="1371">
        <v>33248962.260000002</v>
      </c>
      <c r="AD55" s="1371">
        <v>55302686.43</v>
      </c>
      <c r="AE55" s="1371">
        <v>43709949.689999998</v>
      </c>
      <c r="AF55" s="1371">
        <v>0</v>
      </c>
      <c r="AG55" s="365">
        <v>0</v>
      </c>
      <c r="AI55" s="365">
        <f t="shared" si="4"/>
        <v>5618333834.8100004</v>
      </c>
    </row>
    <row r="56" spans="1:35" x14ac:dyDescent="0.2">
      <c r="A56" s="191"/>
      <c r="B56" s="2881" t="s">
        <v>4835</v>
      </c>
      <c r="C56" s="2881"/>
      <c r="D56" t="str">
        <f t="shared" si="5"/>
        <v>OK</v>
      </c>
      <c r="E56" s="365">
        <v>0</v>
      </c>
      <c r="F56" s="233">
        <v>0</v>
      </c>
      <c r="G56" s="233">
        <v>0</v>
      </c>
      <c r="H56" s="233">
        <v>0</v>
      </c>
      <c r="I56" s="233">
        <v>0</v>
      </c>
      <c r="J56" s="233">
        <v>0</v>
      </c>
      <c r="K56" s="233">
        <v>0</v>
      </c>
      <c r="L56" s="233"/>
      <c r="M56" s="233">
        <v>0</v>
      </c>
      <c r="N56" s="233">
        <v>0</v>
      </c>
      <c r="O56" s="1371"/>
      <c r="P56" s="315"/>
      <c r="Q56" s="315"/>
      <c r="R56" s="315"/>
      <c r="S56" s="315"/>
      <c r="T56" s="315"/>
      <c r="U56" s="315"/>
      <c r="V56" s="315"/>
      <c r="W56" s="315"/>
      <c r="X56" s="315"/>
      <c r="Y56" s="315"/>
      <c r="Z56" s="315"/>
      <c r="AA56" s="315"/>
      <c r="AB56" s="315"/>
      <c r="AC56" s="315"/>
      <c r="AD56" s="315"/>
      <c r="AE56" s="315"/>
      <c r="AF56" s="315"/>
      <c r="AG56" s="233"/>
      <c r="AI56" s="365">
        <f t="shared" si="4"/>
        <v>0</v>
      </c>
    </row>
    <row r="57" spans="1:35" x14ac:dyDescent="0.2">
      <c r="A57" s="666">
        <v>1395</v>
      </c>
      <c r="B57" s="2881" t="s">
        <v>4836</v>
      </c>
      <c r="C57" s="2881"/>
      <c r="D57" t="str">
        <f t="shared" si="5"/>
        <v>OK</v>
      </c>
      <c r="E57" s="1207">
        <v>0</v>
      </c>
      <c r="F57" s="1207">
        <v>0</v>
      </c>
      <c r="G57" s="1207">
        <v>0</v>
      </c>
      <c r="H57" s="1207">
        <v>0</v>
      </c>
      <c r="I57" s="1207">
        <v>0</v>
      </c>
      <c r="J57" s="1207">
        <v>0</v>
      </c>
      <c r="K57" s="1207">
        <v>0</v>
      </c>
      <c r="L57" s="1207"/>
      <c r="M57" s="1207">
        <v>0</v>
      </c>
      <c r="N57" s="1207">
        <v>0</v>
      </c>
      <c r="O57" s="1373">
        <v>0</v>
      </c>
      <c r="P57" s="1373">
        <v>0</v>
      </c>
      <c r="Q57" s="1373">
        <v>0</v>
      </c>
      <c r="R57" s="1373">
        <v>0</v>
      </c>
      <c r="S57" s="1373">
        <v>0</v>
      </c>
      <c r="T57" s="1373">
        <v>0</v>
      </c>
      <c r="U57" s="1373">
        <v>0</v>
      </c>
      <c r="V57" s="1373">
        <v>0</v>
      </c>
      <c r="W57" s="1373">
        <v>0</v>
      </c>
      <c r="X57" s="1373">
        <v>0</v>
      </c>
      <c r="Y57" s="1373">
        <v>0</v>
      </c>
      <c r="Z57" s="1373">
        <v>0</v>
      </c>
      <c r="AA57" s="1373">
        <v>0</v>
      </c>
      <c r="AB57" s="1373">
        <v>0</v>
      </c>
      <c r="AC57" s="1373">
        <v>0</v>
      </c>
      <c r="AD57" s="1373">
        <v>0</v>
      </c>
      <c r="AE57" s="1373">
        <v>0</v>
      </c>
      <c r="AF57" s="1373">
        <v>0</v>
      </c>
      <c r="AG57" s="1207">
        <v>0</v>
      </c>
      <c r="AI57" s="365">
        <f t="shared" si="4"/>
        <v>0</v>
      </c>
    </row>
    <row r="58" spans="1:35" x14ac:dyDescent="0.2">
      <c r="A58" s="666">
        <v>1390</v>
      </c>
      <c r="B58" s="2881" t="s">
        <v>3108</v>
      </c>
      <c r="C58" s="2881"/>
      <c r="D58" t="str">
        <f t="shared" si="5"/>
        <v>OK</v>
      </c>
      <c r="E58" s="1207">
        <v>0</v>
      </c>
      <c r="F58" s="1207">
        <v>0</v>
      </c>
      <c r="G58" s="1207">
        <v>0</v>
      </c>
      <c r="H58" s="1207">
        <v>0</v>
      </c>
      <c r="I58" s="1207">
        <v>0</v>
      </c>
      <c r="J58" s="1207">
        <v>0</v>
      </c>
      <c r="K58" s="1207">
        <v>0</v>
      </c>
      <c r="L58" s="1207"/>
      <c r="M58" s="1207">
        <v>0</v>
      </c>
      <c r="N58" s="1207">
        <v>0</v>
      </c>
      <c r="O58" s="1373">
        <v>0</v>
      </c>
      <c r="P58" s="1373">
        <v>0</v>
      </c>
      <c r="Q58" s="1373">
        <v>0</v>
      </c>
      <c r="R58" s="1373">
        <v>0</v>
      </c>
      <c r="S58" s="1373">
        <v>0</v>
      </c>
      <c r="T58" s="1373">
        <v>0</v>
      </c>
      <c r="U58" s="1373">
        <v>0</v>
      </c>
      <c r="V58" s="1373">
        <v>0</v>
      </c>
      <c r="W58" s="1373">
        <v>0</v>
      </c>
      <c r="X58" s="1373">
        <v>0</v>
      </c>
      <c r="Y58" s="1373">
        <v>0</v>
      </c>
      <c r="Z58" s="1373">
        <v>0</v>
      </c>
      <c r="AA58" s="1373">
        <v>0</v>
      </c>
      <c r="AB58" s="1373">
        <v>0</v>
      </c>
      <c r="AC58" s="1373">
        <v>0</v>
      </c>
      <c r="AD58" s="1373">
        <v>0</v>
      </c>
      <c r="AE58" s="1373">
        <v>0</v>
      </c>
      <c r="AF58" s="1373">
        <v>0</v>
      </c>
      <c r="AG58" s="1207">
        <v>0</v>
      </c>
      <c r="AI58" s="365">
        <f t="shared" si="4"/>
        <v>0</v>
      </c>
    </row>
    <row r="59" spans="1:35" x14ac:dyDescent="0.2">
      <c r="A59" s="191">
        <v>1432</v>
      </c>
      <c r="B59" s="2881" t="s">
        <v>2649</v>
      </c>
      <c r="C59" s="2881"/>
      <c r="D59" t="str">
        <f t="shared" si="5"/>
        <v>OK</v>
      </c>
      <c r="E59" s="365">
        <v>0</v>
      </c>
      <c r="F59" s="365">
        <v>0</v>
      </c>
      <c r="G59" s="365">
        <v>0</v>
      </c>
      <c r="H59" s="365">
        <v>0</v>
      </c>
      <c r="I59" s="365">
        <v>0</v>
      </c>
      <c r="J59" s="365">
        <v>0</v>
      </c>
      <c r="K59" s="365">
        <v>0</v>
      </c>
      <c r="L59" s="365"/>
      <c r="M59" s="365">
        <v>0</v>
      </c>
      <c r="N59" s="365">
        <v>0</v>
      </c>
      <c r="O59" s="1371">
        <v>0</v>
      </c>
      <c r="P59" s="1371">
        <v>0</v>
      </c>
      <c r="Q59" s="1371">
        <v>0</v>
      </c>
      <c r="R59" s="1371">
        <v>0</v>
      </c>
      <c r="S59" s="1371">
        <v>0</v>
      </c>
      <c r="T59" s="1371">
        <v>0</v>
      </c>
      <c r="U59" s="1371">
        <v>0</v>
      </c>
      <c r="V59" s="1371">
        <v>0</v>
      </c>
      <c r="W59" s="1371">
        <v>0</v>
      </c>
      <c r="X59" s="1371">
        <v>0</v>
      </c>
      <c r="Y59" s="1371">
        <v>0</v>
      </c>
      <c r="Z59" s="1371">
        <v>0</v>
      </c>
      <c r="AA59" s="1371">
        <v>0</v>
      </c>
      <c r="AB59" s="1371">
        <v>0</v>
      </c>
      <c r="AC59" s="1371">
        <v>0</v>
      </c>
      <c r="AD59" s="1371">
        <v>0</v>
      </c>
      <c r="AE59" s="1371">
        <v>0</v>
      </c>
      <c r="AF59" s="1371">
        <v>159097.17000000001</v>
      </c>
      <c r="AG59" s="365">
        <v>0</v>
      </c>
      <c r="AI59" s="365">
        <f t="shared" si="4"/>
        <v>159097.17000000001</v>
      </c>
    </row>
    <row r="60" spans="1:35" x14ac:dyDescent="0.2">
      <c r="A60" s="191">
        <v>1434</v>
      </c>
      <c r="B60" s="2881" t="s">
        <v>2650</v>
      </c>
      <c r="C60" s="2881"/>
      <c r="D60" t="str">
        <f t="shared" si="5"/>
        <v>OK</v>
      </c>
      <c r="E60" s="365">
        <v>0</v>
      </c>
      <c r="F60" s="365">
        <v>0</v>
      </c>
      <c r="G60" s="365">
        <v>0</v>
      </c>
      <c r="H60" s="365">
        <v>0</v>
      </c>
      <c r="I60" s="365">
        <v>0</v>
      </c>
      <c r="J60" s="365">
        <v>0</v>
      </c>
      <c r="K60" s="365">
        <v>0</v>
      </c>
      <c r="L60" s="365"/>
      <c r="M60" s="365">
        <v>0</v>
      </c>
      <c r="N60" s="365">
        <v>0</v>
      </c>
      <c r="O60" s="1371">
        <v>146316.79</v>
      </c>
      <c r="P60" s="1371">
        <v>1161183.03</v>
      </c>
      <c r="Q60" s="1371">
        <v>0</v>
      </c>
      <c r="R60" s="1371">
        <v>0</v>
      </c>
      <c r="S60" s="1371">
        <v>0</v>
      </c>
      <c r="T60" s="1371">
        <v>0</v>
      </c>
      <c r="U60" s="1371">
        <v>0</v>
      </c>
      <c r="V60" s="1371">
        <v>0</v>
      </c>
      <c r="W60" s="1371">
        <v>0</v>
      </c>
      <c r="X60" s="1371">
        <v>0</v>
      </c>
      <c r="Y60" s="1371">
        <v>1654555</v>
      </c>
      <c r="Z60" s="1371">
        <v>0</v>
      </c>
      <c r="AA60" s="1371">
        <v>0</v>
      </c>
      <c r="AB60" s="1371">
        <v>0</v>
      </c>
      <c r="AC60" s="1371">
        <v>0</v>
      </c>
      <c r="AD60" s="1371">
        <v>0</v>
      </c>
      <c r="AE60" s="1371">
        <v>0</v>
      </c>
      <c r="AF60" s="1371">
        <v>0</v>
      </c>
      <c r="AG60" s="365">
        <v>0</v>
      </c>
      <c r="AI60" s="365">
        <f t="shared" si="4"/>
        <v>2962054.82</v>
      </c>
    </row>
    <row r="61" spans="1:35" x14ac:dyDescent="0.2">
      <c r="A61" s="191">
        <v>1433</v>
      </c>
      <c r="B61" s="2881" t="s">
        <v>2651</v>
      </c>
      <c r="C61" s="2881"/>
      <c r="D61" s="1382" t="str">
        <f>IF(SUM(F61:N61)-E61=0,"OK","prob")</f>
        <v>prob</v>
      </c>
      <c r="E61" s="365">
        <v>730085.69</v>
      </c>
      <c r="F61" s="365">
        <v>616246.17000000004</v>
      </c>
      <c r="G61" s="365">
        <v>113839.52</v>
      </c>
      <c r="H61" s="365">
        <v>0</v>
      </c>
      <c r="I61" s="365">
        <v>0</v>
      </c>
      <c r="J61" s="365">
        <v>0</v>
      </c>
      <c r="K61" s="365">
        <v>0</v>
      </c>
      <c r="L61" s="365"/>
      <c r="M61" s="365">
        <v>0</v>
      </c>
      <c r="N61" s="365">
        <v>0</v>
      </c>
      <c r="O61" s="1371">
        <v>30156</v>
      </c>
      <c r="P61" s="1371">
        <v>1157640</v>
      </c>
      <c r="Q61" s="1371">
        <v>612478</v>
      </c>
      <c r="R61" s="1371">
        <v>168439</v>
      </c>
      <c r="S61" s="1371">
        <v>248386</v>
      </c>
      <c r="T61" s="1371">
        <v>38587</v>
      </c>
      <c r="U61" s="1371">
        <v>140374</v>
      </c>
      <c r="V61" s="1371">
        <v>376175</v>
      </c>
      <c r="W61" s="1371">
        <v>99464</v>
      </c>
      <c r="X61" s="1371">
        <v>95105</v>
      </c>
      <c r="Y61" s="1371">
        <v>172387</v>
      </c>
      <c r="Z61" s="1371">
        <v>50181.03</v>
      </c>
      <c r="AA61" s="1371">
        <v>43829</v>
      </c>
      <c r="AB61" s="1371">
        <v>19330</v>
      </c>
      <c r="AC61" s="1371">
        <v>42180.99</v>
      </c>
      <c r="AD61" s="1371">
        <v>70547</v>
      </c>
      <c r="AE61" s="1371">
        <v>24488</v>
      </c>
      <c r="AF61" s="1371">
        <v>0</v>
      </c>
      <c r="AG61" s="365">
        <v>2356</v>
      </c>
      <c r="AI61" s="365">
        <f t="shared" si="4"/>
        <v>4119832.71</v>
      </c>
    </row>
    <row r="62" spans="1:35" x14ac:dyDescent="0.2">
      <c r="A62" s="191"/>
      <c r="B62" s="191" t="s">
        <v>4837</v>
      </c>
      <c r="C62" s="191"/>
      <c r="E62" s="365"/>
      <c r="F62" s="365"/>
      <c r="G62" s="365">
        <v>0</v>
      </c>
      <c r="H62" s="365">
        <v>0</v>
      </c>
      <c r="I62" s="365">
        <v>0</v>
      </c>
      <c r="J62" s="365">
        <v>0</v>
      </c>
      <c r="K62" s="365">
        <v>0</v>
      </c>
      <c r="L62" s="365"/>
      <c r="M62" s="365">
        <v>0</v>
      </c>
      <c r="N62" s="365">
        <v>0</v>
      </c>
      <c r="O62" s="1371"/>
      <c r="P62" s="365"/>
      <c r="Q62" s="315"/>
      <c r="R62" s="315"/>
      <c r="S62" s="315"/>
      <c r="T62" s="315"/>
      <c r="AC62" s="315"/>
      <c r="AG62" s="365"/>
      <c r="AI62" s="365">
        <f t="shared" si="4"/>
        <v>0</v>
      </c>
    </row>
    <row r="63" spans="1:35" x14ac:dyDescent="0.2">
      <c r="A63" s="666">
        <v>1480</v>
      </c>
      <c r="B63" s="2987" t="s">
        <v>4838</v>
      </c>
      <c r="C63" s="2987"/>
      <c r="D63" t="str">
        <f t="shared" ref="D63:D69" si="6">IF(SUM(F63:N63)-E63=0,"OK","prob")</f>
        <v>OK</v>
      </c>
      <c r="E63" s="1207">
        <v>97258692.5</v>
      </c>
      <c r="F63" s="1207">
        <v>37867360</v>
      </c>
      <c r="G63" s="1207">
        <v>22580955</v>
      </c>
      <c r="H63" s="1207">
        <v>0</v>
      </c>
      <c r="I63" s="1207">
        <v>28920644</v>
      </c>
      <c r="J63" s="1207">
        <v>402081</v>
      </c>
      <c r="K63" s="1207">
        <v>0</v>
      </c>
      <c r="L63" s="1207"/>
      <c r="M63" s="1207">
        <v>3221580</v>
      </c>
      <c r="N63" s="1207">
        <v>4266072.5</v>
      </c>
      <c r="O63" s="1373">
        <v>802658</v>
      </c>
      <c r="P63" s="1373">
        <v>70708607.019999996</v>
      </c>
      <c r="Q63" s="1373">
        <v>78287761.129999995</v>
      </c>
      <c r="R63" s="1373">
        <v>50637031.289999999</v>
      </c>
      <c r="S63" s="1373">
        <v>14008350.640000001</v>
      </c>
      <c r="T63" s="1373">
        <v>10275310.619999999</v>
      </c>
      <c r="U63" s="1373">
        <v>14848968.369999999</v>
      </c>
      <c r="V63" s="1373">
        <v>52543969.090000004</v>
      </c>
      <c r="W63" s="1373">
        <v>18266186.289999999</v>
      </c>
      <c r="X63" s="1373">
        <v>15155111.34</v>
      </c>
      <c r="Y63" s="1373">
        <v>67639643.719999999</v>
      </c>
      <c r="Z63" s="1373">
        <v>4460325.29</v>
      </c>
      <c r="AA63" s="1373">
        <v>5231051.5599999996</v>
      </c>
      <c r="AB63" s="1373">
        <v>2588362.2000000002</v>
      </c>
      <c r="AC63" s="1373">
        <v>1766577.98</v>
      </c>
      <c r="AD63" s="1373">
        <v>11535627.17</v>
      </c>
      <c r="AE63" s="1373">
        <v>4313652.83</v>
      </c>
      <c r="AF63" s="1373">
        <v>0</v>
      </c>
      <c r="AG63" s="1207">
        <v>97425.8</v>
      </c>
      <c r="AI63" s="365">
        <f t="shared" si="4"/>
        <v>520327887.04000002</v>
      </c>
    </row>
    <row r="64" spans="1:35" x14ac:dyDescent="0.2">
      <c r="A64" s="666">
        <v>1490</v>
      </c>
      <c r="B64" s="2987" t="s">
        <v>4839</v>
      </c>
      <c r="C64" s="2987"/>
      <c r="D64" t="str">
        <f t="shared" si="6"/>
        <v>OK</v>
      </c>
      <c r="E64" s="1207">
        <v>0</v>
      </c>
      <c r="F64" s="1207">
        <v>0</v>
      </c>
      <c r="G64" s="1207">
        <v>0</v>
      </c>
      <c r="H64" s="1207">
        <v>0</v>
      </c>
      <c r="I64" s="1207">
        <v>0</v>
      </c>
      <c r="J64" s="1207">
        <v>0</v>
      </c>
      <c r="K64" s="1207">
        <v>0</v>
      </c>
      <c r="L64" s="1207"/>
      <c r="M64" s="1207">
        <v>0</v>
      </c>
      <c r="N64" s="1207">
        <v>0</v>
      </c>
      <c r="O64" s="1638">
        <v>0</v>
      </c>
      <c r="P64" s="1373">
        <v>171844791.28999999</v>
      </c>
      <c r="Q64" s="1373">
        <v>0</v>
      </c>
      <c r="R64" s="1373">
        <v>24663351.199999999</v>
      </c>
      <c r="S64" s="1373">
        <v>37960262.25</v>
      </c>
      <c r="T64" s="1373">
        <v>226100</v>
      </c>
      <c r="U64" s="1373">
        <v>2191630</v>
      </c>
      <c r="V64" s="1373">
        <v>0</v>
      </c>
      <c r="W64" s="1373">
        <v>2563797</v>
      </c>
      <c r="X64" s="1373">
        <v>1789366.83</v>
      </c>
      <c r="Y64" s="1373">
        <v>4271263.76</v>
      </c>
      <c r="Z64" s="1373">
        <v>178729.87</v>
      </c>
      <c r="AA64" s="1373">
        <v>953772</v>
      </c>
      <c r="AB64" s="1373">
        <v>0</v>
      </c>
      <c r="AC64" s="1373">
        <v>0</v>
      </c>
      <c r="AD64" s="1373">
        <v>864840</v>
      </c>
      <c r="AE64" s="1373">
        <v>1853008.62</v>
      </c>
      <c r="AF64" s="1373">
        <v>0</v>
      </c>
      <c r="AG64" s="1207">
        <v>0</v>
      </c>
      <c r="AI64" s="365">
        <f t="shared" si="4"/>
        <v>249360912.81999999</v>
      </c>
    </row>
    <row r="65" spans="1:35" x14ac:dyDescent="0.2">
      <c r="A65" s="666">
        <v>1500</v>
      </c>
      <c r="B65" s="2987" t="s">
        <v>4840</v>
      </c>
      <c r="C65" s="2987"/>
      <c r="D65" t="str">
        <f t="shared" si="6"/>
        <v>OK</v>
      </c>
      <c r="E65" s="1207">
        <v>459578744.92000002</v>
      </c>
      <c r="F65" s="1207">
        <v>354591586</v>
      </c>
      <c r="G65" s="1207">
        <v>70302192.670000002</v>
      </c>
      <c r="H65" s="1207">
        <v>0</v>
      </c>
      <c r="I65" s="1207">
        <v>22762424</v>
      </c>
      <c r="J65" s="1207">
        <v>631372</v>
      </c>
      <c r="K65" s="1207">
        <v>6844669</v>
      </c>
      <c r="L65" s="1207"/>
      <c r="M65" s="1207">
        <v>1738079.55</v>
      </c>
      <c r="N65" s="1207">
        <v>2708421.7</v>
      </c>
      <c r="O65" s="1373">
        <v>0</v>
      </c>
      <c r="P65" s="1373">
        <v>136843494.53</v>
      </c>
      <c r="Q65" s="1373">
        <v>49886410.75</v>
      </c>
      <c r="R65" s="1373">
        <v>609536</v>
      </c>
      <c r="S65" s="1373">
        <v>29757473.550000001</v>
      </c>
      <c r="T65" s="1373">
        <v>392602.9</v>
      </c>
      <c r="U65" s="1373">
        <v>17455830.030000001</v>
      </c>
      <c r="V65" s="1373">
        <v>3034018.62</v>
      </c>
      <c r="W65" s="1373">
        <v>5095564.13</v>
      </c>
      <c r="X65" s="1373">
        <v>110855552.66</v>
      </c>
      <c r="Y65" s="1373">
        <v>70806047.640000001</v>
      </c>
      <c r="Z65" s="1373">
        <v>2237503.16</v>
      </c>
      <c r="AA65" s="1373">
        <v>1296077.69</v>
      </c>
      <c r="AB65" s="1373">
        <v>496069.7</v>
      </c>
      <c r="AC65" s="1373">
        <v>1115500.33</v>
      </c>
      <c r="AD65" s="1373">
        <v>29099716.710000001</v>
      </c>
      <c r="AE65" s="1373">
        <v>0</v>
      </c>
      <c r="AF65" s="1373">
        <v>301698.81</v>
      </c>
      <c r="AG65" s="1207">
        <v>222563.5</v>
      </c>
      <c r="AI65" s="365">
        <f t="shared" si="4"/>
        <v>918861842.13</v>
      </c>
    </row>
    <row r="66" spans="1:35" x14ac:dyDescent="0.2">
      <c r="A66" s="666">
        <v>1503</v>
      </c>
      <c r="B66" s="2987" t="s">
        <v>4841</v>
      </c>
      <c r="C66" s="2987"/>
      <c r="D66" t="str">
        <f t="shared" si="6"/>
        <v>OK</v>
      </c>
      <c r="E66" s="1207">
        <v>0</v>
      </c>
      <c r="F66" s="1207">
        <v>0</v>
      </c>
      <c r="G66" s="1207">
        <v>0</v>
      </c>
      <c r="H66" s="1207">
        <v>0</v>
      </c>
      <c r="I66" s="1207">
        <v>0</v>
      </c>
      <c r="J66" s="1207">
        <v>0</v>
      </c>
      <c r="K66" s="1207">
        <v>0</v>
      </c>
      <c r="L66" s="1207"/>
      <c r="M66" s="1207">
        <v>0</v>
      </c>
      <c r="N66" s="1207">
        <v>0</v>
      </c>
      <c r="O66" s="1638">
        <v>0</v>
      </c>
      <c r="P66" s="1373">
        <v>0</v>
      </c>
      <c r="Q66" s="1373">
        <v>844548.14</v>
      </c>
      <c r="R66" s="1373">
        <v>0</v>
      </c>
      <c r="S66" s="1373">
        <v>0</v>
      </c>
      <c r="T66" s="1373">
        <v>0</v>
      </c>
      <c r="U66" s="1373">
        <v>0</v>
      </c>
      <c r="V66" s="1373">
        <v>0</v>
      </c>
      <c r="W66" s="1373">
        <v>0</v>
      </c>
      <c r="X66" s="1373">
        <v>0</v>
      </c>
      <c r="Y66" s="1373">
        <v>0</v>
      </c>
      <c r="Z66" s="1373">
        <v>0</v>
      </c>
      <c r="AA66" s="1373">
        <v>0</v>
      </c>
      <c r="AB66" s="1373">
        <v>0</v>
      </c>
      <c r="AC66" s="1373">
        <v>0</v>
      </c>
      <c r="AD66" s="1373">
        <v>0</v>
      </c>
      <c r="AE66" s="1373">
        <v>0</v>
      </c>
      <c r="AF66" s="1373">
        <v>0</v>
      </c>
      <c r="AG66" s="1207">
        <v>0</v>
      </c>
      <c r="AI66" s="365">
        <f t="shared" si="4"/>
        <v>844548.14</v>
      </c>
    </row>
    <row r="67" spans="1:35" x14ac:dyDescent="0.2">
      <c r="A67" s="666">
        <v>1505</v>
      </c>
      <c r="B67" s="2987" t="s">
        <v>4842</v>
      </c>
      <c r="C67" s="2987"/>
      <c r="D67" t="str">
        <f t="shared" si="6"/>
        <v>OK</v>
      </c>
      <c r="E67" s="1207">
        <v>0</v>
      </c>
      <c r="F67" s="1207">
        <v>0</v>
      </c>
      <c r="G67" s="1207">
        <v>0</v>
      </c>
      <c r="H67" s="1207">
        <v>0</v>
      </c>
      <c r="I67" s="1207">
        <v>0</v>
      </c>
      <c r="J67" s="1207">
        <v>0</v>
      </c>
      <c r="K67" s="1207">
        <v>0</v>
      </c>
      <c r="L67" s="1207"/>
      <c r="M67" s="1207">
        <v>0</v>
      </c>
      <c r="N67" s="1207">
        <v>0</v>
      </c>
      <c r="O67" s="1638">
        <v>0</v>
      </c>
      <c r="P67" s="1373">
        <v>0</v>
      </c>
      <c r="Q67" s="1373">
        <v>0</v>
      </c>
      <c r="R67" s="1373">
        <v>0</v>
      </c>
      <c r="S67" s="1373">
        <v>0</v>
      </c>
      <c r="T67" s="1373">
        <v>0</v>
      </c>
      <c r="U67" s="1373">
        <v>0</v>
      </c>
      <c r="V67" s="1373">
        <v>0</v>
      </c>
      <c r="W67" s="1373">
        <v>0</v>
      </c>
      <c r="X67" s="1373">
        <v>0</v>
      </c>
      <c r="Y67" s="1373">
        <v>0</v>
      </c>
      <c r="Z67" s="1373">
        <v>0</v>
      </c>
      <c r="AA67" s="1373">
        <v>0</v>
      </c>
      <c r="AB67" s="1373">
        <v>0</v>
      </c>
      <c r="AC67" s="1373">
        <v>0</v>
      </c>
      <c r="AD67" s="1373">
        <v>0</v>
      </c>
      <c r="AE67" s="1373">
        <v>0</v>
      </c>
      <c r="AF67" s="1373">
        <v>0</v>
      </c>
      <c r="AG67" s="1207">
        <v>0</v>
      </c>
      <c r="AI67" s="365">
        <f t="shared" si="4"/>
        <v>0</v>
      </c>
    </row>
    <row r="68" spans="1:35" x14ac:dyDescent="0.2">
      <c r="A68" s="666">
        <v>1506</v>
      </c>
      <c r="B68" s="2987" t="s">
        <v>4843</v>
      </c>
      <c r="C68" s="2987"/>
      <c r="D68" t="str">
        <f t="shared" si="6"/>
        <v>OK</v>
      </c>
      <c r="E68" s="1207">
        <v>7704529</v>
      </c>
      <c r="F68" s="1207">
        <v>7704529</v>
      </c>
      <c r="G68" s="1207">
        <v>0</v>
      </c>
      <c r="H68" s="1207">
        <v>0</v>
      </c>
      <c r="I68" s="1207">
        <v>0</v>
      </c>
      <c r="J68" s="1207">
        <v>0</v>
      </c>
      <c r="K68" s="1207">
        <v>0</v>
      </c>
      <c r="L68" s="1207"/>
      <c r="M68" s="1207">
        <v>0</v>
      </c>
      <c r="N68" s="1207">
        <v>0</v>
      </c>
      <c r="O68" s="1638">
        <v>0</v>
      </c>
      <c r="P68" s="1373">
        <v>2212777</v>
      </c>
      <c r="Q68" s="1373">
        <v>0</v>
      </c>
      <c r="R68" s="1373">
        <v>0</v>
      </c>
      <c r="S68" s="1373">
        <v>0</v>
      </c>
      <c r="T68" s="1373">
        <v>0</v>
      </c>
      <c r="U68" s="1373">
        <v>0</v>
      </c>
      <c r="V68" s="1373">
        <v>0</v>
      </c>
      <c r="W68" s="1373">
        <v>0</v>
      </c>
      <c r="X68" s="1373">
        <v>0</v>
      </c>
      <c r="Y68" s="1373">
        <v>0</v>
      </c>
      <c r="Z68" s="1373">
        <v>0</v>
      </c>
      <c r="AA68" s="1373">
        <v>0</v>
      </c>
      <c r="AB68" s="1373">
        <v>0</v>
      </c>
      <c r="AC68" s="1373">
        <v>0</v>
      </c>
      <c r="AD68" s="1373">
        <v>0</v>
      </c>
      <c r="AE68" s="1373">
        <v>0</v>
      </c>
      <c r="AF68" s="1373">
        <v>0</v>
      </c>
      <c r="AG68" s="1207">
        <v>0</v>
      </c>
      <c r="AI68" s="365">
        <f t="shared" si="4"/>
        <v>9917306</v>
      </c>
    </row>
    <row r="69" spans="1:35" x14ac:dyDescent="0.2">
      <c r="A69" s="191"/>
      <c r="B69" s="2881" t="s">
        <v>4844</v>
      </c>
      <c r="C69" s="2881"/>
      <c r="D69" s="1382" t="str">
        <f t="shared" si="6"/>
        <v>prob</v>
      </c>
      <c r="E69" s="374">
        <f t="shared" ref="E69:U69" si="7">SUM(E63:E68)</f>
        <v>564541966.41999996</v>
      </c>
      <c r="F69" s="374">
        <f t="shared" si="7"/>
        <v>400163475</v>
      </c>
      <c r="G69" s="374">
        <f t="shared" si="7"/>
        <v>92883147.670000002</v>
      </c>
      <c r="H69" s="374">
        <f t="shared" si="7"/>
        <v>0</v>
      </c>
      <c r="I69" s="374">
        <f t="shared" si="7"/>
        <v>51683068</v>
      </c>
      <c r="J69" s="374">
        <f t="shared" si="7"/>
        <v>1033453</v>
      </c>
      <c r="K69" s="374">
        <f t="shared" si="7"/>
        <v>6844669</v>
      </c>
      <c r="L69" s="374">
        <f>SUM(L63:L68)</f>
        <v>0</v>
      </c>
      <c r="M69" s="374">
        <f>SUM(M63:M68)</f>
        <v>4959659.55</v>
      </c>
      <c r="N69" s="374">
        <f>SUM(N63:N68)</f>
        <v>6974494.2000000002</v>
      </c>
      <c r="O69" s="403">
        <f t="shared" si="7"/>
        <v>802658</v>
      </c>
      <c r="P69" s="374">
        <f t="shared" si="7"/>
        <v>381609669.83999997</v>
      </c>
      <c r="Q69" s="374">
        <f t="shared" si="7"/>
        <v>129018720.02</v>
      </c>
      <c r="R69" s="374">
        <f t="shared" si="7"/>
        <v>75909918.489999995</v>
      </c>
      <c r="S69" s="374">
        <f t="shared" si="7"/>
        <v>81726086.439999998</v>
      </c>
      <c r="T69" s="374">
        <f t="shared" si="7"/>
        <v>10894013.52</v>
      </c>
      <c r="U69" s="374">
        <f t="shared" si="7"/>
        <v>34496428.399999999</v>
      </c>
      <c r="V69" s="374">
        <f>SUM(V63:V68)</f>
        <v>55577987.710000001</v>
      </c>
      <c r="W69" s="374">
        <f t="shared" ref="W69:AG69" si="8">SUM(W63:W68)</f>
        <v>25925547.420000002</v>
      </c>
      <c r="X69" s="374">
        <f t="shared" si="8"/>
        <v>127800030.83</v>
      </c>
      <c r="Y69" s="374">
        <f>SUM(Y63:Y68)</f>
        <v>142716955.12</v>
      </c>
      <c r="Z69" s="374">
        <f t="shared" si="8"/>
        <v>6876558.3200000003</v>
      </c>
      <c r="AA69" s="374">
        <f t="shared" si="8"/>
        <v>7480901.25</v>
      </c>
      <c r="AB69" s="374">
        <f t="shared" si="8"/>
        <v>3084431.9</v>
      </c>
      <c r="AC69" s="374">
        <f t="shared" si="8"/>
        <v>2882078.31</v>
      </c>
      <c r="AD69" s="374">
        <f t="shared" si="8"/>
        <v>41500183.880000003</v>
      </c>
      <c r="AE69" s="374">
        <f t="shared" si="8"/>
        <v>6166661.4500000002</v>
      </c>
      <c r="AF69" s="374">
        <f t="shared" si="8"/>
        <v>301698.81</v>
      </c>
      <c r="AG69" s="374">
        <f t="shared" si="8"/>
        <v>319989.3</v>
      </c>
      <c r="AI69" s="365">
        <f t="shared" si="4"/>
        <v>1699312496.1300001</v>
      </c>
    </row>
    <row r="70" spans="1:35" x14ac:dyDescent="0.2">
      <c r="A70" s="191"/>
      <c r="B70" s="191" t="s">
        <v>4845</v>
      </c>
      <c r="C70" s="191"/>
      <c r="E70" s="365"/>
      <c r="F70" s="365"/>
      <c r="G70" s="365"/>
      <c r="H70" s="365"/>
      <c r="I70" s="365"/>
      <c r="J70" s="365"/>
      <c r="K70" s="365"/>
      <c r="L70" s="365"/>
      <c r="M70" s="365"/>
      <c r="N70" s="365"/>
      <c r="O70" s="233"/>
      <c r="P70" s="365"/>
      <c r="Q70" s="365"/>
      <c r="R70" s="365"/>
      <c r="S70" s="365"/>
      <c r="T70" s="365"/>
      <c r="U70" s="365"/>
      <c r="V70" s="365"/>
      <c r="W70" s="365"/>
      <c r="X70" s="365"/>
      <c r="Y70" s="365"/>
      <c r="Z70" s="365"/>
      <c r="AA70" s="365"/>
      <c r="AB70" s="365"/>
      <c r="AC70" s="365"/>
      <c r="AD70" s="365"/>
      <c r="AE70" s="365"/>
      <c r="AF70" s="365"/>
      <c r="AG70" s="365"/>
    </row>
    <row r="71" spans="1:35" x14ac:dyDescent="0.2">
      <c r="A71" s="666">
        <v>1520</v>
      </c>
      <c r="B71" s="2987" t="s">
        <v>3156</v>
      </c>
      <c r="C71" s="2987"/>
      <c r="D71" t="str">
        <f t="shared" ref="D71:D83" si="9">IF(SUM(F71:N71)-E71=0,"OK","prob")</f>
        <v>OK</v>
      </c>
      <c r="E71" s="1207">
        <v>2046147586</v>
      </c>
      <c r="F71" s="1207">
        <v>1019398580</v>
      </c>
      <c r="G71" s="1207">
        <v>185231789.77000001</v>
      </c>
      <c r="H71" s="1207">
        <v>0</v>
      </c>
      <c r="I71" s="1207">
        <v>712040509</v>
      </c>
      <c r="J71" s="1207">
        <v>19541958</v>
      </c>
      <c r="K71" s="1207">
        <v>7919764.8600000003</v>
      </c>
      <c r="L71" s="1207"/>
      <c r="M71" s="1207">
        <v>13310719.75</v>
      </c>
      <c r="N71" s="1207">
        <v>88704264.620000005</v>
      </c>
      <c r="O71" s="616">
        <v>81800717.540000007</v>
      </c>
      <c r="P71" s="616">
        <v>3531843227.04</v>
      </c>
      <c r="Q71" s="616">
        <v>2754679090.9699998</v>
      </c>
      <c r="R71" s="616">
        <v>917599900.77999997</v>
      </c>
      <c r="S71" s="616">
        <v>1403811823.0999999</v>
      </c>
      <c r="T71" s="616">
        <v>322127231.94999999</v>
      </c>
      <c r="U71" s="616">
        <v>877730592.21000004</v>
      </c>
      <c r="V71" s="616">
        <v>1277194331.75</v>
      </c>
      <c r="W71" s="616">
        <v>557930730.19000006</v>
      </c>
      <c r="X71" s="616">
        <v>592063483.84000003</v>
      </c>
      <c r="Y71" s="616">
        <v>973612955.92999995</v>
      </c>
      <c r="Z71" s="616">
        <v>260584116.15000001</v>
      </c>
      <c r="AA71" s="616">
        <v>332623773.32999998</v>
      </c>
      <c r="AB71" s="616">
        <v>189770923.72</v>
      </c>
      <c r="AC71" s="616">
        <v>214525461.11000001</v>
      </c>
      <c r="AD71" s="616">
        <v>477412335.01999998</v>
      </c>
      <c r="AE71" s="616">
        <v>208816569</v>
      </c>
      <c r="AF71" s="616">
        <v>91118910.069999993</v>
      </c>
      <c r="AG71" s="1207">
        <v>1172596.54</v>
      </c>
      <c r="AI71" s="365">
        <f t="shared" ref="AI71:AI85" si="10">SUM(F71:AF71)</f>
        <v>17111393759.700001</v>
      </c>
    </row>
    <row r="72" spans="1:35" x14ac:dyDescent="0.2">
      <c r="A72" s="666">
        <v>1530</v>
      </c>
      <c r="B72" s="2987" t="s">
        <v>3160</v>
      </c>
      <c r="C72" s="2987"/>
      <c r="D72" s="1382" t="str">
        <f t="shared" si="9"/>
        <v>prob</v>
      </c>
      <c r="E72" s="1207">
        <v>1232060159.8299999</v>
      </c>
      <c r="F72" s="1207">
        <v>534116005</v>
      </c>
      <c r="G72" s="1207">
        <v>235492097.63</v>
      </c>
      <c r="H72" s="1207">
        <v>0</v>
      </c>
      <c r="I72" s="1207">
        <v>361482671</v>
      </c>
      <c r="J72" s="1207">
        <v>17125072</v>
      </c>
      <c r="K72" s="1207">
        <v>4097721.5</v>
      </c>
      <c r="L72" s="1207"/>
      <c r="M72" s="1207">
        <v>7976783.4299999997</v>
      </c>
      <c r="N72" s="1207">
        <v>71769809.269999996</v>
      </c>
      <c r="O72" s="616">
        <v>34313595.619999997</v>
      </c>
      <c r="P72" s="616">
        <v>516247209.22000003</v>
      </c>
      <c r="Q72" s="616">
        <v>471972597.38</v>
      </c>
      <c r="R72" s="616">
        <v>70207803.340000004</v>
      </c>
      <c r="S72" s="616">
        <v>145103970.74000001</v>
      </c>
      <c r="T72" s="616">
        <v>11577789.470000001</v>
      </c>
      <c r="U72" s="616">
        <v>62964551.310000002</v>
      </c>
      <c r="V72" s="616">
        <v>181087095.99000001</v>
      </c>
      <c r="W72" s="616">
        <v>102543085.44</v>
      </c>
      <c r="X72" s="616">
        <v>44184990.229999997</v>
      </c>
      <c r="Y72" s="616">
        <v>64119698.810000002</v>
      </c>
      <c r="Z72" s="616">
        <v>40364554.670000002</v>
      </c>
      <c r="AA72" s="616">
        <v>23221553.390000001</v>
      </c>
      <c r="AB72" s="616">
        <v>19749971.879999999</v>
      </c>
      <c r="AC72" s="616">
        <v>25151317.82</v>
      </c>
      <c r="AD72" s="616">
        <v>48109169.780000001</v>
      </c>
      <c r="AE72" s="616">
        <v>18596202.390000001</v>
      </c>
      <c r="AF72" s="616">
        <v>11559982.689999999</v>
      </c>
      <c r="AG72" s="1207">
        <v>332029.03000000003</v>
      </c>
      <c r="AI72" s="365">
        <f t="shared" si="10"/>
        <v>3123135300</v>
      </c>
    </row>
    <row r="73" spans="1:35" x14ac:dyDescent="0.2">
      <c r="A73" s="666">
        <v>1540</v>
      </c>
      <c r="B73" s="2987" t="s">
        <v>4846</v>
      </c>
      <c r="C73" s="2987"/>
      <c r="D73" t="str">
        <f t="shared" si="9"/>
        <v>OK</v>
      </c>
      <c r="E73" s="1207">
        <v>0</v>
      </c>
      <c r="F73" s="1207">
        <v>0</v>
      </c>
      <c r="G73" s="1207">
        <v>0</v>
      </c>
      <c r="H73" s="1207">
        <v>0</v>
      </c>
      <c r="I73" s="1207">
        <v>0</v>
      </c>
      <c r="J73" s="1207">
        <v>0</v>
      </c>
      <c r="K73" s="1207">
        <v>0</v>
      </c>
      <c r="L73" s="1207"/>
      <c r="M73" s="1207">
        <v>0</v>
      </c>
      <c r="N73" s="1207">
        <v>0</v>
      </c>
      <c r="O73" s="1639">
        <v>0</v>
      </c>
      <c r="P73" s="616">
        <v>0</v>
      </c>
      <c r="Q73" s="616">
        <v>0</v>
      </c>
      <c r="R73" s="616">
        <v>0</v>
      </c>
      <c r="S73" s="616">
        <v>0</v>
      </c>
      <c r="T73" s="616">
        <v>201500</v>
      </c>
      <c r="U73" s="616">
        <v>0</v>
      </c>
      <c r="V73" s="616">
        <v>0</v>
      </c>
      <c r="W73" s="616">
        <v>0</v>
      </c>
      <c r="X73" s="616">
        <v>0</v>
      </c>
      <c r="Y73" s="616">
        <v>0</v>
      </c>
      <c r="Z73" s="616">
        <v>0</v>
      </c>
      <c r="AA73" s="616">
        <v>0</v>
      </c>
      <c r="AB73" s="616">
        <v>0</v>
      </c>
      <c r="AC73" s="616">
        <v>0</v>
      </c>
      <c r="AD73" s="616">
        <v>0</v>
      </c>
      <c r="AE73" s="616">
        <v>0</v>
      </c>
      <c r="AF73" s="616">
        <v>0</v>
      </c>
      <c r="AG73" s="1207">
        <v>0</v>
      </c>
      <c r="AI73" s="365">
        <f t="shared" si="10"/>
        <v>201500</v>
      </c>
    </row>
    <row r="74" spans="1:35" x14ac:dyDescent="0.2">
      <c r="A74" s="666">
        <v>1550</v>
      </c>
      <c r="B74" s="2987" t="s">
        <v>4847</v>
      </c>
      <c r="C74" s="2987"/>
      <c r="D74" t="str">
        <f t="shared" si="9"/>
        <v>OK</v>
      </c>
      <c r="E74" s="1207">
        <v>59787467</v>
      </c>
      <c r="F74" s="1207">
        <v>5254227</v>
      </c>
      <c r="G74" s="1207">
        <v>0</v>
      </c>
      <c r="H74" s="1207">
        <v>0</v>
      </c>
      <c r="I74" s="1207">
        <v>52061620</v>
      </c>
      <c r="J74" s="1207">
        <v>2434298</v>
      </c>
      <c r="K74" s="1207">
        <v>0</v>
      </c>
      <c r="L74" s="1207"/>
      <c r="M74" s="1207">
        <v>37322</v>
      </c>
      <c r="N74" s="1207">
        <v>0</v>
      </c>
      <c r="O74" s="616">
        <v>24896992.760000002</v>
      </c>
      <c r="P74" s="616">
        <v>1000428226.99</v>
      </c>
      <c r="Q74" s="616">
        <v>263410949.25</v>
      </c>
      <c r="R74" s="616">
        <v>86216371.090000004</v>
      </c>
      <c r="S74" s="616">
        <v>273897813.57999998</v>
      </c>
      <c r="T74" s="616">
        <v>22316011.129999999</v>
      </c>
      <c r="U74" s="616">
        <v>72793338.170000002</v>
      </c>
      <c r="V74" s="616">
        <v>216322520.19999999</v>
      </c>
      <c r="W74" s="616">
        <v>20509689.949999999</v>
      </c>
      <c r="X74" s="616">
        <v>99327649.659999996</v>
      </c>
      <c r="Y74" s="616">
        <v>95133079.659999996</v>
      </c>
      <c r="Z74" s="616">
        <v>26986669.43</v>
      </c>
      <c r="AA74" s="616">
        <v>19385761.149999999</v>
      </c>
      <c r="AB74" s="616">
        <v>22823521.550000001</v>
      </c>
      <c r="AC74" s="616">
        <v>20761193.850000001</v>
      </c>
      <c r="AD74" s="616">
        <v>23441518.559999999</v>
      </c>
      <c r="AE74" s="616">
        <v>7653979.4900000002</v>
      </c>
      <c r="AF74" s="616">
        <v>143911.54999999999</v>
      </c>
      <c r="AG74" s="1207">
        <v>7104015.5</v>
      </c>
      <c r="AI74" s="365">
        <f t="shared" si="10"/>
        <v>2356236665.02</v>
      </c>
    </row>
    <row r="75" spans="1:35" x14ac:dyDescent="0.2">
      <c r="A75" s="666">
        <v>1481</v>
      </c>
      <c r="B75" s="2987" t="s">
        <v>5365</v>
      </c>
      <c r="C75" s="2987"/>
      <c r="D75" t="str">
        <f t="shared" si="9"/>
        <v>OK</v>
      </c>
      <c r="E75" s="1207">
        <v>0</v>
      </c>
      <c r="F75" s="1207">
        <v>0</v>
      </c>
      <c r="G75" s="1207">
        <v>0</v>
      </c>
      <c r="H75" s="1207">
        <v>0</v>
      </c>
      <c r="I75" s="1207">
        <v>0</v>
      </c>
      <c r="J75" s="1207">
        <v>0</v>
      </c>
      <c r="K75" s="1207">
        <v>0</v>
      </c>
      <c r="L75" s="1207">
        <v>0</v>
      </c>
      <c r="M75" s="1207">
        <v>0</v>
      </c>
      <c r="N75" s="1207">
        <v>0</v>
      </c>
      <c r="O75" s="616">
        <v>272355.37</v>
      </c>
      <c r="P75" s="616">
        <v>8269.08</v>
      </c>
      <c r="Q75" s="616">
        <v>0</v>
      </c>
      <c r="R75" s="616">
        <v>6926429.1299999999</v>
      </c>
      <c r="S75" s="616">
        <v>0</v>
      </c>
      <c r="T75" s="616">
        <v>0</v>
      </c>
      <c r="U75" s="616">
        <v>0</v>
      </c>
      <c r="V75" s="616">
        <v>0</v>
      </c>
      <c r="W75" s="616">
        <v>0</v>
      </c>
      <c r="X75" s="616">
        <v>0</v>
      </c>
      <c r="Y75" s="616">
        <v>0</v>
      </c>
      <c r="Z75" s="616">
        <v>44981.95</v>
      </c>
      <c r="AA75" s="616">
        <v>149619.18</v>
      </c>
      <c r="AB75" s="616">
        <v>0</v>
      </c>
      <c r="AC75" s="616">
        <v>0</v>
      </c>
      <c r="AD75" s="616">
        <v>0</v>
      </c>
      <c r="AE75" s="616">
        <v>0</v>
      </c>
      <c r="AF75" s="616">
        <v>0</v>
      </c>
      <c r="AG75" s="1207">
        <v>0</v>
      </c>
      <c r="AI75" s="365"/>
    </row>
    <row r="76" spans="1:35" x14ac:dyDescent="0.2">
      <c r="A76" s="666">
        <v>1521</v>
      </c>
      <c r="B76" s="2987" t="s">
        <v>5366</v>
      </c>
      <c r="C76" s="2987"/>
      <c r="D76" t="str">
        <f t="shared" si="9"/>
        <v>OK</v>
      </c>
      <c r="E76" s="1207">
        <v>398227373.95999998</v>
      </c>
      <c r="F76" s="1207">
        <v>65761278.640000001</v>
      </c>
      <c r="G76" s="1207">
        <v>94438556.269999996</v>
      </c>
      <c r="H76" s="1207">
        <v>0</v>
      </c>
      <c r="I76" s="1207">
        <v>100747134.52</v>
      </c>
      <c r="J76" s="1207">
        <v>4892329.88</v>
      </c>
      <c r="K76" s="1207">
        <v>113176424.02</v>
      </c>
      <c r="L76" s="1207">
        <v>0</v>
      </c>
      <c r="M76" s="1207">
        <v>104733.53</v>
      </c>
      <c r="N76" s="1207">
        <v>19106917.100000001</v>
      </c>
      <c r="O76" s="616">
        <v>14254385.810000001</v>
      </c>
      <c r="P76" s="616">
        <v>123480117.59999999</v>
      </c>
      <c r="Q76" s="616">
        <v>90531495.159999996</v>
      </c>
      <c r="R76" s="616">
        <v>424272.37</v>
      </c>
      <c r="S76" s="616">
        <v>4980919.17</v>
      </c>
      <c r="T76" s="616">
        <v>1287243.42</v>
      </c>
      <c r="U76" s="616">
        <v>1051615.4099999999</v>
      </c>
      <c r="V76" s="616">
        <v>34090668.840000004</v>
      </c>
      <c r="W76" s="616">
        <v>4287354.59</v>
      </c>
      <c r="X76" s="616">
        <v>8645792.9299999997</v>
      </c>
      <c r="Y76" s="616">
        <v>5955627.0999999996</v>
      </c>
      <c r="Z76" s="616">
        <v>114858.64</v>
      </c>
      <c r="AA76" s="616">
        <v>1614436.48</v>
      </c>
      <c r="AB76" s="616">
        <v>25303.54</v>
      </c>
      <c r="AC76" s="616">
        <v>0</v>
      </c>
      <c r="AD76" s="616">
        <v>179960.94</v>
      </c>
      <c r="AE76" s="616">
        <v>0</v>
      </c>
      <c r="AF76" s="616">
        <v>0</v>
      </c>
      <c r="AG76" s="1207">
        <v>0</v>
      </c>
      <c r="AI76" s="365"/>
    </row>
    <row r="77" spans="1:35" x14ac:dyDescent="0.2">
      <c r="A77" s="666">
        <v>1531</v>
      </c>
      <c r="B77" s="2987" t="s">
        <v>5367</v>
      </c>
      <c r="C77" s="2987"/>
      <c r="D77" t="str">
        <f t="shared" si="9"/>
        <v>OK</v>
      </c>
      <c r="E77" s="1207">
        <v>4948550.13</v>
      </c>
      <c r="F77" s="1207">
        <v>0</v>
      </c>
      <c r="G77" s="1207">
        <v>0</v>
      </c>
      <c r="H77" s="1207">
        <v>0</v>
      </c>
      <c r="I77" s="1207">
        <v>1730489.76</v>
      </c>
      <c r="J77" s="1207">
        <v>0</v>
      </c>
      <c r="K77" s="1207">
        <v>3218060.37</v>
      </c>
      <c r="L77" s="1207">
        <v>0</v>
      </c>
      <c r="M77" s="1207">
        <v>0</v>
      </c>
      <c r="N77" s="1207">
        <v>0</v>
      </c>
      <c r="O77" s="616">
        <v>0</v>
      </c>
      <c r="P77" s="616">
        <v>0</v>
      </c>
      <c r="Q77" s="616">
        <v>18662431.640000001</v>
      </c>
      <c r="R77" s="616">
        <v>0</v>
      </c>
      <c r="S77" s="616">
        <v>1788784.34</v>
      </c>
      <c r="T77" s="616">
        <v>1575909.89</v>
      </c>
      <c r="U77" s="616">
        <v>897643</v>
      </c>
      <c r="V77" s="616">
        <v>2171688.92</v>
      </c>
      <c r="W77" s="616">
        <v>0</v>
      </c>
      <c r="X77" s="616">
        <v>1392398.16</v>
      </c>
      <c r="Y77" s="616">
        <v>866172.09</v>
      </c>
      <c r="Z77" s="616">
        <v>467028.49</v>
      </c>
      <c r="AA77" s="616">
        <v>0</v>
      </c>
      <c r="AB77" s="616">
        <v>280825.90000000002</v>
      </c>
      <c r="AC77" s="616">
        <v>0</v>
      </c>
      <c r="AD77" s="616">
        <v>932438.82</v>
      </c>
      <c r="AE77" s="616">
        <v>0</v>
      </c>
      <c r="AF77" s="616">
        <v>0</v>
      </c>
      <c r="AG77" s="1207">
        <v>0</v>
      </c>
      <c r="AI77" s="365"/>
    </row>
    <row r="78" spans="1:35" x14ac:dyDescent="0.2">
      <c r="A78" s="666">
        <v>1551</v>
      </c>
      <c r="B78" s="2987" t="s">
        <v>5368</v>
      </c>
      <c r="C78" s="2987"/>
      <c r="D78" t="str">
        <f t="shared" si="9"/>
        <v>OK</v>
      </c>
      <c r="E78" s="1207">
        <v>0</v>
      </c>
      <c r="F78" s="1207">
        <v>0</v>
      </c>
      <c r="G78" s="1207">
        <v>0</v>
      </c>
      <c r="H78" s="1207">
        <v>0</v>
      </c>
      <c r="I78" s="1207">
        <v>0</v>
      </c>
      <c r="J78" s="1207">
        <v>0</v>
      </c>
      <c r="K78" s="1207">
        <v>0</v>
      </c>
      <c r="L78" s="1207">
        <v>0</v>
      </c>
      <c r="M78" s="1207">
        <v>0</v>
      </c>
      <c r="N78" s="1207">
        <v>0</v>
      </c>
      <c r="O78" s="616">
        <v>949115.44</v>
      </c>
      <c r="P78" s="616">
        <v>0</v>
      </c>
      <c r="Q78" s="616">
        <v>0</v>
      </c>
      <c r="R78" s="616">
        <v>362826.85</v>
      </c>
      <c r="S78" s="616">
        <v>0</v>
      </c>
      <c r="T78" s="616">
        <v>0</v>
      </c>
      <c r="U78" s="616">
        <v>0</v>
      </c>
      <c r="V78" s="616">
        <v>0</v>
      </c>
      <c r="W78" s="616">
        <v>0</v>
      </c>
      <c r="X78" s="616">
        <v>0</v>
      </c>
      <c r="Y78" s="616">
        <v>5110427.6100000003</v>
      </c>
      <c r="Z78" s="616">
        <v>0</v>
      </c>
      <c r="AA78" s="616">
        <v>0</v>
      </c>
      <c r="AB78" s="616">
        <v>0</v>
      </c>
      <c r="AC78" s="616">
        <v>0</v>
      </c>
      <c r="AD78" s="616">
        <v>0</v>
      </c>
      <c r="AE78" s="616">
        <v>0</v>
      </c>
      <c r="AF78" s="616">
        <v>0</v>
      </c>
      <c r="AG78" s="1207">
        <v>0</v>
      </c>
      <c r="AI78" s="365"/>
    </row>
    <row r="79" spans="1:35" x14ac:dyDescent="0.2">
      <c r="A79" s="666">
        <v>1553</v>
      </c>
      <c r="B79" s="2987" t="s">
        <v>4852</v>
      </c>
      <c r="C79" s="2987"/>
      <c r="D79" t="str">
        <f t="shared" si="9"/>
        <v>OK</v>
      </c>
      <c r="E79" s="1207">
        <v>241592249.59999999</v>
      </c>
      <c r="F79" s="1207">
        <v>10370833</v>
      </c>
      <c r="G79" s="1207">
        <v>231151126.59999999</v>
      </c>
      <c r="H79" s="1207">
        <v>0</v>
      </c>
      <c r="I79" s="1207">
        <v>0</v>
      </c>
      <c r="J79" s="1207">
        <v>31712</v>
      </c>
      <c r="K79" s="1207">
        <v>38578</v>
      </c>
      <c r="L79" s="1207"/>
      <c r="M79" s="1207">
        <v>0</v>
      </c>
      <c r="N79" s="1207">
        <v>0</v>
      </c>
      <c r="O79" s="616"/>
      <c r="P79" s="616">
        <v>121695628.47</v>
      </c>
      <c r="Q79" s="616">
        <v>41791542.340000004</v>
      </c>
      <c r="R79" s="616">
        <v>0</v>
      </c>
      <c r="S79" s="616">
        <v>13643949</v>
      </c>
      <c r="T79" s="616">
        <v>0</v>
      </c>
      <c r="U79" s="616">
        <v>0</v>
      </c>
      <c r="V79" s="616">
        <v>13335538.09</v>
      </c>
      <c r="W79" s="616">
        <v>0</v>
      </c>
      <c r="X79" s="616">
        <v>267380.84999999998</v>
      </c>
      <c r="Y79" s="616">
        <v>918616.55</v>
      </c>
      <c r="Z79" s="616">
        <v>0</v>
      </c>
      <c r="AA79" s="616">
        <v>358251</v>
      </c>
      <c r="AB79" s="616">
        <v>0</v>
      </c>
      <c r="AC79" s="616">
        <v>0</v>
      </c>
      <c r="AD79" s="616">
        <v>0</v>
      </c>
      <c r="AE79" s="616">
        <v>0</v>
      </c>
      <c r="AF79" s="616">
        <v>0</v>
      </c>
      <c r="AG79" s="1207">
        <v>0</v>
      </c>
      <c r="AI79" s="365">
        <f t="shared" si="10"/>
        <v>433603155.89999998</v>
      </c>
    </row>
    <row r="80" spans="1:35" x14ac:dyDescent="0.2">
      <c r="A80" s="666">
        <v>1555</v>
      </c>
      <c r="B80" s="2987" t="s">
        <v>3183</v>
      </c>
      <c r="C80" s="2987"/>
      <c r="D80" t="str">
        <f t="shared" si="9"/>
        <v>OK</v>
      </c>
      <c r="E80" s="1207">
        <v>0</v>
      </c>
      <c r="F80" s="1207">
        <v>0</v>
      </c>
      <c r="G80" s="1207">
        <v>0</v>
      </c>
      <c r="H80" s="1207">
        <v>0</v>
      </c>
      <c r="I80" s="1207">
        <v>0</v>
      </c>
      <c r="J80" s="1207">
        <v>0</v>
      </c>
      <c r="K80" s="1207">
        <v>0</v>
      </c>
      <c r="L80" s="1207"/>
      <c r="M80" s="1207">
        <v>0</v>
      </c>
      <c r="N80" s="1207">
        <v>0</v>
      </c>
      <c r="O80" s="1639">
        <v>0</v>
      </c>
      <c r="P80" s="616">
        <v>0</v>
      </c>
      <c r="Q80" s="616">
        <v>0</v>
      </c>
      <c r="R80" s="616">
        <v>0</v>
      </c>
      <c r="S80" s="616">
        <v>0</v>
      </c>
      <c r="T80" s="616">
        <v>0</v>
      </c>
      <c r="U80" s="616">
        <v>0</v>
      </c>
      <c r="V80" s="616">
        <v>0</v>
      </c>
      <c r="W80" s="616">
        <v>0</v>
      </c>
      <c r="X80" s="616">
        <v>0</v>
      </c>
      <c r="Y80" s="616">
        <v>0</v>
      </c>
      <c r="Z80" s="616">
        <v>0</v>
      </c>
      <c r="AA80" s="616">
        <v>0</v>
      </c>
      <c r="AB80" s="616">
        <v>0</v>
      </c>
      <c r="AC80" s="616">
        <v>0</v>
      </c>
      <c r="AD80" s="616">
        <v>0</v>
      </c>
      <c r="AE80" s="616">
        <v>0</v>
      </c>
      <c r="AF80" s="616">
        <v>0</v>
      </c>
      <c r="AG80" s="1207">
        <v>0</v>
      </c>
      <c r="AI80" s="365">
        <f t="shared" si="10"/>
        <v>0</v>
      </c>
    </row>
    <row r="81" spans="1:35" x14ac:dyDescent="0.2">
      <c r="A81" s="2075">
        <v>1556</v>
      </c>
      <c r="B81" s="3011" t="s">
        <v>5369</v>
      </c>
      <c r="C81" s="3011"/>
      <c r="D81" t="str">
        <f t="shared" si="9"/>
        <v>OK</v>
      </c>
      <c r="E81" s="1207">
        <v>0</v>
      </c>
      <c r="F81" s="1207">
        <v>0</v>
      </c>
      <c r="G81" s="1207">
        <v>0</v>
      </c>
      <c r="H81" s="1207">
        <v>0</v>
      </c>
      <c r="I81" s="1207">
        <v>0</v>
      </c>
      <c r="J81" s="1207">
        <v>0</v>
      </c>
      <c r="K81" s="1207">
        <v>0</v>
      </c>
      <c r="L81" s="1207"/>
      <c r="M81" s="1207">
        <v>0</v>
      </c>
      <c r="N81" s="1207">
        <v>0</v>
      </c>
      <c r="O81" s="1639">
        <v>0</v>
      </c>
      <c r="P81" s="616">
        <v>0</v>
      </c>
      <c r="Q81" s="616">
        <v>0</v>
      </c>
      <c r="R81" s="616">
        <v>0</v>
      </c>
      <c r="S81" s="616">
        <v>0</v>
      </c>
      <c r="T81" s="616">
        <v>0</v>
      </c>
      <c r="U81" s="616">
        <v>0</v>
      </c>
      <c r="V81" s="616">
        <v>0</v>
      </c>
      <c r="W81" s="616">
        <v>0</v>
      </c>
      <c r="X81" s="616">
        <v>0</v>
      </c>
      <c r="Y81" s="616">
        <v>0</v>
      </c>
      <c r="Z81" s="616">
        <v>0</v>
      </c>
      <c r="AA81" s="616">
        <v>0</v>
      </c>
      <c r="AB81" s="616">
        <v>0</v>
      </c>
      <c r="AC81" s="616">
        <v>0</v>
      </c>
      <c r="AD81" s="616">
        <v>0</v>
      </c>
      <c r="AE81" s="616">
        <v>0</v>
      </c>
      <c r="AF81" s="616">
        <v>0</v>
      </c>
      <c r="AG81" s="616">
        <v>0</v>
      </c>
      <c r="AI81" s="365"/>
    </row>
    <row r="82" spans="1:35" x14ac:dyDescent="0.2">
      <c r="A82" s="2075">
        <v>1556</v>
      </c>
      <c r="B82" s="3011" t="s">
        <v>5370</v>
      </c>
      <c r="C82" s="3011"/>
      <c r="D82" t="str">
        <f t="shared" si="9"/>
        <v>OK</v>
      </c>
      <c r="E82" s="1207">
        <v>0</v>
      </c>
      <c r="F82" s="1207">
        <v>0</v>
      </c>
      <c r="G82" s="1207">
        <v>0</v>
      </c>
      <c r="H82" s="1207">
        <v>0</v>
      </c>
      <c r="I82" s="1207">
        <v>0</v>
      </c>
      <c r="J82" s="1207">
        <v>0</v>
      </c>
      <c r="K82" s="1207">
        <v>0</v>
      </c>
      <c r="L82" s="1207"/>
      <c r="M82" s="1207">
        <v>0</v>
      </c>
      <c r="N82" s="1207">
        <v>0</v>
      </c>
      <c r="O82" s="1639">
        <v>0</v>
      </c>
      <c r="P82" s="616">
        <v>0</v>
      </c>
      <c r="Q82" s="616">
        <v>0</v>
      </c>
      <c r="R82" s="616">
        <v>0</v>
      </c>
      <c r="S82" s="616">
        <v>0</v>
      </c>
      <c r="T82" s="616">
        <v>0</v>
      </c>
      <c r="U82" s="616">
        <v>0</v>
      </c>
      <c r="V82" s="616">
        <v>0</v>
      </c>
      <c r="W82" s="616">
        <v>0</v>
      </c>
      <c r="X82" s="616">
        <v>0</v>
      </c>
      <c r="Y82" s="616">
        <v>0</v>
      </c>
      <c r="Z82" s="616">
        <v>0</v>
      </c>
      <c r="AA82" s="616">
        <v>0</v>
      </c>
      <c r="AB82" s="616">
        <v>0</v>
      </c>
      <c r="AC82" s="616">
        <v>0</v>
      </c>
      <c r="AD82" s="616">
        <v>0</v>
      </c>
      <c r="AE82" s="616">
        <v>0</v>
      </c>
      <c r="AF82" s="616">
        <v>0</v>
      </c>
      <c r="AG82" s="616">
        <v>0</v>
      </c>
      <c r="AI82" s="365"/>
    </row>
    <row r="83" spans="1:35" x14ac:dyDescent="0.2">
      <c r="A83" s="666">
        <v>1560</v>
      </c>
      <c r="B83" s="2987" t="s">
        <v>4853</v>
      </c>
      <c r="C83" s="2987"/>
      <c r="D83" t="str">
        <f t="shared" si="9"/>
        <v>OK</v>
      </c>
      <c r="E83" s="1207">
        <v>21553574.129999999</v>
      </c>
      <c r="F83" s="1207">
        <v>0</v>
      </c>
      <c r="G83" s="1207">
        <v>21553574.129999999</v>
      </c>
      <c r="H83" s="1207">
        <v>0</v>
      </c>
      <c r="I83" s="1207">
        <v>0</v>
      </c>
      <c r="J83" s="1207">
        <v>0</v>
      </c>
      <c r="K83" s="1207">
        <v>0</v>
      </c>
      <c r="L83" s="1207"/>
      <c r="M83" s="1207">
        <v>0</v>
      </c>
      <c r="N83" s="1207">
        <v>0</v>
      </c>
      <c r="O83" s="1639">
        <v>0</v>
      </c>
      <c r="P83" s="616">
        <v>0</v>
      </c>
      <c r="Q83" s="616">
        <v>0</v>
      </c>
      <c r="R83" s="616">
        <v>0</v>
      </c>
      <c r="S83" s="616">
        <v>0</v>
      </c>
      <c r="T83" s="616">
        <v>0</v>
      </c>
      <c r="U83" s="616">
        <v>0</v>
      </c>
      <c r="V83" s="616">
        <v>0</v>
      </c>
      <c r="W83" s="616">
        <v>0</v>
      </c>
      <c r="X83" s="616">
        <v>1371565.43</v>
      </c>
      <c r="Y83" s="616">
        <v>0</v>
      </c>
      <c r="Z83" s="616">
        <v>0</v>
      </c>
      <c r="AA83" s="616">
        <v>0</v>
      </c>
      <c r="AB83" s="616">
        <v>0</v>
      </c>
      <c r="AC83" s="616">
        <v>0</v>
      </c>
      <c r="AD83" s="616">
        <v>0</v>
      </c>
      <c r="AE83" s="616">
        <v>0</v>
      </c>
      <c r="AF83" s="616">
        <v>0</v>
      </c>
      <c r="AG83" s="1207">
        <v>0</v>
      </c>
      <c r="AI83" s="365">
        <f t="shared" si="10"/>
        <v>22925139.559999999</v>
      </c>
    </row>
    <row r="84" spans="1:35" x14ac:dyDescent="0.2">
      <c r="A84" s="666">
        <v>1570</v>
      </c>
      <c r="B84" s="2881" t="s">
        <v>3199</v>
      </c>
      <c r="C84" s="2881"/>
      <c r="D84" t="str">
        <f>IF(ROUND(SUM(F84:N84),2)-ROUND(E84,2)=0,"OK","prob")</f>
        <v>OK</v>
      </c>
      <c r="E84" s="1207">
        <v>-2005663376.53</v>
      </c>
      <c r="F84" s="1207">
        <v>-925467989.01999998</v>
      </c>
      <c r="G84" s="1207">
        <v>-332946838.52999997</v>
      </c>
      <c r="H84" s="1207">
        <v>0</v>
      </c>
      <c r="I84" s="1207">
        <v>-586064404.54999995</v>
      </c>
      <c r="J84" s="1207">
        <v>-23216096.370000001</v>
      </c>
      <c r="K84" s="1207">
        <v>-21971343.039999999</v>
      </c>
      <c r="L84" s="1207"/>
      <c r="M84" s="1207">
        <v>-6248588.8399999999</v>
      </c>
      <c r="N84" s="1207">
        <v>-109748116.18000001</v>
      </c>
      <c r="O84" s="616">
        <v>-86430450.590000004</v>
      </c>
      <c r="P84" s="616">
        <v>-2583680446.9200001</v>
      </c>
      <c r="Q84" s="616">
        <v>-1458521060.0699999</v>
      </c>
      <c r="R84" s="616">
        <v>-346199347.66000003</v>
      </c>
      <c r="S84" s="616">
        <v>-437474684.64999998</v>
      </c>
      <c r="T84" s="616">
        <v>-119901587.38</v>
      </c>
      <c r="U84" s="616">
        <v>-267367545.38999999</v>
      </c>
      <c r="V84" s="616">
        <v>-518174140.74000001</v>
      </c>
      <c r="W84" s="616">
        <v>-232601916.27000001</v>
      </c>
      <c r="X84" s="616">
        <v>-173688689.87</v>
      </c>
      <c r="Y84" s="616">
        <v>-389660200.20999998</v>
      </c>
      <c r="Z84" s="616">
        <v>-111986252.67</v>
      </c>
      <c r="AA84" s="616">
        <v>-137545953.13</v>
      </c>
      <c r="AB84" s="616">
        <v>-84258424.269999996</v>
      </c>
      <c r="AC84" s="616">
        <v>-83064741.090000004</v>
      </c>
      <c r="AD84" s="616">
        <v>-173389446.12</v>
      </c>
      <c r="AE84" s="616">
        <v>-75696473.150000006</v>
      </c>
      <c r="AF84" s="616">
        <v>-34381786.420000002</v>
      </c>
      <c r="AG84" s="1207">
        <v>-2892749.58</v>
      </c>
      <c r="AI84" s="365">
        <f t="shared" si="10"/>
        <v>-9319686523.1299992</v>
      </c>
    </row>
    <row r="85" spans="1:35" x14ac:dyDescent="0.2">
      <c r="A85" s="191"/>
      <c r="B85" s="2881" t="s">
        <v>4854</v>
      </c>
      <c r="C85" s="2881"/>
      <c r="D85" t="str">
        <f>IF(ROUND(SUM(F85:N85),2)-ROUND(E85,2)=0,"OK","prob")</f>
        <v>OK</v>
      </c>
      <c r="E85" s="367">
        <f t="shared" ref="E85:AG85" si="11">SUM(E71:E84)</f>
        <v>1998653584.1199999</v>
      </c>
      <c r="F85" s="367">
        <f t="shared" si="11"/>
        <v>709432934.62</v>
      </c>
      <c r="G85" s="367">
        <f t="shared" si="11"/>
        <v>434920305.87</v>
      </c>
      <c r="H85" s="367">
        <f t="shared" si="11"/>
        <v>0</v>
      </c>
      <c r="I85" s="367">
        <f t="shared" si="11"/>
        <v>641998019.73000002</v>
      </c>
      <c r="J85" s="367">
        <f t="shared" si="11"/>
        <v>20809273.510000002</v>
      </c>
      <c r="K85" s="367">
        <f t="shared" si="11"/>
        <v>106479205.70999999</v>
      </c>
      <c r="L85" s="367">
        <f t="shared" si="11"/>
        <v>0</v>
      </c>
      <c r="M85" s="367">
        <f t="shared" si="11"/>
        <v>15180969.869999999</v>
      </c>
      <c r="N85" s="367">
        <f t="shared" si="11"/>
        <v>69832874.810000002</v>
      </c>
      <c r="O85" s="476">
        <f t="shared" si="11"/>
        <v>70056711.950000003</v>
      </c>
      <c r="P85" s="367">
        <f t="shared" si="11"/>
        <v>2710022231.48</v>
      </c>
      <c r="Q85" s="367">
        <f t="shared" si="11"/>
        <v>2182527046.6700001</v>
      </c>
      <c r="R85" s="367">
        <f t="shared" si="11"/>
        <v>735538255.89999998</v>
      </c>
      <c r="S85" s="367">
        <f t="shared" si="11"/>
        <v>1405752575.28</v>
      </c>
      <c r="T85" s="367">
        <f t="shared" si="11"/>
        <v>239184098.47999999</v>
      </c>
      <c r="U85" s="367">
        <f t="shared" si="11"/>
        <v>748070194.71000004</v>
      </c>
      <c r="V85" s="367">
        <f t="shared" si="11"/>
        <v>1206027703.05</v>
      </c>
      <c r="W85" s="367">
        <f t="shared" si="11"/>
        <v>452668943.89999998</v>
      </c>
      <c r="X85" s="367">
        <f t="shared" si="11"/>
        <v>573564571.23000002</v>
      </c>
      <c r="Y85" s="367">
        <f t="shared" si="11"/>
        <v>756056377.53999996</v>
      </c>
      <c r="Z85" s="367">
        <f t="shared" si="11"/>
        <v>216575956.66</v>
      </c>
      <c r="AA85" s="367">
        <f t="shared" si="11"/>
        <v>239807441.40000001</v>
      </c>
      <c r="AB85" s="367">
        <f t="shared" si="11"/>
        <v>148392122.31999999</v>
      </c>
      <c r="AC85" s="367">
        <f t="shared" si="11"/>
        <v>177373231.69</v>
      </c>
      <c r="AD85" s="367">
        <f t="shared" si="11"/>
        <v>376685977</v>
      </c>
      <c r="AE85" s="367">
        <f t="shared" si="11"/>
        <v>159370277.72999999</v>
      </c>
      <c r="AF85" s="367">
        <f t="shared" si="11"/>
        <v>68441017.890000001</v>
      </c>
      <c r="AG85" s="367">
        <f t="shared" si="11"/>
        <v>5715891.4900000002</v>
      </c>
      <c r="AI85" s="365">
        <f t="shared" si="10"/>
        <v>14464768319</v>
      </c>
    </row>
    <row r="86" spans="1:35" x14ac:dyDescent="0.2">
      <c r="A86" s="381"/>
      <c r="B86" s="2881" t="s">
        <v>4855</v>
      </c>
      <c r="C86" s="2881"/>
      <c r="D86" s="1382" t="str">
        <f>IF(SUM(F86:N86)-E86=0,"OK","prob")</f>
        <v>OK</v>
      </c>
      <c r="E86" s="374">
        <f t="shared" ref="E86:AG86" si="12">SUM(E41:E85)-E69-E85</f>
        <v>5577857234.5699997</v>
      </c>
      <c r="F86" s="2137">
        <f t="shared" si="12"/>
        <v>2772007765.6500001</v>
      </c>
      <c r="G86" s="374">
        <f t="shared" si="12"/>
        <v>1091392449.3699999</v>
      </c>
      <c r="H86" s="374">
        <f t="shared" si="12"/>
        <v>47738171</v>
      </c>
      <c r="I86" s="374">
        <f t="shared" si="12"/>
        <v>1419999440.8800001</v>
      </c>
      <c r="J86" s="374">
        <f t="shared" si="12"/>
        <v>23173078.949999999</v>
      </c>
      <c r="K86" s="374">
        <f t="shared" si="12"/>
        <v>117309507.59999999</v>
      </c>
      <c r="L86" s="374">
        <f t="shared" si="12"/>
        <v>0</v>
      </c>
      <c r="M86" s="374">
        <f t="shared" si="12"/>
        <v>21532355.539999999</v>
      </c>
      <c r="N86" s="374">
        <f t="shared" si="12"/>
        <v>84704465.579999998</v>
      </c>
      <c r="O86" s="403">
        <f t="shared" si="12"/>
        <v>197783349.44</v>
      </c>
      <c r="P86" s="374">
        <f t="shared" si="12"/>
        <v>6450559352.6999998</v>
      </c>
      <c r="Q86" s="403">
        <f t="shared" si="12"/>
        <v>3268896705.4200001</v>
      </c>
      <c r="R86" s="374">
        <f t="shared" si="12"/>
        <v>1217153209.6099999</v>
      </c>
      <c r="S86" s="374">
        <f t="shared" si="12"/>
        <v>1728991769.55</v>
      </c>
      <c r="T86" s="374">
        <f t="shared" si="12"/>
        <v>276954147.50999999</v>
      </c>
      <c r="U86" s="374">
        <f t="shared" si="12"/>
        <v>964985210.09000003</v>
      </c>
      <c r="V86" s="374">
        <f t="shared" si="12"/>
        <v>1403818105.8399999</v>
      </c>
      <c r="W86" s="374">
        <f t="shared" si="12"/>
        <v>653844326.72000003</v>
      </c>
      <c r="X86" s="374">
        <f t="shared" si="12"/>
        <v>863279289.73000002</v>
      </c>
      <c r="Y86" s="374">
        <f t="shared" si="12"/>
        <v>1151917017.26</v>
      </c>
      <c r="Z86" s="374">
        <f t="shared" si="12"/>
        <v>272210030.87</v>
      </c>
      <c r="AA86" s="374">
        <f t="shared" si="12"/>
        <v>298890797.31</v>
      </c>
      <c r="AB86" s="374">
        <f t="shared" si="12"/>
        <v>189881428.77000001</v>
      </c>
      <c r="AC86" s="374">
        <f t="shared" si="12"/>
        <v>224570478.08000001</v>
      </c>
      <c r="AD86" s="374">
        <f t="shared" si="12"/>
        <v>478820587.88</v>
      </c>
      <c r="AE86" s="374">
        <f t="shared" si="12"/>
        <v>217659658.47999999</v>
      </c>
      <c r="AF86" s="374">
        <f t="shared" si="12"/>
        <v>75145612.640000001</v>
      </c>
      <c r="AG86" s="374">
        <f t="shared" si="12"/>
        <v>6038236.79</v>
      </c>
      <c r="AI86" s="365"/>
    </row>
    <row r="87" spans="1:35" x14ac:dyDescent="0.2">
      <c r="B87" s="2347"/>
      <c r="C87" s="2347"/>
      <c r="E87" s="365"/>
      <c r="F87" s="365"/>
      <c r="G87" s="365"/>
      <c r="H87" s="365"/>
      <c r="I87" s="365"/>
      <c r="J87" s="365"/>
      <c r="K87" s="365"/>
      <c r="L87" s="365"/>
      <c r="M87" s="365"/>
      <c r="N87" s="365"/>
      <c r="O87" s="233"/>
      <c r="P87" s="365"/>
      <c r="Q87" s="365"/>
      <c r="R87" s="365"/>
      <c r="S87" s="365"/>
      <c r="T87" s="365"/>
      <c r="U87" s="365"/>
      <c r="V87" s="365"/>
      <c r="W87" s="365"/>
      <c r="X87" s="365"/>
      <c r="Y87" s="365"/>
      <c r="Z87" s="365"/>
      <c r="AA87" s="365"/>
      <c r="AB87" s="365"/>
      <c r="AC87" s="365"/>
      <c r="AD87" s="365"/>
      <c r="AE87" s="365"/>
      <c r="AF87" s="365"/>
      <c r="AG87" s="365"/>
    </row>
    <row r="88" spans="1:35" x14ac:dyDescent="0.2">
      <c r="B88" s="2881" t="s">
        <v>1742</v>
      </c>
      <c r="C88" s="2881"/>
      <c r="D88" s="1382" t="str">
        <f>IF(SUM(F88:N88)-E88=0,"OK","prob")</f>
        <v>prob</v>
      </c>
      <c r="E88" s="367">
        <f t="shared" ref="E88:AG88" si="13">E86+E38</f>
        <v>6992046645.8900003</v>
      </c>
      <c r="F88" s="2136">
        <f t="shared" si="13"/>
        <v>3679240571.8000002</v>
      </c>
      <c r="G88" s="367">
        <f t="shared" si="13"/>
        <v>1473599780.73</v>
      </c>
      <c r="H88" s="367">
        <f t="shared" si="13"/>
        <v>54002578</v>
      </c>
      <c r="I88" s="367">
        <f>I86+I38</f>
        <v>1861704911.8599999</v>
      </c>
      <c r="J88" s="367">
        <f t="shared" si="13"/>
        <v>28448340.199999999</v>
      </c>
      <c r="K88" s="367">
        <f t="shared" si="13"/>
        <v>238674756.03999999</v>
      </c>
      <c r="L88" s="367">
        <f t="shared" si="13"/>
        <v>0</v>
      </c>
      <c r="M88" s="367">
        <f t="shared" si="13"/>
        <v>45531993.090000004</v>
      </c>
      <c r="N88" s="367">
        <f t="shared" si="13"/>
        <v>122044475.94</v>
      </c>
      <c r="O88" s="476">
        <f t="shared" si="13"/>
        <v>382872115.67000002</v>
      </c>
      <c r="P88" s="367">
        <f t="shared" si="13"/>
        <v>8750483153.3400002</v>
      </c>
      <c r="Q88" s="476">
        <f t="shared" si="13"/>
        <v>3778419878.04</v>
      </c>
      <c r="R88" s="367">
        <f t="shared" si="13"/>
        <v>1437316317.96</v>
      </c>
      <c r="S88" s="367">
        <f t="shared" si="13"/>
        <v>2218233386.29</v>
      </c>
      <c r="T88" s="367">
        <f t="shared" si="13"/>
        <v>309276108.69</v>
      </c>
      <c r="U88" s="367">
        <f t="shared" si="13"/>
        <v>1182430502.0899999</v>
      </c>
      <c r="V88" s="367">
        <f t="shared" si="13"/>
        <v>1841133684.6500001</v>
      </c>
      <c r="W88" s="367">
        <f t="shared" si="13"/>
        <v>856296849.35000002</v>
      </c>
      <c r="X88" s="367">
        <f t="shared" si="13"/>
        <v>1057754627.73</v>
      </c>
      <c r="Y88" s="367">
        <f t="shared" si="13"/>
        <v>1375382290.01</v>
      </c>
      <c r="Z88" s="367">
        <f t="shared" si="13"/>
        <v>320238337.14999998</v>
      </c>
      <c r="AA88" s="367">
        <f t="shared" si="13"/>
        <v>365824034.72000003</v>
      </c>
      <c r="AB88" s="367">
        <f t="shared" si="13"/>
        <v>218100023.72</v>
      </c>
      <c r="AC88" s="367">
        <f t="shared" si="13"/>
        <v>258014484.81999999</v>
      </c>
      <c r="AD88" s="367">
        <f t="shared" si="13"/>
        <v>535684760.43000001</v>
      </c>
      <c r="AE88" s="367">
        <f t="shared" si="13"/>
        <v>258981405.78</v>
      </c>
      <c r="AF88" s="367">
        <f t="shared" si="13"/>
        <v>78325409.060000002</v>
      </c>
      <c r="AG88" s="367">
        <f t="shared" si="13"/>
        <v>13119841.84</v>
      </c>
      <c r="AI88" s="365">
        <f>SUM(F88:AF88)</f>
        <v>32728014777.16</v>
      </c>
    </row>
    <row r="89" spans="1:35" x14ac:dyDescent="0.2">
      <c r="B89" s="2347"/>
      <c r="C89" s="2347"/>
      <c r="E89" s="365"/>
      <c r="F89" s="365"/>
      <c r="G89" s="365"/>
      <c r="H89" s="365"/>
      <c r="I89" s="365"/>
      <c r="J89" s="365"/>
      <c r="K89" s="365"/>
      <c r="L89" s="365"/>
      <c r="M89" s="365"/>
      <c r="N89" s="365"/>
      <c r="O89" s="233"/>
      <c r="P89" s="365"/>
      <c r="Q89" s="365"/>
      <c r="R89" s="365"/>
      <c r="S89" s="365"/>
      <c r="T89" s="365"/>
      <c r="U89" s="365"/>
      <c r="V89" s="365"/>
      <c r="W89" s="365"/>
      <c r="X89" s="365"/>
      <c r="Y89" s="365"/>
      <c r="Z89" s="365"/>
      <c r="AA89" s="365"/>
      <c r="AB89" s="365"/>
      <c r="AC89" s="365"/>
      <c r="AD89" s="365"/>
      <c r="AE89" s="365"/>
      <c r="AF89" s="365"/>
      <c r="AG89" s="365"/>
    </row>
    <row r="90" spans="1:35" x14ac:dyDescent="0.2">
      <c r="B90" s="3015" t="s">
        <v>2685</v>
      </c>
      <c r="C90" s="3015"/>
      <c r="E90" s="365"/>
      <c r="F90" s="365"/>
      <c r="G90" s="365"/>
      <c r="H90" s="365"/>
      <c r="I90" s="365"/>
      <c r="J90" s="365"/>
      <c r="K90" s="365"/>
      <c r="L90" s="365"/>
      <c r="M90" s="365"/>
      <c r="N90" s="365"/>
      <c r="O90" s="233"/>
      <c r="P90" s="365"/>
      <c r="Q90" s="365"/>
      <c r="R90" s="365"/>
      <c r="S90" s="365"/>
      <c r="T90" s="365"/>
      <c r="U90" s="365"/>
      <c r="V90" s="365"/>
      <c r="W90" s="365"/>
      <c r="X90" s="365"/>
      <c r="Y90" s="365"/>
      <c r="Z90" s="365"/>
      <c r="AA90" s="365"/>
      <c r="AB90" s="365"/>
      <c r="AC90" s="365"/>
      <c r="AD90" s="365"/>
      <c r="AE90" s="365"/>
      <c r="AF90" s="365"/>
      <c r="AG90" s="365"/>
    </row>
    <row r="91" spans="1:35" x14ac:dyDescent="0.2">
      <c r="A91" s="865">
        <v>1234</v>
      </c>
      <c r="B91" s="2955" t="s">
        <v>2686</v>
      </c>
      <c r="C91" s="2955"/>
      <c r="D91" t="str">
        <f t="shared" ref="D91:D98" si="14">IF(SUM(F91:N91)-E91=0,"OK","prob")</f>
        <v>OK</v>
      </c>
      <c r="E91" s="365">
        <v>3042429.42</v>
      </c>
      <c r="F91" s="233">
        <v>3042429.42</v>
      </c>
      <c r="G91" s="365">
        <v>0</v>
      </c>
      <c r="H91" s="365">
        <v>0</v>
      </c>
      <c r="I91" s="365">
        <v>0</v>
      </c>
      <c r="J91" s="365">
        <v>0</v>
      </c>
      <c r="K91" s="365">
        <v>0</v>
      </c>
      <c r="L91" s="365"/>
      <c r="M91" s="365">
        <v>0</v>
      </c>
      <c r="N91" s="365">
        <v>0</v>
      </c>
      <c r="O91" s="233">
        <v>0</v>
      </c>
      <c r="P91" s="233">
        <v>68532840.069999993</v>
      </c>
      <c r="Q91" s="233">
        <v>0</v>
      </c>
      <c r="R91" s="233">
        <v>0</v>
      </c>
      <c r="S91" s="233">
        <v>0</v>
      </c>
      <c r="T91" s="233">
        <v>0</v>
      </c>
      <c r="U91" s="233">
        <v>0</v>
      </c>
      <c r="V91" s="233">
        <v>0</v>
      </c>
      <c r="W91" s="233">
        <v>0</v>
      </c>
      <c r="X91" s="233">
        <v>0</v>
      </c>
      <c r="Y91" s="233">
        <v>0</v>
      </c>
      <c r="Z91" s="233">
        <v>0</v>
      </c>
      <c r="AA91" s="233">
        <v>0</v>
      </c>
      <c r="AB91" s="233">
        <v>0</v>
      </c>
      <c r="AC91" s="233">
        <v>0</v>
      </c>
      <c r="AD91" s="233">
        <v>0</v>
      </c>
      <c r="AE91" s="233">
        <v>0</v>
      </c>
      <c r="AF91" s="233">
        <v>0</v>
      </c>
      <c r="AG91" s="365">
        <v>0</v>
      </c>
      <c r="AH91" s="365"/>
      <c r="AI91" s="365">
        <f t="shared" ref="AI91:AI98" si="15">SUM(F91:AF91)</f>
        <v>71575269.489999995</v>
      </c>
    </row>
    <row r="92" spans="1:35" x14ac:dyDescent="0.2">
      <c r="A92" s="865">
        <v>1236</v>
      </c>
      <c r="B92" s="2955" t="s">
        <v>2092</v>
      </c>
      <c r="C92" s="2955"/>
      <c r="D92" t="str">
        <f t="shared" si="14"/>
        <v>OK</v>
      </c>
      <c r="E92" s="365">
        <v>0</v>
      </c>
      <c r="F92" s="365">
        <v>0</v>
      </c>
      <c r="G92" s="365">
        <v>0</v>
      </c>
      <c r="H92" s="365">
        <v>0</v>
      </c>
      <c r="I92" s="365">
        <v>0</v>
      </c>
      <c r="J92" s="365">
        <v>0</v>
      </c>
      <c r="K92" s="365">
        <v>0</v>
      </c>
      <c r="L92" s="365"/>
      <c r="M92" s="365">
        <v>0</v>
      </c>
      <c r="N92" s="365">
        <v>0</v>
      </c>
      <c r="O92" s="233">
        <v>0</v>
      </c>
      <c r="P92" s="233">
        <v>8565875.4399999995</v>
      </c>
      <c r="Q92" s="233">
        <v>0</v>
      </c>
      <c r="R92" s="233">
        <v>4235290.3600000003</v>
      </c>
      <c r="S92" s="233">
        <v>14299364.74</v>
      </c>
      <c r="T92" s="233">
        <v>80256.95</v>
      </c>
      <c r="U92" s="233">
        <v>5743877.0599999996</v>
      </c>
      <c r="V92" s="233">
        <v>4925929.42</v>
      </c>
      <c r="W92" s="233">
        <v>648677.07999999996</v>
      </c>
      <c r="X92" s="233">
        <v>4015840.77</v>
      </c>
      <c r="Y92" s="233">
        <v>7884743.6100000003</v>
      </c>
      <c r="Z92" s="233">
        <v>866547.64</v>
      </c>
      <c r="AA92" s="233">
        <v>713194.28</v>
      </c>
      <c r="AB92" s="233">
        <v>862509.3</v>
      </c>
      <c r="AC92" s="233">
        <v>0</v>
      </c>
      <c r="AD92" s="233">
        <v>0</v>
      </c>
      <c r="AE92" s="233">
        <v>0</v>
      </c>
      <c r="AF92" s="233">
        <v>0</v>
      </c>
      <c r="AG92" s="365">
        <v>0</v>
      </c>
      <c r="AH92" s="365"/>
      <c r="AI92" s="365">
        <f t="shared" si="15"/>
        <v>52842106.649999999</v>
      </c>
    </row>
    <row r="93" spans="1:35" x14ac:dyDescent="0.2">
      <c r="A93" s="865">
        <v>1237</v>
      </c>
      <c r="B93" s="2955" t="s">
        <v>2093</v>
      </c>
      <c r="C93" s="2955"/>
      <c r="D93" s="1382" t="str">
        <f t="shared" si="14"/>
        <v>prob</v>
      </c>
      <c r="E93" s="365">
        <v>221489198.13</v>
      </c>
      <c r="F93" s="365">
        <v>153991880.59</v>
      </c>
      <c r="G93" s="365">
        <v>38307934.270000003</v>
      </c>
      <c r="H93" s="365">
        <v>0</v>
      </c>
      <c r="I93" s="365">
        <v>29189383.27</v>
      </c>
      <c r="J93" s="365">
        <v>0</v>
      </c>
      <c r="K93" s="365">
        <v>0</v>
      </c>
      <c r="L93" s="365"/>
      <c r="M93" s="365">
        <v>0</v>
      </c>
      <c r="N93" s="365">
        <v>0</v>
      </c>
      <c r="O93" s="233">
        <v>7337412</v>
      </c>
      <c r="P93" s="233">
        <v>161527208.84999999</v>
      </c>
      <c r="Q93" s="233">
        <v>103201438</v>
      </c>
      <c r="R93" s="233">
        <v>27787952.710000001</v>
      </c>
      <c r="S93" s="233">
        <v>36362746</v>
      </c>
      <c r="T93" s="233">
        <v>5212926.7</v>
      </c>
      <c r="U93" s="233">
        <v>23533273</v>
      </c>
      <c r="V93" s="233">
        <v>61169566.369999997</v>
      </c>
      <c r="W93" s="233">
        <v>22154520.510000002</v>
      </c>
      <c r="X93" s="233">
        <v>18317600</v>
      </c>
      <c r="Y93" s="233">
        <v>32515896</v>
      </c>
      <c r="Z93" s="233">
        <v>10260704.210000001</v>
      </c>
      <c r="AA93" s="233">
        <v>9181166</v>
      </c>
      <c r="AB93" s="233">
        <v>5369717.5899999999</v>
      </c>
      <c r="AC93" s="233">
        <v>9517970.25</v>
      </c>
      <c r="AD93" s="233">
        <v>17119733</v>
      </c>
      <c r="AE93" s="233">
        <v>4851939.99</v>
      </c>
      <c r="AF93" s="233">
        <v>0</v>
      </c>
      <c r="AG93" s="365">
        <v>409464</v>
      </c>
      <c r="AH93" s="365"/>
      <c r="AI93" s="365">
        <f t="shared" si="15"/>
        <v>776910969.30999994</v>
      </c>
    </row>
    <row r="94" spans="1:35" x14ac:dyDescent="0.2">
      <c r="A94" s="865">
        <v>1241</v>
      </c>
      <c r="B94" s="2955" t="s">
        <v>2094</v>
      </c>
      <c r="C94" s="2955"/>
      <c r="D94" t="str">
        <f t="shared" si="14"/>
        <v>OK</v>
      </c>
      <c r="E94" s="365">
        <v>333959684.79000002</v>
      </c>
      <c r="F94" s="365">
        <v>262860419.68000001</v>
      </c>
      <c r="G94" s="365">
        <v>71099265.109999999</v>
      </c>
      <c r="H94" s="365">
        <v>0</v>
      </c>
      <c r="I94" s="365">
        <v>0</v>
      </c>
      <c r="J94" s="365">
        <v>0</v>
      </c>
      <c r="K94" s="365">
        <v>0</v>
      </c>
      <c r="L94" s="365"/>
      <c r="M94" s="365">
        <v>0</v>
      </c>
      <c r="N94" s="365">
        <v>0</v>
      </c>
      <c r="O94" s="233">
        <v>14449072</v>
      </c>
      <c r="P94" s="233">
        <v>446085089</v>
      </c>
      <c r="Q94" s="233">
        <v>208058525</v>
      </c>
      <c r="R94" s="233">
        <v>69884136</v>
      </c>
      <c r="S94" s="233">
        <v>92437340</v>
      </c>
      <c r="T94" s="233">
        <v>11247366.689999999</v>
      </c>
      <c r="U94" s="233">
        <v>67449723</v>
      </c>
      <c r="V94" s="233">
        <v>115985779</v>
      </c>
      <c r="W94" s="233">
        <v>39036658.460000001</v>
      </c>
      <c r="X94" s="233">
        <v>35191018</v>
      </c>
      <c r="Y94" s="233">
        <v>54754866</v>
      </c>
      <c r="Z94" s="233">
        <v>18471019.27</v>
      </c>
      <c r="AA94" s="233">
        <v>12602520.220000001</v>
      </c>
      <c r="AB94" s="233">
        <v>7372642</v>
      </c>
      <c r="AC94" s="233">
        <v>16008257.02</v>
      </c>
      <c r="AD94" s="233">
        <v>19423836</v>
      </c>
      <c r="AE94" s="233">
        <v>9653801.7599999998</v>
      </c>
      <c r="AF94" s="233">
        <v>0</v>
      </c>
      <c r="AG94" s="365">
        <v>600670</v>
      </c>
      <c r="AH94" s="365"/>
      <c r="AI94" s="365">
        <f t="shared" si="15"/>
        <v>1572071334.21</v>
      </c>
    </row>
    <row r="95" spans="1:35" x14ac:dyDescent="0.2">
      <c r="A95" s="865">
        <v>1242</v>
      </c>
      <c r="B95" s="2955" t="s">
        <v>2687</v>
      </c>
      <c r="C95" s="2955"/>
      <c r="D95" t="str">
        <f t="shared" si="14"/>
        <v>OK</v>
      </c>
      <c r="E95" s="365">
        <v>0</v>
      </c>
      <c r="F95" s="365">
        <v>0</v>
      </c>
      <c r="G95" s="365">
        <v>0</v>
      </c>
      <c r="H95" s="365">
        <v>0</v>
      </c>
      <c r="I95" s="365">
        <v>0</v>
      </c>
      <c r="J95" s="365">
        <v>0</v>
      </c>
      <c r="K95" s="365">
        <v>0</v>
      </c>
      <c r="L95" s="365"/>
      <c r="M95" s="365">
        <v>0</v>
      </c>
      <c r="N95" s="365">
        <v>0</v>
      </c>
      <c r="O95" s="233">
        <v>0</v>
      </c>
      <c r="P95" s="233">
        <v>0</v>
      </c>
      <c r="Q95" s="233">
        <v>13833032</v>
      </c>
      <c r="R95" s="233">
        <v>0</v>
      </c>
      <c r="S95" s="233">
        <v>0</v>
      </c>
      <c r="T95" s="233">
        <v>0</v>
      </c>
      <c r="U95" s="233">
        <v>0</v>
      </c>
      <c r="V95" s="233">
        <v>0</v>
      </c>
      <c r="W95" s="233">
        <v>0</v>
      </c>
      <c r="X95" s="233">
        <v>0</v>
      </c>
      <c r="Y95" s="233">
        <v>0</v>
      </c>
      <c r="Z95" s="233">
        <v>0</v>
      </c>
      <c r="AA95" s="233">
        <v>0</v>
      </c>
      <c r="AB95" s="233">
        <v>0</v>
      </c>
      <c r="AC95" s="233">
        <v>0</v>
      </c>
      <c r="AD95" s="233">
        <v>0</v>
      </c>
      <c r="AE95" s="233">
        <v>0</v>
      </c>
      <c r="AF95" s="233">
        <v>0</v>
      </c>
      <c r="AG95" s="365">
        <v>0</v>
      </c>
      <c r="AH95" s="365"/>
      <c r="AI95" s="365">
        <f t="shared" si="15"/>
        <v>13833032</v>
      </c>
    </row>
    <row r="96" spans="1:35" x14ac:dyDescent="0.2">
      <c r="A96" s="865">
        <v>1238</v>
      </c>
      <c r="B96" s="2955" t="s">
        <v>2095</v>
      </c>
      <c r="C96" s="2955"/>
      <c r="D96" t="str">
        <f t="shared" si="14"/>
        <v>OK</v>
      </c>
      <c r="E96" s="365">
        <v>0</v>
      </c>
      <c r="F96" s="365">
        <v>0</v>
      </c>
      <c r="G96" s="365">
        <v>0</v>
      </c>
      <c r="H96" s="365">
        <v>0</v>
      </c>
      <c r="I96" s="365">
        <v>0</v>
      </c>
      <c r="J96" s="365">
        <v>0</v>
      </c>
      <c r="K96" s="365">
        <v>0</v>
      </c>
      <c r="L96" s="365"/>
      <c r="M96" s="365">
        <v>0</v>
      </c>
      <c r="N96" s="365">
        <v>0</v>
      </c>
      <c r="O96" s="233">
        <v>0</v>
      </c>
      <c r="P96" s="233">
        <v>0</v>
      </c>
      <c r="Q96" s="233">
        <v>0</v>
      </c>
      <c r="R96" s="233">
        <v>0</v>
      </c>
      <c r="S96" s="233">
        <v>0</v>
      </c>
      <c r="T96" s="233">
        <v>0</v>
      </c>
      <c r="U96" s="233">
        <v>0</v>
      </c>
      <c r="V96" s="233">
        <v>0</v>
      </c>
      <c r="W96" s="233">
        <v>0</v>
      </c>
      <c r="X96" s="233">
        <v>0</v>
      </c>
      <c r="Y96" s="233">
        <v>0</v>
      </c>
      <c r="Z96" s="233">
        <v>0</v>
      </c>
      <c r="AA96" s="233">
        <v>0</v>
      </c>
      <c r="AB96" s="233">
        <v>0</v>
      </c>
      <c r="AC96" s="233">
        <v>0</v>
      </c>
      <c r="AD96" s="233">
        <v>0</v>
      </c>
      <c r="AE96" s="233">
        <v>0</v>
      </c>
      <c r="AF96" s="233">
        <v>0</v>
      </c>
      <c r="AG96" s="365">
        <v>0</v>
      </c>
      <c r="AH96" s="365"/>
      <c r="AI96" s="365">
        <f t="shared" si="15"/>
        <v>0</v>
      </c>
    </row>
    <row r="97" spans="1:35" x14ac:dyDescent="0.2">
      <c r="A97" s="865">
        <v>1239</v>
      </c>
      <c r="B97" s="2955" t="s">
        <v>2096</v>
      </c>
      <c r="C97" s="2955"/>
      <c r="D97" t="str">
        <f t="shared" si="14"/>
        <v>OK</v>
      </c>
      <c r="E97" s="367">
        <v>0</v>
      </c>
      <c r="F97" s="367">
        <v>0</v>
      </c>
      <c r="G97" s="367">
        <v>0</v>
      </c>
      <c r="H97" s="367">
        <v>0</v>
      </c>
      <c r="I97" s="367">
        <v>0</v>
      </c>
      <c r="J97" s="367">
        <v>0</v>
      </c>
      <c r="K97" s="367">
        <v>0</v>
      </c>
      <c r="L97" s="367"/>
      <c r="M97" s="367">
        <v>0</v>
      </c>
      <c r="N97" s="367">
        <v>0</v>
      </c>
      <c r="O97" s="233">
        <v>0</v>
      </c>
      <c r="P97" s="233">
        <v>0</v>
      </c>
      <c r="Q97" s="233">
        <v>0</v>
      </c>
      <c r="R97" s="233">
        <v>0</v>
      </c>
      <c r="S97" s="233">
        <v>0</v>
      </c>
      <c r="T97" s="233">
        <v>0</v>
      </c>
      <c r="U97" s="233">
        <v>0</v>
      </c>
      <c r="V97" s="233">
        <v>0</v>
      </c>
      <c r="W97" s="233">
        <v>0</v>
      </c>
      <c r="X97" s="233">
        <v>0</v>
      </c>
      <c r="Y97" s="233">
        <v>0</v>
      </c>
      <c r="Z97" s="233">
        <v>0</v>
      </c>
      <c r="AA97" s="233">
        <v>0</v>
      </c>
      <c r="AB97" s="233">
        <v>0</v>
      </c>
      <c r="AC97" s="233">
        <v>0</v>
      </c>
      <c r="AD97" s="233">
        <v>0</v>
      </c>
      <c r="AE97" s="233">
        <v>0</v>
      </c>
      <c r="AF97" s="233">
        <v>0</v>
      </c>
      <c r="AG97" s="367">
        <v>0</v>
      </c>
      <c r="AH97" s="365"/>
      <c r="AI97" s="365">
        <f t="shared" si="15"/>
        <v>0</v>
      </c>
    </row>
    <row r="98" spans="1:35" x14ac:dyDescent="0.2">
      <c r="B98" s="2955" t="s">
        <v>5371</v>
      </c>
      <c r="C98" s="2955"/>
      <c r="D98" t="str">
        <f t="shared" si="14"/>
        <v>OK</v>
      </c>
      <c r="E98" s="374">
        <f>SUM(E91:E97)</f>
        <v>558491312.34000003</v>
      </c>
      <c r="F98" s="2137">
        <f t="shared" ref="F98:AG98" si="16">SUM(F91:F97)</f>
        <v>419894729.69</v>
      </c>
      <c r="G98" s="374">
        <f t="shared" si="16"/>
        <v>109407199.38</v>
      </c>
      <c r="H98" s="374">
        <f t="shared" si="16"/>
        <v>0</v>
      </c>
      <c r="I98" s="374">
        <f t="shared" si="16"/>
        <v>29189383.27</v>
      </c>
      <c r="J98" s="374">
        <f t="shared" si="16"/>
        <v>0</v>
      </c>
      <c r="K98" s="374">
        <f t="shared" si="16"/>
        <v>0</v>
      </c>
      <c r="L98" s="374">
        <f t="shared" si="16"/>
        <v>0</v>
      </c>
      <c r="M98" s="374">
        <f>SUM(M91:M97)</f>
        <v>0</v>
      </c>
      <c r="N98" s="374">
        <f t="shared" si="16"/>
        <v>0</v>
      </c>
      <c r="O98" s="403">
        <f t="shared" si="16"/>
        <v>21786484</v>
      </c>
      <c r="P98" s="374">
        <f t="shared" si="16"/>
        <v>684711013.36000001</v>
      </c>
      <c r="Q98" s="374">
        <f t="shared" si="16"/>
        <v>325092995</v>
      </c>
      <c r="R98" s="374">
        <f t="shared" si="16"/>
        <v>101907379.06999999</v>
      </c>
      <c r="S98" s="374">
        <f t="shared" si="16"/>
        <v>143099450.74000001</v>
      </c>
      <c r="T98" s="374">
        <f t="shared" si="16"/>
        <v>16540550.34</v>
      </c>
      <c r="U98" s="374">
        <f t="shared" si="16"/>
        <v>96726873.060000002</v>
      </c>
      <c r="V98" s="374">
        <f t="shared" si="16"/>
        <v>182081274.78999999</v>
      </c>
      <c r="W98" s="374">
        <f t="shared" si="16"/>
        <v>61839856.049999997</v>
      </c>
      <c r="X98" s="374">
        <f t="shared" si="16"/>
        <v>57524458.770000003</v>
      </c>
      <c r="Y98" s="374">
        <f t="shared" si="16"/>
        <v>95155505.609999999</v>
      </c>
      <c r="Z98" s="374">
        <f t="shared" si="16"/>
        <v>29598271.120000001</v>
      </c>
      <c r="AA98" s="374">
        <f t="shared" si="16"/>
        <v>22496880.5</v>
      </c>
      <c r="AB98" s="374">
        <f t="shared" si="16"/>
        <v>13604868.890000001</v>
      </c>
      <c r="AC98" s="374">
        <f t="shared" si="16"/>
        <v>25526227.27</v>
      </c>
      <c r="AD98" s="374">
        <f t="shared" si="16"/>
        <v>36543569</v>
      </c>
      <c r="AE98" s="374">
        <f t="shared" si="16"/>
        <v>14505741.75</v>
      </c>
      <c r="AF98" s="374">
        <f t="shared" si="16"/>
        <v>0</v>
      </c>
      <c r="AG98" s="374">
        <f t="shared" si="16"/>
        <v>1010134</v>
      </c>
      <c r="AH98" s="365"/>
      <c r="AI98" s="365">
        <f t="shared" si="15"/>
        <v>2487232711.6599998</v>
      </c>
    </row>
    <row r="99" spans="1:35" x14ac:dyDescent="0.2">
      <c r="B99" s="2347"/>
      <c r="C99" s="2347"/>
      <c r="E99" s="365"/>
      <c r="F99" s="365"/>
      <c r="G99" s="365"/>
      <c r="H99" s="365"/>
      <c r="I99" s="365"/>
      <c r="J99" s="365"/>
      <c r="K99" s="365"/>
      <c r="L99" s="365"/>
      <c r="M99" s="365"/>
      <c r="N99" s="365"/>
      <c r="O99" s="233"/>
      <c r="P99" s="365"/>
      <c r="Q99" s="365"/>
      <c r="R99" s="365"/>
      <c r="S99" s="365"/>
      <c r="T99" s="365"/>
      <c r="U99" s="365"/>
      <c r="V99" s="365"/>
      <c r="W99" s="365"/>
      <c r="X99" s="365"/>
      <c r="Y99" s="365"/>
      <c r="Z99" s="365"/>
      <c r="AA99" s="365"/>
      <c r="AB99" s="365"/>
      <c r="AC99" s="365"/>
      <c r="AD99" s="365"/>
      <c r="AE99" s="365"/>
      <c r="AF99" s="365"/>
      <c r="AG99" s="365"/>
    </row>
    <row r="100" spans="1:35" x14ac:dyDescent="0.2">
      <c r="B100" s="2377" t="s">
        <v>4857</v>
      </c>
      <c r="C100" s="2377"/>
      <c r="E100" s="365"/>
      <c r="F100" s="365"/>
      <c r="G100" s="365"/>
      <c r="H100" s="365"/>
      <c r="I100" s="365"/>
      <c r="J100" s="365"/>
      <c r="K100" s="365"/>
      <c r="L100" s="365"/>
      <c r="M100" s="365"/>
      <c r="N100" s="365"/>
      <c r="O100" s="233"/>
      <c r="P100" s="365"/>
      <c r="Q100" s="365"/>
      <c r="R100" s="365"/>
      <c r="S100" s="365"/>
      <c r="T100" s="365"/>
      <c r="U100" s="365"/>
      <c r="V100" s="365"/>
      <c r="W100" s="365"/>
      <c r="X100" s="365"/>
      <c r="Y100" s="365"/>
      <c r="Z100" s="365"/>
      <c r="AA100" s="365"/>
      <c r="AB100" s="365"/>
      <c r="AC100" s="365"/>
      <c r="AD100" s="365"/>
      <c r="AE100" s="365"/>
      <c r="AF100" s="365"/>
      <c r="AG100" s="365"/>
    </row>
    <row r="101" spans="1:35" x14ac:dyDescent="0.2">
      <c r="B101" s="239" t="s">
        <v>2690</v>
      </c>
      <c r="C101" s="239"/>
      <c r="E101" s="365"/>
      <c r="F101" s="365"/>
      <c r="G101" s="365"/>
      <c r="H101" s="365"/>
      <c r="I101" s="365"/>
      <c r="J101" s="365"/>
      <c r="K101" s="365"/>
      <c r="L101" s="365"/>
      <c r="M101" s="365"/>
      <c r="N101" s="365"/>
      <c r="O101" s="233"/>
      <c r="P101" s="365"/>
      <c r="Q101" s="365"/>
      <c r="R101" s="365"/>
      <c r="S101" s="365"/>
      <c r="T101" s="365"/>
      <c r="U101" s="365"/>
      <c r="V101" s="365"/>
      <c r="W101" s="365"/>
      <c r="X101" s="365"/>
      <c r="Y101" s="365"/>
      <c r="Z101" s="365"/>
      <c r="AA101" s="365"/>
      <c r="AB101" s="365"/>
      <c r="AC101" s="365"/>
      <c r="AD101" s="365"/>
      <c r="AE101" s="365"/>
      <c r="AF101" s="365"/>
      <c r="AG101" s="365"/>
    </row>
    <row r="102" spans="1:35" x14ac:dyDescent="0.2">
      <c r="B102" s="191" t="s">
        <v>2691</v>
      </c>
      <c r="C102" s="191"/>
      <c r="E102" s="365"/>
      <c r="F102" s="365"/>
      <c r="G102" s="365"/>
      <c r="H102" s="365"/>
      <c r="I102" s="365"/>
      <c r="J102" s="365"/>
      <c r="K102" s="365"/>
      <c r="L102" s="365"/>
      <c r="M102" s="365"/>
      <c r="N102" s="365"/>
      <c r="O102" s="233"/>
      <c r="P102" s="365"/>
      <c r="Q102" s="365"/>
      <c r="R102" s="365"/>
      <c r="S102" s="365"/>
      <c r="T102" s="365"/>
      <c r="U102" s="365"/>
      <c r="V102" s="365"/>
      <c r="W102" s="365"/>
      <c r="X102" s="365"/>
      <c r="Y102" s="365"/>
      <c r="Z102" s="365"/>
      <c r="AA102" s="365"/>
      <c r="AB102" s="365"/>
      <c r="AC102" s="365"/>
      <c r="AD102" s="365"/>
      <c r="AE102" s="365"/>
      <c r="AF102" s="365"/>
      <c r="AG102" s="365"/>
    </row>
    <row r="103" spans="1:35" x14ac:dyDescent="0.2">
      <c r="A103" s="191">
        <v>1640</v>
      </c>
      <c r="B103" s="2987" t="s">
        <v>2729</v>
      </c>
      <c r="C103" s="2987"/>
      <c r="D103" t="str">
        <f>IF(ROUND(SUM(F103:N103),2)-ROUND(E103,2)=0,"OK","prob")</f>
        <v>OK</v>
      </c>
      <c r="E103" s="365">
        <v>383183864.64999998</v>
      </c>
      <c r="F103" s="365">
        <v>143007422.30000001</v>
      </c>
      <c r="G103" s="365">
        <v>161844050.37</v>
      </c>
      <c r="H103" s="365">
        <v>64497</v>
      </c>
      <c r="I103" s="365">
        <v>58014556.990000002</v>
      </c>
      <c r="J103" s="365">
        <v>502145.22</v>
      </c>
      <c r="K103" s="365">
        <v>13096811.390000001</v>
      </c>
      <c r="L103" s="365"/>
      <c r="M103" s="365">
        <v>4333612.43</v>
      </c>
      <c r="N103" s="365">
        <v>2320768.9500000002</v>
      </c>
      <c r="O103" s="233">
        <v>3259493.53</v>
      </c>
      <c r="P103" s="233">
        <v>99201334.329999998</v>
      </c>
      <c r="Q103" s="233">
        <v>47025667.009999998</v>
      </c>
      <c r="R103" s="233">
        <v>6013357.04</v>
      </c>
      <c r="S103" s="233">
        <v>6987682.6600000001</v>
      </c>
      <c r="T103" s="233">
        <v>1360980.16</v>
      </c>
      <c r="U103" s="233">
        <v>3480870.03</v>
      </c>
      <c r="V103" s="233">
        <v>11146053.58</v>
      </c>
      <c r="W103" s="233">
        <v>3884217.94</v>
      </c>
      <c r="X103" s="233">
        <v>10568737.890000001</v>
      </c>
      <c r="Y103" s="233">
        <v>9780899.1500000004</v>
      </c>
      <c r="Z103" s="233">
        <v>3869255.05</v>
      </c>
      <c r="AA103" s="233">
        <v>684307.81</v>
      </c>
      <c r="AB103" s="233">
        <v>1870671.88</v>
      </c>
      <c r="AC103" s="233">
        <v>5065117.18</v>
      </c>
      <c r="AD103" s="233">
        <v>8398316.5500000007</v>
      </c>
      <c r="AE103" s="233">
        <v>2495105.56</v>
      </c>
      <c r="AF103" s="233">
        <v>362388.33</v>
      </c>
      <c r="AG103" s="365">
        <v>411018.38</v>
      </c>
      <c r="AI103" s="365">
        <f t="shared" ref="AI103:AI138" si="17">SUM(F103:AF103)</f>
        <v>608638320.33000004</v>
      </c>
    </row>
    <row r="104" spans="1:35" x14ac:dyDescent="0.2">
      <c r="A104" s="191">
        <v>1650</v>
      </c>
      <c r="B104" s="2987" t="s">
        <v>2693</v>
      </c>
      <c r="C104" s="2987"/>
      <c r="D104" s="1382" t="str">
        <f>IF(SUM(F104:N104)-E104=0,"OK","prob")</f>
        <v>prob</v>
      </c>
      <c r="E104" s="365">
        <v>238252308.69</v>
      </c>
      <c r="F104" s="365">
        <v>65019307</v>
      </c>
      <c r="G104" s="365">
        <v>66649544.079999998</v>
      </c>
      <c r="H104" s="365">
        <v>0</v>
      </c>
      <c r="I104" s="365">
        <v>65951829.869999997</v>
      </c>
      <c r="J104" s="365">
        <v>1104162.17</v>
      </c>
      <c r="K104" s="365">
        <v>28884607.32</v>
      </c>
      <c r="L104" s="365"/>
      <c r="M104" s="365">
        <v>1921773.64</v>
      </c>
      <c r="N104" s="365">
        <v>8721084.6099999994</v>
      </c>
      <c r="O104" s="233">
        <v>1353412.49</v>
      </c>
      <c r="P104" s="233">
        <v>91766739.099999994</v>
      </c>
      <c r="Q104" s="233">
        <v>8507249.2599999998</v>
      </c>
      <c r="R104" s="233">
        <v>6411705.54</v>
      </c>
      <c r="S104" s="233">
        <v>1063020.6100000001</v>
      </c>
      <c r="T104" s="233">
        <v>512470.86</v>
      </c>
      <c r="U104" s="233">
        <v>742999.44</v>
      </c>
      <c r="V104" s="233">
        <v>18081599.5</v>
      </c>
      <c r="W104" s="233">
        <v>1848661.15</v>
      </c>
      <c r="X104" s="233">
        <v>1642575.28</v>
      </c>
      <c r="Y104" s="233">
        <v>4253064.59</v>
      </c>
      <c r="Z104" s="233">
        <v>459846.45</v>
      </c>
      <c r="AA104" s="233">
        <v>77057.63</v>
      </c>
      <c r="AB104" s="233">
        <v>958412.34</v>
      </c>
      <c r="AC104" s="233">
        <v>1108579.48</v>
      </c>
      <c r="AD104" s="233">
        <v>3658862.06</v>
      </c>
      <c r="AE104" s="233">
        <v>173403.22</v>
      </c>
      <c r="AF104" s="233">
        <v>0</v>
      </c>
      <c r="AG104" s="365">
        <v>29298.76</v>
      </c>
      <c r="AI104" s="365">
        <f t="shared" si="17"/>
        <v>380871967.69</v>
      </c>
    </row>
    <row r="105" spans="1:35" x14ac:dyDescent="0.2">
      <c r="A105" s="191">
        <v>1660</v>
      </c>
      <c r="B105" s="2987" t="s">
        <v>2694</v>
      </c>
      <c r="C105" s="2987"/>
      <c r="D105" t="str">
        <f>IF(SUM(F105:N105)-E105=0,"OK","prob")</f>
        <v>prob</v>
      </c>
      <c r="E105" s="365">
        <v>123867514.09999999</v>
      </c>
      <c r="F105" s="365">
        <v>120849340.37</v>
      </c>
      <c r="G105" s="365">
        <v>0</v>
      </c>
      <c r="H105" s="365">
        <v>0</v>
      </c>
      <c r="I105" s="365">
        <v>0</v>
      </c>
      <c r="J105" s="365">
        <v>647907.28</v>
      </c>
      <c r="K105" s="365">
        <v>1913984.2</v>
      </c>
      <c r="L105" s="365"/>
      <c r="M105" s="365">
        <v>0</v>
      </c>
      <c r="N105" s="365">
        <v>456282.25</v>
      </c>
      <c r="O105" s="233">
        <v>0</v>
      </c>
      <c r="P105" s="233">
        <v>20965570.690000001</v>
      </c>
      <c r="Q105" s="2004">
        <v>0</v>
      </c>
      <c r="R105" s="233">
        <v>0</v>
      </c>
      <c r="S105" s="233">
        <v>251071.94</v>
      </c>
      <c r="T105" s="233">
        <v>52984.22</v>
      </c>
      <c r="U105" s="233">
        <v>7905.28</v>
      </c>
      <c r="V105" s="233">
        <v>0</v>
      </c>
      <c r="W105" s="233">
        <v>52745.919999999998</v>
      </c>
      <c r="X105" s="233">
        <v>0</v>
      </c>
      <c r="Y105" s="233">
        <v>81851.990000000005</v>
      </c>
      <c r="Z105" s="233">
        <v>0</v>
      </c>
      <c r="AA105" s="233">
        <v>0</v>
      </c>
      <c r="AB105" s="233">
        <v>0</v>
      </c>
      <c r="AC105" s="233">
        <v>0</v>
      </c>
      <c r="AD105" s="233">
        <v>108502.3</v>
      </c>
      <c r="AE105" s="233">
        <v>0</v>
      </c>
      <c r="AF105" s="233">
        <v>0</v>
      </c>
      <c r="AG105" s="365">
        <v>0</v>
      </c>
      <c r="AI105" s="365">
        <f t="shared" si="17"/>
        <v>145388146.44</v>
      </c>
    </row>
    <row r="106" spans="1:35" x14ac:dyDescent="0.2">
      <c r="A106" s="191">
        <v>1670</v>
      </c>
      <c r="B106" s="2987" t="s">
        <v>2695</v>
      </c>
      <c r="C106" s="2987"/>
      <c r="D106" t="str">
        <f>IF(SUM(F106:N106)-E106=0,"OK","prob")</f>
        <v>OK</v>
      </c>
      <c r="E106" s="365">
        <v>1576754.93</v>
      </c>
      <c r="F106" s="365">
        <v>0</v>
      </c>
      <c r="G106" s="365">
        <v>0</v>
      </c>
      <c r="H106" s="365">
        <v>0</v>
      </c>
      <c r="I106" s="365">
        <v>0</v>
      </c>
      <c r="J106" s="365">
        <v>0</v>
      </c>
      <c r="K106" s="365">
        <v>0</v>
      </c>
      <c r="L106" s="365"/>
      <c r="M106" s="365">
        <v>1302152.42</v>
      </c>
      <c r="N106" s="365">
        <v>274602.51</v>
      </c>
      <c r="O106" s="233">
        <v>0</v>
      </c>
      <c r="P106" s="233">
        <v>0</v>
      </c>
      <c r="Q106" s="2004">
        <v>0</v>
      </c>
      <c r="R106" s="233">
        <v>0</v>
      </c>
      <c r="S106" s="233">
        <v>0</v>
      </c>
      <c r="T106" s="233">
        <v>0</v>
      </c>
      <c r="U106" s="233">
        <v>0</v>
      </c>
      <c r="V106" s="233">
        <v>0</v>
      </c>
      <c r="W106" s="233">
        <v>0</v>
      </c>
      <c r="X106" s="233">
        <v>0</v>
      </c>
      <c r="Y106" s="233">
        <v>0</v>
      </c>
      <c r="Z106" s="233">
        <v>0</v>
      </c>
      <c r="AA106" s="233">
        <v>0</v>
      </c>
      <c r="AB106" s="233">
        <v>0</v>
      </c>
      <c r="AC106" s="233">
        <v>0</v>
      </c>
      <c r="AD106" s="233">
        <v>20297.330000000002</v>
      </c>
      <c r="AE106" s="233">
        <v>0</v>
      </c>
      <c r="AF106" s="233">
        <v>0</v>
      </c>
      <c r="AG106" s="365">
        <v>0</v>
      </c>
      <c r="AI106" s="365">
        <f t="shared" si="17"/>
        <v>1597052.26</v>
      </c>
    </row>
    <row r="107" spans="1:35" x14ac:dyDescent="0.2">
      <c r="A107" s="191">
        <v>1840</v>
      </c>
      <c r="B107" s="2881" t="s">
        <v>2696</v>
      </c>
      <c r="C107" s="2881"/>
      <c r="D107" t="str">
        <f>IF(SUM(F107:N107)=E107,"OK","prob")</f>
        <v>OK</v>
      </c>
      <c r="E107" s="365">
        <v>10861298.279999999</v>
      </c>
      <c r="F107" s="365">
        <v>5052103.83</v>
      </c>
      <c r="G107" s="365">
        <v>0</v>
      </c>
      <c r="H107" s="365">
        <v>0</v>
      </c>
      <c r="I107" s="365">
        <v>5759902.2199999997</v>
      </c>
      <c r="J107" s="365">
        <v>11635</v>
      </c>
      <c r="K107" s="365">
        <v>0</v>
      </c>
      <c r="L107" s="365"/>
      <c r="M107" s="365">
        <v>11.26</v>
      </c>
      <c r="N107" s="365">
        <v>37645.97</v>
      </c>
      <c r="O107" s="233">
        <v>161.30000000000001</v>
      </c>
      <c r="P107" s="233">
        <v>3220418.15</v>
      </c>
      <c r="Q107" s="233">
        <v>4320612.0199999996</v>
      </c>
      <c r="R107" s="233">
        <v>2891019.8</v>
      </c>
      <c r="S107" s="233">
        <v>4792762.7300000004</v>
      </c>
      <c r="T107" s="233">
        <v>368987.61</v>
      </c>
      <c r="U107" s="233">
        <v>1300584.8999999999</v>
      </c>
      <c r="V107" s="233">
        <v>2984488.79</v>
      </c>
      <c r="W107" s="233">
        <v>931070.96</v>
      </c>
      <c r="X107" s="233">
        <v>1959855.17</v>
      </c>
      <c r="Y107" s="233">
        <v>2344145.09</v>
      </c>
      <c r="Z107" s="233">
        <v>426389.27</v>
      </c>
      <c r="AA107" s="233">
        <v>667833.19999999995</v>
      </c>
      <c r="AB107" s="233">
        <v>227491.12</v>
      </c>
      <c r="AC107" s="233">
        <v>483686.78</v>
      </c>
      <c r="AD107" s="233">
        <v>1089363.68</v>
      </c>
      <c r="AE107" s="233">
        <v>701425</v>
      </c>
      <c r="AF107" s="233">
        <v>0</v>
      </c>
      <c r="AG107" s="365">
        <v>0</v>
      </c>
      <c r="AI107" s="365">
        <f t="shared" si="17"/>
        <v>39571593.850000001</v>
      </c>
    </row>
    <row r="108" spans="1:35" x14ac:dyDescent="0.2">
      <c r="A108" s="191"/>
      <c r="B108" s="191" t="s">
        <v>2697</v>
      </c>
      <c r="C108" s="191"/>
      <c r="E108" s="365"/>
      <c r="F108" s="365"/>
      <c r="G108" s="365"/>
      <c r="H108" s="365"/>
      <c r="I108" s="365"/>
      <c r="J108" s="365"/>
      <c r="K108" s="365"/>
      <c r="L108" s="365"/>
      <c r="M108" s="365"/>
      <c r="N108" s="365"/>
      <c r="O108" s="233"/>
      <c r="P108" s="789"/>
      <c r="Q108" s="789"/>
      <c r="R108" s="365"/>
      <c r="S108" s="365"/>
      <c r="T108" s="365"/>
      <c r="U108" s="365"/>
      <c r="V108" s="365"/>
      <c r="W108" s="365"/>
      <c r="X108" s="365"/>
      <c r="Y108" s="365"/>
      <c r="Z108" s="365"/>
      <c r="AA108" s="365"/>
      <c r="AB108" s="365"/>
      <c r="AC108" s="365"/>
      <c r="AD108" s="365"/>
      <c r="AE108" s="365"/>
      <c r="AF108" s="365"/>
      <c r="AG108" s="365"/>
      <c r="AI108" s="365">
        <f t="shared" si="17"/>
        <v>0</v>
      </c>
    </row>
    <row r="109" spans="1:35" x14ac:dyDescent="0.2">
      <c r="A109" s="666">
        <v>1788</v>
      </c>
      <c r="B109" s="2987" t="s">
        <v>5372</v>
      </c>
      <c r="C109" s="2987"/>
      <c r="D109" t="str">
        <f>IF(SUM(F109:N109)-E109=0,"OK","prob")</f>
        <v>OK</v>
      </c>
      <c r="E109" s="1207">
        <v>0</v>
      </c>
      <c r="F109" s="1207">
        <v>0</v>
      </c>
      <c r="G109" s="1207">
        <v>0</v>
      </c>
      <c r="H109" s="1207">
        <v>0</v>
      </c>
      <c r="I109" s="1207">
        <v>0</v>
      </c>
      <c r="J109" s="1207">
        <v>0</v>
      </c>
      <c r="K109" s="1207">
        <v>0</v>
      </c>
      <c r="L109" s="1207"/>
      <c r="M109" s="1207">
        <v>0</v>
      </c>
      <c r="N109" s="1207">
        <v>0</v>
      </c>
      <c r="O109" s="1374">
        <v>0</v>
      </c>
      <c r="P109" s="1374">
        <v>0</v>
      </c>
      <c r="Q109" s="1374">
        <v>0</v>
      </c>
      <c r="R109" s="1374">
        <v>0</v>
      </c>
      <c r="S109" s="1374">
        <v>0</v>
      </c>
      <c r="T109" s="1374">
        <v>0</v>
      </c>
      <c r="U109" s="1374">
        <v>0</v>
      </c>
      <c r="V109" s="1374">
        <v>0</v>
      </c>
      <c r="W109" s="1374">
        <v>0</v>
      </c>
      <c r="X109" s="1374">
        <v>0</v>
      </c>
      <c r="Y109" s="1374">
        <v>0</v>
      </c>
      <c r="Z109" s="1374">
        <v>0</v>
      </c>
      <c r="AA109" s="1374">
        <v>0</v>
      </c>
      <c r="AB109" s="1374">
        <v>0</v>
      </c>
      <c r="AC109" s="1374">
        <v>0</v>
      </c>
      <c r="AD109" s="1374">
        <v>0</v>
      </c>
      <c r="AE109" s="1374">
        <v>0</v>
      </c>
      <c r="AF109" s="1374">
        <v>0</v>
      </c>
      <c r="AG109" s="1207">
        <v>0</v>
      </c>
      <c r="AI109" s="365">
        <f t="shared" si="17"/>
        <v>0</v>
      </c>
    </row>
    <row r="110" spans="1:35" x14ac:dyDescent="0.2">
      <c r="A110" s="666">
        <v>1785</v>
      </c>
      <c r="B110" s="2987" t="s">
        <v>3427</v>
      </c>
      <c r="C110" s="2987"/>
      <c r="D110" t="str">
        <f>IF(SUM(F110:N110)-E110=0,"OK","prob")</f>
        <v>OK</v>
      </c>
      <c r="E110" s="1207">
        <v>0</v>
      </c>
      <c r="F110" s="1207">
        <v>0</v>
      </c>
      <c r="G110" s="1207">
        <v>0</v>
      </c>
      <c r="H110" s="1207">
        <v>0</v>
      </c>
      <c r="I110" s="1207">
        <v>0</v>
      </c>
      <c r="J110" s="1207">
        <v>0</v>
      </c>
      <c r="K110" s="1207">
        <v>0</v>
      </c>
      <c r="L110" s="1207"/>
      <c r="M110" s="1207">
        <v>0</v>
      </c>
      <c r="N110" s="1207">
        <v>0</v>
      </c>
      <c r="O110" s="1374">
        <v>0</v>
      </c>
      <c r="P110" s="1374">
        <v>0</v>
      </c>
      <c r="Q110" s="1374">
        <v>0</v>
      </c>
      <c r="R110" s="1374">
        <v>0</v>
      </c>
      <c r="S110" s="1374">
        <v>0</v>
      </c>
      <c r="T110" s="1374">
        <v>0</v>
      </c>
      <c r="U110" s="1374">
        <v>0</v>
      </c>
      <c r="V110" s="1374">
        <v>0</v>
      </c>
      <c r="W110" s="1374">
        <v>0</v>
      </c>
      <c r="X110" s="1374">
        <v>0</v>
      </c>
      <c r="Y110" s="1374">
        <v>0</v>
      </c>
      <c r="Z110" s="1374">
        <v>0</v>
      </c>
      <c r="AA110" s="1374">
        <v>0</v>
      </c>
      <c r="AB110" s="1374">
        <v>0</v>
      </c>
      <c r="AC110" s="1374">
        <v>0</v>
      </c>
      <c r="AD110" s="1374">
        <v>0</v>
      </c>
      <c r="AE110" s="1374">
        <v>0</v>
      </c>
      <c r="AF110" s="1374">
        <v>0</v>
      </c>
      <c r="AG110" s="1207">
        <v>0</v>
      </c>
      <c r="AI110" s="365">
        <f t="shared" si="17"/>
        <v>0</v>
      </c>
    </row>
    <row r="111" spans="1:35" x14ac:dyDescent="0.2">
      <c r="A111" s="666">
        <v>1790</v>
      </c>
      <c r="B111" s="2987" t="s">
        <v>1024</v>
      </c>
      <c r="C111" s="2987"/>
      <c r="D111" t="str">
        <f>IF(SUM(F111:N111)-E111=0,"OK","prob")</f>
        <v>OK</v>
      </c>
      <c r="E111" s="1207">
        <v>0</v>
      </c>
      <c r="F111" s="1207">
        <v>0</v>
      </c>
      <c r="G111" s="1207">
        <v>0</v>
      </c>
      <c r="H111" s="1207">
        <v>0</v>
      </c>
      <c r="I111" s="1207">
        <v>0</v>
      </c>
      <c r="J111" s="1207">
        <v>0</v>
      </c>
      <c r="K111" s="1207">
        <v>0</v>
      </c>
      <c r="L111" s="1207"/>
      <c r="M111" s="1207">
        <v>0</v>
      </c>
      <c r="N111" s="1207">
        <v>0</v>
      </c>
      <c r="O111" s="1374">
        <v>0</v>
      </c>
      <c r="P111" s="1374">
        <v>0</v>
      </c>
      <c r="Q111" s="1374">
        <v>0</v>
      </c>
      <c r="R111" s="1374">
        <v>0</v>
      </c>
      <c r="S111" s="1374">
        <v>0</v>
      </c>
      <c r="T111" s="1374">
        <v>0</v>
      </c>
      <c r="U111" s="1374">
        <v>0</v>
      </c>
      <c r="V111" s="1374">
        <v>0</v>
      </c>
      <c r="W111" s="1374">
        <v>0</v>
      </c>
      <c r="X111" s="1374">
        <v>0</v>
      </c>
      <c r="Y111" s="1374">
        <v>0</v>
      </c>
      <c r="Z111" s="1374">
        <v>0</v>
      </c>
      <c r="AA111" s="1374">
        <v>0</v>
      </c>
      <c r="AB111" s="1374">
        <v>0</v>
      </c>
      <c r="AC111" s="1374">
        <v>0</v>
      </c>
      <c r="AD111" s="1374">
        <v>0</v>
      </c>
      <c r="AE111" s="1374">
        <v>0</v>
      </c>
      <c r="AF111" s="1374">
        <v>0</v>
      </c>
      <c r="AG111" s="1207">
        <v>0</v>
      </c>
      <c r="AI111" s="365">
        <f t="shared" si="17"/>
        <v>0</v>
      </c>
    </row>
    <row r="112" spans="1:35" x14ac:dyDescent="0.2">
      <c r="A112" s="666">
        <v>1791</v>
      </c>
      <c r="B112" s="2987" t="s">
        <v>1016</v>
      </c>
      <c r="C112" s="2987"/>
      <c r="D112" t="str">
        <f>IF(SUM(F112:N112)-E112=0,"OK","prob")</f>
        <v>OK</v>
      </c>
      <c r="E112" s="1207">
        <v>0</v>
      </c>
      <c r="F112" s="1207">
        <v>0</v>
      </c>
      <c r="G112" s="1207">
        <v>0</v>
      </c>
      <c r="H112" s="1207">
        <v>0</v>
      </c>
      <c r="I112" s="1207">
        <v>0</v>
      </c>
      <c r="J112" s="1207">
        <v>0</v>
      </c>
      <c r="K112" s="1207">
        <v>0</v>
      </c>
      <c r="L112" s="1207"/>
      <c r="M112" s="1207">
        <v>0</v>
      </c>
      <c r="N112" s="1207">
        <v>0</v>
      </c>
      <c r="O112" s="1374">
        <v>0</v>
      </c>
      <c r="P112" s="1374">
        <v>0</v>
      </c>
      <c r="Q112" s="1374">
        <v>0</v>
      </c>
      <c r="R112" s="1374">
        <v>0</v>
      </c>
      <c r="S112" s="1374">
        <v>0</v>
      </c>
      <c r="T112" s="1374">
        <v>0</v>
      </c>
      <c r="U112" s="1374">
        <v>0</v>
      </c>
      <c r="V112" s="1374">
        <v>0</v>
      </c>
      <c r="W112" s="1374">
        <v>0</v>
      </c>
      <c r="X112" s="1374">
        <v>0</v>
      </c>
      <c r="Y112" s="1374">
        <v>0</v>
      </c>
      <c r="Z112" s="1374">
        <v>0</v>
      </c>
      <c r="AA112" s="1374">
        <v>0</v>
      </c>
      <c r="AB112" s="1374">
        <v>0</v>
      </c>
      <c r="AC112" s="1374">
        <v>0</v>
      </c>
      <c r="AD112" s="1374">
        <v>0</v>
      </c>
      <c r="AE112" s="1374">
        <v>0</v>
      </c>
      <c r="AF112" s="1374">
        <v>0</v>
      </c>
      <c r="AG112" s="1207">
        <v>0</v>
      </c>
      <c r="AI112" s="365">
        <f t="shared" si="17"/>
        <v>0</v>
      </c>
    </row>
    <row r="113" spans="1:35" x14ac:dyDescent="0.2">
      <c r="A113" s="666">
        <v>1787</v>
      </c>
      <c r="B113" s="2987" t="s">
        <v>3429</v>
      </c>
      <c r="C113" s="2987"/>
      <c r="D113" t="str">
        <f>IF(SUM(F113:N113)-E113=0,"OK","prob")</f>
        <v>OK</v>
      </c>
      <c r="E113" s="1207">
        <v>0</v>
      </c>
      <c r="F113" s="1207">
        <v>0</v>
      </c>
      <c r="G113" s="1207">
        <v>0</v>
      </c>
      <c r="H113" s="1207">
        <v>0</v>
      </c>
      <c r="I113" s="1207">
        <v>0</v>
      </c>
      <c r="J113" s="1207">
        <v>0</v>
      </c>
      <c r="K113" s="1207">
        <v>0</v>
      </c>
      <c r="L113" s="1207"/>
      <c r="M113" s="1207">
        <v>0</v>
      </c>
      <c r="N113" s="1207">
        <v>0</v>
      </c>
      <c r="O113" s="1374">
        <v>0</v>
      </c>
      <c r="P113" s="1374">
        <v>0</v>
      </c>
      <c r="Q113" s="1374">
        <v>0</v>
      </c>
      <c r="R113" s="1374">
        <v>0</v>
      </c>
      <c r="S113" s="1374">
        <v>0</v>
      </c>
      <c r="T113" s="1374">
        <v>0</v>
      </c>
      <c r="U113" s="1374">
        <v>0</v>
      </c>
      <c r="V113" s="1374">
        <v>0</v>
      </c>
      <c r="W113" s="1374">
        <v>0</v>
      </c>
      <c r="X113" s="1374">
        <v>0</v>
      </c>
      <c r="Y113" s="1374">
        <v>0</v>
      </c>
      <c r="Z113" s="1374">
        <v>0</v>
      </c>
      <c r="AA113" s="1374">
        <v>0</v>
      </c>
      <c r="AB113" s="1374">
        <v>0</v>
      </c>
      <c r="AC113" s="1374">
        <v>0</v>
      </c>
      <c r="AD113" s="1374">
        <v>0</v>
      </c>
      <c r="AE113" s="1374">
        <v>0</v>
      </c>
      <c r="AF113" s="1374">
        <v>0</v>
      </c>
      <c r="AG113" s="1207">
        <v>0</v>
      </c>
      <c r="AI113" s="365">
        <f t="shared" si="17"/>
        <v>0</v>
      </c>
    </row>
    <row r="114" spans="1:35" x14ac:dyDescent="0.2">
      <c r="A114" s="666">
        <v>1730</v>
      </c>
      <c r="B114" s="2881" t="s">
        <v>4859</v>
      </c>
      <c r="C114" s="2881"/>
      <c r="D114" s="1382" t="str">
        <f>IF(ROUND(SUM(F114:N114),2)-ROUND(E114,2)=0,"OK","prob")</f>
        <v>prob</v>
      </c>
      <c r="E114" s="1207">
        <v>50433194.920000002</v>
      </c>
      <c r="F114" s="1207">
        <v>40908356.700000003</v>
      </c>
      <c r="G114" s="1207">
        <v>203829620.13</v>
      </c>
      <c r="H114" s="1207">
        <v>0</v>
      </c>
      <c r="I114" s="1207">
        <v>46011518.939999998</v>
      </c>
      <c r="J114" s="1207">
        <v>11802308.15</v>
      </c>
      <c r="K114" s="1207">
        <v>44200212.390000001</v>
      </c>
      <c r="L114" s="1207"/>
      <c r="M114" s="1207">
        <v>18484121.140000001</v>
      </c>
      <c r="N114" s="1207">
        <v>4983437.24</v>
      </c>
      <c r="O114" s="1374">
        <v>0</v>
      </c>
      <c r="P114" s="1374">
        <v>11556881.289999999</v>
      </c>
      <c r="Q114" s="1374">
        <v>0</v>
      </c>
      <c r="R114" s="1374">
        <v>0</v>
      </c>
      <c r="S114" s="1374">
        <v>0</v>
      </c>
      <c r="T114" s="1374">
        <v>0</v>
      </c>
      <c r="U114" s="1374">
        <v>0</v>
      </c>
      <c r="V114" s="1374">
        <v>0</v>
      </c>
      <c r="W114" s="1374">
        <v>0</v>
      </c>
      <c r="X114" s="1374">
        <v>0</v>
      </c>
      <c r="Y114" s="1374">
        <v>0</v>
      </c>
      <c r="Z114" s="1374">
        <v>0</v>
      </c>
      <c r="AA114" s="1374">
        <v>0</v>
      </c>
      <c r="AB114" s="1374">
        <v>0</v>
      </c>
      <c r="AC114" s="1374">
        <v>0</v>
      </c>
      <c r="AD114" s="1374">
        <v>0</v>
      </c>
      <c r="AE114" s="1374">
        <v>0</v>
      </c>
      <c r="AF114" s="1374">
        <v>0</v>
      </c>
      <c r="AG114" s="1207">
        <v>0</v>
      </c>
      <c r="AI114" s="365">
        <f t="shared" si="17"/>
        <v>381776455.98000002</v>
      </c>
    </row>
    <row r="115" spans="1:35" x14ac:dyDescent="0.2">
      <c r="A115" s="666">
        <v>1735</v>
      </c>
      <c r="B115" s="2881" t="s">
        <v>3402</v>
      </c>
      <c r="C115" s="2881"/>
      <c r="D115" t="str">
        <f t="shared" ref="D115:D122" si="18">IF(SUM(F115:N115)-E115=0,"OK","prob")</f>
        <v>OK</v>
      </c>
      <c r="E115" s="1207">
        <v>0</v>
      </c>
      <c r="F115" s="1207">
        <v>0</v>
      </c>
      <c r="G115" s="1207">
        <v>0</v>
      </c>
      <c r="H115" s="1207">
        <v>0</v>
      </c>
      <c r="I115" s="1207">
        <v>0</v>
      </c>
      <c r="J115" s="1207">
        <v>0</v>
      </c>
      <c r="K115" s="1207">
        <v>0</v>
      </c>
      <c r="L115" s="1207"/>
      <c r="M115" s="1207">
        <v>0</v>
      </c>
      <c r="N115" s="1207">
        <v>0</v>
      </c>
      <c r="O115" s="1374">
        <v>0</v>
      </c>
      <c r="P115" s="1374">
        <v>12701623.289999999</v>
      </c>
      <c r="Q115" s="1374">
        <v>0</v>
      </c>
      <c r="R115" s="1374">
        <v>0</v>
      </c>
      <c r="S115" s="1374">
        <v>70879731</v>
      </c>
      <c r="T115" s="1374">
        <v>526540.32999999996</v>
      </c>
      <c r="U115" s="1374">
        <v>0</v>
      </c>
      <c r="V115" s="1374">
        <v>0</v>
      </c>
      <c r="W115" s="1374">
        <v>812634.6</v>
      </c>
      <c r="X115" s="1374">
        <v>0</v>
      </c>
      <c r="Y115" s="1374">
        <v>0</v>
      </c>
      <c r="Z115" s="1374">
        <v>0</v>
      </c>
      <c r="AA115" s="1374">
        <v>0</v>
      </c>
      <c r="AB115" s="1374">
        <v>0</v>
      </c>
      <c r="AC115" s="1374">
        <v>0</v>
      </c>
      <c r="AD115" s="1374">
        <v>0</v>
      </c>
      <c r="AE115" s="1374">
        <v>0</v>
      </c>
      <c r="AF115" s="1374">
        <v>0</v>
      </c>
      <c r="AG115" s="1207">
        <v>0</v>
      </c>
      <c r="AI115" s="365">
        <f t="shared" si="17"/>
        <v>84920529.219999999</v>
      </c>
    </row>
    <row r="116" spans="1:35" x14ac:dyDescent="0.2">
      <c r="A116" s="666">
        <v>1740</v>
      </c>
      <c r="B116" s="2881" t="s">
        <v>3404</v>
      </c>
      <c r="C116" s="2881"/>
      <c r="D116" t="str">
        <f t="shared" si="18"/>
        <v>OK</v>
      </c>
      <c r="E116" s="1207">
        <v>16069214.699999999</v>
      </c>
      <c r="F116" s="1207">
        <v>12795599</v>
      </c>
      <c r="G116" s="1207">
        <v>3273615.7</v>
      </c>
      <c r="H116" s="1207">
        <v>0</v>
      </c>
      <c r="I116" s="1207">
        <v>0</v>
      </c>
      <c r="J116" s="1207">
        <v>0</v>
      </c>
      <c r="K116" s="1207">
        <v>0</v>
      </c>
      <c r="L116" s="1207"/>
      <c r="M116" s="1207">
        <v>0</v>
      </c>
      <c r="N116" s="1207">
        <v>0</v>
      </c>
      <c r="O116" s="1374">
        <v>0</v>
      </c>
      <c r="P116" s="1374">
        <v>0</v>
      </c>
      <c r="Q116" s="1374">
        <v>11605574.189999999</v>
      </c>
      <c r="R116" s="1374">
        <v>0</v>
      </c>
      <c r="S116" s="1374">
        <v>0</v>
      </c>
      <c r="T116" s="1374">
        <v>14394.01</v>
      </c>
      <c r="U116" s="1374">
        <v>0</v>
      </c>
      <c r="V116" s="1374">
        <v>6884068.5899999999</v>
      </c>
      <c r="W116" s="1374">
        <v>0</v>
      </c>
      <c r="X116" s="1374">
        <v>0</v>
      </c>
      <c r="Y116" s="1374">
        <v>0</v>
      </c>
      <c r="Z116" s="1374">
        <v>0</v>
      </c>
      <c r="AA116" s="1374">
        <v>0</v>
      </c>
      <c r="AB116" s="1374">
        <v>0</v>
      </c>
      <c r="AC116" s="1374">
        <v>0</v>
      </c>
      <c r="AD116" s="1374">
        <v>0</v>
      </c>
      <c r="AE116" s="1374">
        <v>0</v>
      </c>
      <c r="AF116" s="1374">
        <v>0</v>
      </c>
      <c r="AG116" s="1207">
        <v>0</v>
      </c>
      <c r="AI116" s="365">
        <f t="shared" si="17"/>
        <v>34573251.490000002</v>
      </c>
    </row>
    <row r="117" spans="1:35" x14ac:dyDescent="0.2">
      <c r="A117" s="191">
        <v>1890</v>
      </c>
      <c r="B117" s="2881" t="s">
        <v>2706</v>
      </c>
      <c r="C117" s="2881"/>
      <c r="D117" s="1382" t="str">
        <f t="shared" si="18"/>
        <v>prob</v>
      </c>
      <c r="E117" s="365">
        <v>243533266.15000001</v>
      </c>
      <c r="F117" s="365">
        <v>38965764.57</v>
      </c>
      <c r="G117" s="365">
        <v>363790628</v>
      </c>
      <c r="H117" s="365">
        <v>0</v>
      </c>
      <c r="I117" s="365">
        <v>16504211.83</v>
      </c>
      <c r="J117" s="365">
        <v>210000</v>
      </c>
      <c r="K117" s="365">
        <v>5981506.4500000002</v>
      </c>
      <c r="L117" s="365"/>
      <c r="M117" s="365">
        <v>5812574</v>
      </c>
      <c r="N117" s="365">
        <v>3682963.3</v>
      </c>
      <c r="O117" s="233">
        <v>6019103.1200000001</v>
      </c>
      <c r="P117" s="233">
        <v>136558334.41999999</v>
      </c>
      <c r="Q117" s="233">
        <v>76397551.569999993</v>
      </c>
      <c r="R117" s="233">
        <v>7899729.4400000004</v>
      </c>
      <c r="S117" s="233">
        <v>12963608.119999999</v>
      </c>
      <c r="T117" s="233">
        <v>3116578.99</v>
      </c>
      <c r="U117" s="233">
        <v>14209977.83</v>
      </c>
      <c r="V117" s="233">
        <v>25650928.670000002</v>
      </c>
      <c r="W117" s="233">
        <v>4899163.5999999996</v>
      </c>
      <c r="X117" s="233">
        <v>8173472.5499999998</v>
      </c>
      <c r="Y117" s="233">
        <v>18395458.789999999</v>
      </c>
      <c r="Z117" s="233">
        <v>3361743.74</v>
      </c>
      <c r="AA117" s="233">
        <v>6127538.8700000001</v>
      </c>
      <c r="AB117" s="233">
        <v>1716627.31</v>
      </c>
      <c r="AC117" s="233">
        <v>4039172.48</v>
      </c>
      <c r="AD117" s="233">
        <v>5595612.9199999999</v>
      </c>
      <c r="AE117" s="233">
        <v>1045889.64</v>
      </c>
      <c r="AF117" s="233">
        <v>613076</v>
      </c>
      <c r="AG117" s="365">
        <v>46176.33</v>
      </c>
      <c r="AI117" s="365">
        <f t="shared" si="17"/>
        <v>771731216.21000004</v>
      </c>
    </row>
    <row r="118" spans="1:35" x14ac:dyDescent="0.2">
      <c r="A118" s="191">
        <v>1750</v>
      </c>
      <c r="B118" s="2881" t="s">
        <v>2707</v>
      </c>
      <c r="C118" s="2881"/>
      <c r="D118" t="str">
        <f t="shared" si="18"/>
        <v>OK</v>
      </c>
      <c r="E118" s="365">
        <v>0</v>
      </c>
      <c r="F118" s="365">
        <v>0</v>
      </c>
      <c r="G118" s="365">
        <v>0</v>
      </c>
      <c r="H118" s="365">
        <v>0</v>
      </c>
      <c r="I118" s="365">
        <v>0</v>
      </c>
      <c r="J118" s="365">
        <v>0</v>
      </c>
      <c r="K118" s="365">
        <v>0</v>
      </c>
      <c r="L118" s="365"/>
      <c r="M118" s="365">
        <v>0</v>
      </c>
      <c r="N118" s="365">
        <v>0</v>
      </c>
      <c r="O118" s="233">
        <v>0</v>
      </c>
      <c r="P118" s="233">
        <v>0</v>
      </c>
      <c r="Q118" s="233">
        <v>0</v>
      </c>
      <c r="R118" s="233">
        <v>0</v>
      </c>
      <c r="S118" s="233">
        <v>0</v>
      </c>
      <c r="T118" s="233">
        <v>0</v>
      </c>
      <c r="U118" s="233">
        <v>0</v>
      </c>
      <c r="V118" s="233">
        <v>0</v>
      </c>
      <c r="W118" s="233">
        <v>0</v>
      </c>
      <c r="X118" s="233">
        <v>0</v>
      </c>
      <c r="Y118" s="233">
        <v>0</v>
      </c>
      <c r="Z118" s="233">
        <v>0</v>
      </c>
      <c r="AA118" s="233">
        <v>0</v>
      </c>
      <c r="AB118" s="233">
        <v>0</v>
      </c>
      <c r="AC118" s="233">
        <v>0</v>
      </c>
      <c r="AD118" s="233">
        <v>0</v>
      </c>
      <c r="AE118" s="233">
        <v>0</v>
      </c>
      <c r="AF118" s="233">
        <v>0</v>
      </c>
      <c r="AG118" s="365">
        <v>0</v>
      </c>
      <c r="AI118" s="365">
        <f t="shared" si="17"/>
        <v>0</v>
      </c>
    </row>
    <row r="119" spans="1:35" x14ac:dyDescent="0.2">
      <c r="A119" s="191">
        <v>1760</v>
      </c>
      <c r="B119" s="2881" t="s">
        <v>2708</v>
      </c>
      <c r="C119" s="2881"/>
      <c r="D119" t="str">
        <f t="shared" si="18"/>
        <v>OK</v>
      </c>
      <c r="E119" s="365">
        <v>0</v>
      </c>
      <c r="F119" s="365">
        <v>0</v>
      </c>
      <c r="G119" s="365">
        <v>0</v>
      </c>
      <c r="H119" s="365">
        <v>0</v>
      </c>
      <c r="I119" s="365">
        <v>0</v>
      </c>
      <c r="J119" s="365">
        <v>0</v>
      </c>
      <c r="K119" s="365">
        <v>0</v>
      </c>
      <c r="L119" s="365"/>
      <c r="M119" s="365">
        <v>0</v>
      </c>
      <c r="N119" s="365">
        <v>0</v>
      </c>
      <c r="O119" s="233">
        <v>0</v>
      </c>
      <c r="P119" s="233">
        <v>0</v>
      </c>
      <c r="Q119" s="233">
        <v>0</v>
      </c>
      <c r="R119" s="233">
        <v>0</v>
      </c>
      <c r="S119" s="233">
        <v>0</v>
      </c>
      <c r="T119" s="233">
        <v>0</v>
      </c>
      <c r="U119" s="233">
        <v>0</v>
      </c>
      <c r="V119" s="233">
        <v>0</v>
      </c>
      <c r="W119" s="233">
        <v>0</v>
      </c>
      <c r="X119" s="233">
        <v>0</v>
      </c>
      <c r="Y119" s="233">
        <v>0</v>
      </c>
      <c r="Z119" s="233">
        <v>0</v>
      </c>
      <c r="AA119" s="233">
        <v>0</v>
      </c>
      <c r="AB119" s="233">
        <v>0</v>
      </c>
      <c r="AC119" s="233">
        <v>0</v>
      </c>
      <c r="AD119" s="233">
        <v>0</v>
      </c>
      <c r="AE119" s="233">
        <v>0</v>
      </c>
      <c r="AF119" s="233">
        <v>0</v>
      </c>
      <c r="AG119" s="365">
        <v>0</v>
      </c>
      <c r="AI119" s="365">
        <f t="shared" si="17"/>
        <v>0</v>
      </c>
    </row>
    <row r="120" spans="1:35" x14ac:dyDescent="0.2">
      <c r="A120" s="191">
        <v>1870</v>
      </c>
      <c r="B120" s="2881" t="s">
        <v>2709</v>
      </c>
      <c r="C120" s="2881"/>
      <c r="D120" t="str">
        <f t="shared" si="18"/>
        <v>OK</v>
      </c>
      <c r="E120" s="365">
        <v>0</v>
      </c>
      <c r="F120" s="365">
        <v>0</v>
      </c>
      <c r="G120" s="365">
        <v>0</v>
      </c>
      <c r="H120" s="365">
        <v>0</v>
      </c>
      <c r="I120" s="365">
        <v>0</v>
      </c>
      <c r="J120" s="365">
        <v>0</v>
      </c>
      <c r="K120" s="365">
        <v>0</v>
      </c>
      <c r="L120" s="365"/>
      <c r="M120" s="365">
        <v>0</v>
      </c>
      <c r="N120" s="365">
        <v>0</v>
      </c>
      <c r="O120" s="233">
        <v>0</v>
      </c>
      <c r="P120" s="233">
        <v>18489541.640000001</v>
      </c>
      <c r="Q120" s="233">
        <v>0</v>
      </c>
      <c r="R120" s="233">
        <v>730310</v>
      </c>
      <c r="S120" s="233">
        <v>2362295.6800000002</v>
      </c>
      <c r="T120" s="233">
        <v>30000</v>
      </c>
      <c r="U120" s="233">
        <v>54235.92</v>
      </c>
      <c r="V120" s="233">
        <v>1396389.68</v>
      </c>
      <c r="W120" s="233">
        <v>0</v>
      </c>
      <c r="X120" s="233">
        <v>0</v>
      </c>
      <c r="Y120" s="233">
        <v>226470</v>
      </c>
      <c r="Z120" s="233">
        <v>3057.77</v>
      </c>
      <c r="AA120" s="233">
        <v>0</v>
      </c>
      <c r="AB120" s="233">
        <v>0</v>
      </c>
      <c r="AC120" s="233">
        <v>0</v>
      </c>
      <c r="AD120" s="233">
        <v>0</v>
      </c>
      <c r="AE120" s="233">
        <v>0</v>
      </c>
      <c r="AF120" s="233">
        <v>35917.269999999997</v>
      </c>
      <c r="AG120" s="365">
        <v>0</v>
      </c>
      <c r="AI120" s="365">
        <f t="shared" si="17"/>
        <v>23328217.960000001</v>
      </c>
    </row>
    <row r="121" spans="1:35" x14ac:dyDescent="0.2">
      <c r="A121" s="191">
        <v>1880</v>
      </c>
      <c r="B121" s="2881" t="s">
        <v>2710</v>
      </c>
      <c r="C121" s="2881"/>
      <c r="D121" t="str">
        <f t="shared" si="18"/>
        <v>OK</v>
      </c>
      <c r="E121" s="365">
        <v>12731509.4</v>
      </c>
      <c r="F121" s="365">
        <v>0</v>
      </c>
      <c r="G121" s="365">
        <v>4817757.12</v>
      </c>
      <c r="H121" s="365">
        <v>0</v>
      </c>
      <c r="I121" s="365">
        <v>7913752.2800000003</v>
      </c>
      <c r="J121" s="365">
        <v>0</v>
      </c>
      <c r="K121" s="365">
        <v>0</v>
      </c>
      <c r="L121" s="365"/>
      <c r="M121" s="365">
        <v>0</v>
      </c>
      <c r="N121" s="365">
        <v>0</v>
      </c>
      <c r="O121" s="233">
        <v>0</v>
      </c>
      <c r="P121" s="233">
        <v>1415900.53</v>
      </c>
      <c r="Q121" s="233">
        <v>0</v>
      </c>
      <c r="R121" s="233">
        <v>43433.32</v>
      </c>
      <c r="S121" s="233">
        <v>0</v>
      </c>
      <c r="T121" s="233">
        <v>650</v>
      </c>
      <c r="U121" s="233">
        <v>53591.73</v>
      </c>
      <c r="V121" s="233">
        <v>0</v>
      </c>
      <c r="W121" s="233">
        <v>0</v>
      </c>
      <c r="X121" s="233">
        <v>0</v>
      </c>
      <c r="Y121" s="233">
        <v>781496.34</v>
      </c>
      <c r="Z121" s="233">
        <v>0</v>
      </c>
      <c r="AA121" s="233">
        <v>0</v>
      </c>
      <c r="AB121" s="233">
        <v>0</v>
      </c>
      <c r="AC121" s="233">
        <v>0</v>
      </c>
      <c r="AD121" s="233">
        <v>164394.73000000001</v>
      </c>
      <c r="AE121" s="233">
        <v>0</v>
      </c>
      <c r="AF121" s="233">
        <v>0</v>
      </c>
      <c r="AG121" s="365">
        <v>0</v>
      </c>
      <c r="AI121" s="365">
        <f t="shared" si="17"/>
        <v>15190976.050000001</v>
      </c>
    </row>
    <row r="122" spans="1:35" x14ac:dyDescent="0.2">
      <c r="A122" s="191">
        <v>1762</v>
      </c>
      <c r="B122" s="2881" t="s">
        <v>2711</v>
      </c>
      <c r="C122" s="2881"/>
      <c r="D122" t="str">
        <f t="shared" si="18"/>
        <v>OK</v>
      </c>
      <c r="E122" s="365">
        <v>0</v>
      </c>
      <c r="F122" s="365">
        <v>0</v>
      </c>
      <c r="G122" s="365">
        <v>0</v>
      </c>
      <c r="H122" s="365">
        <v>0</v>
      </c>
      <c r="I122" s="365">
        <v>0</v>
      </c>
      <c r="J122" s="365">
        <v>0</v>
      </c>
      <c r="K122" s="365">
        <v>0</v>
      </c>
      <c r="L122" s="365"/>
      <c r="M122" s="365">
        <v>0</v>
      </c>
      <c r="N122" s="365">
        <v>0</v>
      </c>
      <c r="O122" s="233">
        <v>0</v>
      </c>
      <c r="P122" s="233">
        <v>0</v>
      </c>
      <c r="Q122" s="233">
        <v>0</v>
      </c>
      <c r="R122" s="233">
        <v>0</v>
      </c>
      <c r="S122" s="233">
        <v>0</v>
      </c>
      <c r="T122" s="233">
        <v>0</v>
      </c>
      <c r="U122" s="233">
        <v>0</v>
      </c>
      <c r="V122" s="233">
        <v>0</v>
      </c>
      <c r="W122" s="233">
        <v>0</v>
      </c>
      <c r="X122" s="233">
        <v>0</v>
      </c>
      <c r="Y122" s="233">
        <v>0</v>
      </c>
      <c r="Z122" s="233">
        <v>0</v>
      </c>
      <c r="AA122" s="233">
        <v>0</v>
      </c>
      <c r="AB122" s="233">
        <v>0</v>
      </c>
      <c r="AC122" s="233">
        <v>0</v>
      </c>
      <c r="AD122" s="233">
        <v>0</v>
      </c>
      <c r="AE122" s="233">
        <v>0</v>
      </c>
      <c r="AF122" s="233">
        <v>0</v>
      </c>
      <c r="AG122" s="365">
        <v>0</v>
      </c>
      <c r="AI122" s="365">
        <f t="shared" si="17"/>
        <v>0</v>
      </c>
    </row>
    <row r="123" spans="1:35" x14ac:dyDescent="0.2">
      <c r="A123" s="666">
        <v>1775</v>
      </c>
      <c r="B123" s="2881" t="s">
        <v>4860</v>
      </c>
      <c r="C123" s="2881"/>
      <c r="D123" t="str">
        <f>IF(ROUND(SUM(F123:N123),2)-ROUND(E123,2)=0,"OK","prob")</f>
        <v>OK</v>
      </c>
      <c r="E123" s="1207">
        <v>11538810.779999999</v>
      </c>
      <c r="F123" s="1207">
        <v>0</v>
      </c>
      <c r="G123" s="1207">
        <v>4721712.4000000004</v>
      </c>
      <c r="H123" s="1207">
        <v>0</v>
      </c>
      <c r="I123" s="616">
        <v>3204915.89</v>
      </c>
      <c r="J123" s="1207">
        <v>1273778.49</v>
      </c>
      <c r="K123" s="1207">
        <v>0</v>
      </c>
      <c r="L123" s="1207"/>
      <c r="M123" s="1207">
        <v>0</v>
      </c>
      <c r="N123" s="1207">
        <v>2338404</v>
      </c>
      <c r="O123" s="1374">
        <v>73238.92</v>
      </c>
      <c r="P123" s="1374">
        <v>2495809.6</v>
      </c>
      <c r="Q123" s="1374">
        <v>6085065.6500000004</v>
      </c>
      <c r="R123" s="1374">
        <v>243542.91</v>
      </c>
      <c r="S123" s="1374">
        <v>1026415.07</v>
      </c>
      <c r="T123" s="1374">
        <v>382822.14</v>
      </c>
      <c r="U123" s="1374">
        <v>736047.79</v>
      </c>
      <c r="V123" s="1374">
        <v>841697.26</v>
      </c>
      <c r="W123" s="1374">
        <v>470195.28</v>
      </c>
      <c r="X123" s="1374">
        <v>413240.16</v>
      </c>
      <c r="Y123" s="1374">
        <v>3413967.8</v>
      </c>
      <c r="Z123" s="1374">
        <v>875482.83</v>
      </c>
      <c r="AA123" s="1374">
        <v>2291638.7799999998</v>
      </c>
      <c r="AB123" s="1374">
        <v>744726.21</v>
      </c>
      <c r="AC123" s="1374">
        <v>965365.92</v>
      </c>
      <c r="AD123" s="1374">
        <v>1398601.77</v>
      </c>
      <c r="AE123" s="1374">
        <v>232625.74</v>
      </c>
      <c r="AF123" s="1374">
        <v>662396.47</v>
      </c>
      <c r="AG123" s="1207">
        <v>0</v>
      </c>
      <c r="AI123" s="365">
        <f t="shared" si="17"/>
        <v>34891691.079999998</v>
      </c>
    </row>
    <row r="124" spans="1:35" x14ac:dyDescent="0.2">
      <c r="A124" s="666">
        <v>1780</v>
      </c>
      <c r="B124" s="2990" t="s">
        <v>4861</v>
      </c>
      <c r="C124" s="2990"/>
      <c r="D124" t="str">
        <f t="shared" ref="D124:D136" si="19">IF(SUM(F124:N124)-E124=0,"OK","prob")</f>
        <v>prob</v>
      </c>
      <c r="E124" s="1207">
        <v>61549727.490000002</v>
      </c>
      <c r="F124" s="1207">
        <v>9400814.9800000004</v>
      </c>
      <c r="G124" s="1207">
        <v>13297559.02</v>
      </c>
      <c r="H124" s="1207">
        <v>0</v>
      </c>
      <c r="I124" s="616">
        <v>16984653.129999999</v>
      </c>
      <c r="J124" s="1207">
        <v>352437.92</v>
      </c>
      <c r="K124" s="1207">
        <v>18320853.960000001</v>
      </c>
      <c r="L124" s="1207"/>
      <c r="M124" s="1207">
        <v>4365.83</v>
      </c>
      <c r="N124" s="1207">
        <v>3189042.65</v>
      </c>
      <c r="O124" s="1374">
        <v>1044658.41</v>
      </c>
      <c r="P124" s="1374">
        <v>21794130.77</v>
      </c>
      <c r="Q124" s="1374">
        <v>12345444.890000001</v>
      </c>
      <c r="R124" s="1374">
        <v>1335435.5900000001</v>
      </c>
      <c r="S124" s="1374">
        <v>901904.66</v>
      </c>
      <c r="T124" s="1374">
        <v>508159.41</v>
      </c>
      <c r="U124" s="1374">
        <v>278737.44</v>
      </c>
      <c r="V124" s="1374">
        <v>4997786.8600000003</v>
      </c>
      <c r="W124" s="1374">
        <v>858454.79</v>
      </c>
      <c r="X124" s="1374">
        <v>1430655.4</v>
      </c>
      <c r="Y124" s="1374">
        <v>2172321.1800000002</v>
      </c>
      <c r="Z124" s="1374">
        <v>197526.92</v>
      </c>
      <c r="AA124" s="1374">
        <v>163344.47</v>
      </c>
      <c r="AB124" s="1374">
        <v>67203.98</v>
      </c>
      <c r="AC124" s="1374">
        <v>0</v>
      </c>
      <c r="AD124" s="1374">
        <v>284815.95</v>
      </c>
      <c r="AE124" s="1374">
        <v>0</v>
      </c>
      <c r="AF124" s="1374">
        <v>0</v>
      </c>
      <c r="AG124" s="1207">
        <v>0</v>
      </c>
      <c r="AI124" s="365">
        <f t="shared" si="17"/>
        <v>109930308.20999999</v>
      </c>
    </row>
    <row r="125" spans="1:35" x14ac:dyDescent="0.2">
      <c r="A125" s="666">
        <v>1785</v>
      </c>
      <c r="B125" s="3010" t="s">
        <v>5373</v>
      </c>
      <c r="C125" s="3010"/>
      <c r="D125" t="str">
        <f t="shared" si="19"/>
        <v>OK</v>
      </c>
      <c r="E125" s="1207">
        <v>0</v>
      </c>
      <c r="F125" s="1207">
        <v>0</v>
      </c>
      <c r="G125" s="1207">
        <v>0</v>
      </c>
      <c r="H125" s="1207">
        <v>0</v>
      </c>
      <c r="I125" s="616">
        <v>0</v>
      </c>
      <c r="J125" s="1207">
        <v>0</v>
      </c>
      <c r="K125" s="1207">
        <v>0</v>
      </c>
      <c r="L125" s="1207">
        <v>0</v>
      </c>
      <c r="M125" s="1207">
        <v>0</v>
      </c>
      <c r="N125" s="1207">
        <v>0</v>
      </c>
      <c r="O125" s="1207">
        <v>0</v>
      </c>
      <c r="P125" s="1207">
        <v>0</v>
      </c>
      <c r="Q125" s="1207">
        <v>0</v>
      </c>
      <c r="R125" s="1207">
        <v>0</v>
      </c>
      <c r="S125" s="1207">
        <v>0</v>
      </c>
      <c r="T125" s="1207">
        <v>0</v>
      </c>
      <c r="U125" s="1207">
        <v>0</v>
      </c>
      <c r="V125" s="1207">
        <v>0</v>
      </c>
      <c r="W125" s="1207">
        <v>0</v>
      </c>
      <c r="X125" s="1207">
        <v>0</v>
      </c>
      <c r="Y125" s="1207">
        <v>0</v>
      </c>
      <c r="Z125" s="1207">
        <v>0</v>
      </c>
      <c r="AA125" s="1207">
        <v>0</v>
      </c>
      <c r="AB125" s="1207">
        <v>0</v>
      </c>
      <c r="AC125" s="1207">
        <v>0</v>
      </c>
      <c r="AD125" s="1207">
        <v>0</v>
      </c>
      <c r="AE125" s="1207">
        <v>0</v>
      </c>
      <c r="AF125" s="1207">
        <v>0</v>
      </c>
      <c r="AG125" s="1207">
        <v>0</v>
      </c>
      <c r="AI125" s="365">
        <f t="shared" si="17"/>
        <v>0</v>
      </c>
    </row>
    <row r="126" spans="1:35" x14ac:dyDescent="0.2">
      <c r="A126" s="666">
        <v>1800</v>
      </c>
      <c r="B126" s="2881" t="s">
        <v>4863</v>
      </c>
      <c r="C126" s="2881"/>
      <c r="D126" t="str">
        <f t="shared" si="19"/>
        <v>OK</v>
      </c>
      <c r="E126" s="1207">
        <v>24300000</v>
      </c>
      <c r="F126" s="1207">
        <v>15320000</v>
      </c>
      <c r="G126" s="1207">
        <v>0</v>
      </c>
      <c r="H126" s="1207">
        <v>0</v>
      </c>
      <c r="I126" s="616">
        <v>8980000</v>
      </c>
      <c r="J126" s="1207">
        <v>0</v>
      </c>
      <c r="K126" s="1207">
        <v>0</v>
      </c>
      <c r="L126" s="1207"/>
      <c r="M126" s="1207">
        <v>0</v>
      </c>
      <c r="N126" s="1207">
        <v>0</v>
      </c>
      <c r="O126" s="1374">
        <v>0</v>
      </c>
      <c r="P126" s="1374">
        <f>48965000+60000000</f>
        <v>108965000</v>
      </c>
      <c r="Q126" s="1374">
        <v>21173840</v>
      </c>
      <c r="R126" s="1374">
        <f>10295000+4790335.82</f>
        <v>15085335.82</v>
      </c>
      <c r="S126" s="1374">
        <v>21180000</v>
      </c>
      <c r="T126" s="1374">
        <v>2385700</v>
      </c>
      <c r="U126" s="1374">
        <f>7210000+3013000</f>
        <v>10223000</v>
      </c>
      <c r="V126" s="1374">
        <v>14745000</v>
      </c>
      <c r="W126" s="1374">
        <v>2595000</v>
      </c>
      <c r="X126" s="1374">
        <v>9080000</v>
      </c>
      <c r="Y126" s="1374">
        <f>8835000+6014000</f>
        <v>14849000</v>
      </c>
      <c r="Z126" s="1374">
        <f>1355000+816668.04</f>
        <v>2171668.04</v>
      </c>
      <c r="AA126" s="1374">
        <v>1590000</v>
      </c>
      <c r="AB126" s="1374">
        <v>140000</v>
      </c>
      <c r="AC126" s="1374">
        <v>1563000</v>
      </c>
      <c r="AD126" s="1374">
        <v>4260000</v>
      </c>
      <c r="AE126" s="1374">
        <v>892000</v>
      </c>
      <c r="AF126" s="1374">
        <v>0</v>
      </c>
      <c r="AG126" s="1207">
        <v>0</v>
      </c>
      <c r="AI126" s="365">
        <f t="shared" si="17"/>
        <v>255198543.86000001</v>
      </c>
    </row>
    <row r="127" spans="1:35" x14ac:dyDescent="0.2">
      <c r="A127" s="666">
        <v>1850</v>
      </c>
      <c r="B127" s="2881" t="s">
        <v>4864</v>
      </c>
      <c r="C127" s="2881"/>
      <c r="D127" t="str">
        <f t="shared" si="19"/>
        <v>OK</v>
      </c>
      <c r="E127" s="1207">
        <v>0</v>
      </c>
      <c r="F127" s="1207">
        <v>0</v>
      </c>
      <c r="G127" s="1207">
        <v>0</v>
      </c>
      <c r="H127" s="1207">
        <v>0</v>
      </c>
      <c r="I127" s="616">
        <v>0</v>
      </c>
      <c r="J127" s="1207">
        <v>0</v>
      </c>
      <c r="K127" s="1207">
        <v>0</v>
      </c>
      <c r="L127" s="1207"/>
      <c r="M127" s="1207">
        <v>0</v>
      </c>
      <c r="N127" s="1207">
        <v>0</v>
      </c>
      <c r="O127" s="1374">
        <v>0</v>
      </c>
      <c r="P127" s="1374">
        <v>0</v>
      </c>
      <c r="Q127" s="1374">
        <v>0</v>
      </c>
      <c r="R127" s="1374">
        <v>0</v>
      </c>
      <c r="S127" s="1374">
        <v>0</v>
      </c>
      <c r="T127" s="1374">
        <v>0</v>
      </c>
      <c r="U127" s="1374">
        <v>0</v>
      </c>
      <c r="V127" s="1374">
        <v>0</v>
      </c>
      <c r="W127" s="1374">
        <v>0</v>
      </c>
      <c r="X127" s="1374">
        <v>0</v>
      </c>
      <c r="Y127" s="1374">
        <v>0</v>
      </c>
      <c r="Z127" s="1374">
        <v>0</v>
      </c>
      <c r="AA127" s="1374">
        <v>0</v>
      </c>
      <c r="AB127" s="1374">
        <v>0</v>
      </c>
      <c r="AC127" s="1374">
        <v>0</v>
      </c>
      <c r="AD127" s="1374">
        <v>0</v>
      </c>
      <c r="AE127" s="1374">
        <v>0</v>
      </c>
      <c r="AF127" s="1374">
        <v>0</v>
      </c>
      <c r="AG127" s="1207">
        <v>0</v>
      </c>
      <c r="AI127" s="365">
        <f t="shared" si="17"/>
        <v>0</v>
      </c>
    </row>
    <row r="128" spans="1:35" x14ac:dyDescent="0.2">
      <c r="A128" s="666">
        <v>1851</v>
      </c>
      <c r="B128" s="2881" t="s">
        <v>4865</v>
      </c>
      <c r="C128" s="2881"/>
      <c r="D128" t="str">
        <f t="shared" si="19"/>
        <v>OK</v>
      </c>
      <c r="E128" s="1207">
        <v>0</v>
      </c>
      <c r="F128" s="1207">
        <v>0</v>
      </c>
      <c r="G128" s="1207">
        <v>0</v>
      </c>
      <c r="H128" s="1207">
        <v>0</v>
      </c>
      <c r="I128" s="616">
        <v>0</v>
      </c>
      <c r="J128" s="1207">
        <v>0</v>
      </c>
      <c r="K128" s="1207">
        <v>0</v>
      </c>
      <c r="L128" s="1207"/>
      <c r="M128" s="1207">
        <v>0</v>
      </c>
      <c r="N128" s="1207">
        <v>0</v>
      </c>
      <c r="O128" s="1374">
        <v>93373.46</v>
      </c>
      <c r="P128" s="1374">
        <v>2415266.61</v>
      </c>
      <c r="Q128" s="1374">
        <v>1724700.14</v>
      </c>
      <c r="R128" s="1374">
        <v>902459.84</v>
      </c>
      <c r="S128" s="1374">
        <v>713695.45</v>
      </c>
      <c r="T128" s="1374">
        <v>31579.52</v>
      </c>
      <c r="U128" s="1374">
        <v>302587.67</v>
      </c>
      <c r="V128" s="1374">
        <v>1099095.32</v>
      </c>
      <c r="W128" s="1374">
        <v>508158.52</v>
      </c>
      <c r="X128" s="1374">
        <v>230187.63</v>
      </c>
      <c r="Y128" s="1374">
        <v>243858.99</v>
      </c>
      <c r="Z128" s="1374">
        <v>2545389.96</v>
      </c>
      <c r="AA128" s="1374">
        <v>326903</v>
      </c>
      <c r="AB128" s="1374">
        <v>276028</v>
      </c>
      <c r="AC128" s="1374">
        <v>218549.06</v>
      </c>
      <c r="AD128" s="1374">
        <v>394772.53</v>
      </c>
      <c r="AE128" s="1374">
        <v>135928.6</v>
      </c>
      <c r="AF128" s="1374">
        <v>0</v>
      </c>
      <c r="AG128" s="1207">
        <v>0</v>
      </c>
      <c r="AI128" s="365">
        <f t="shared" si="17"/>
        <v>12162534.300000001</v>
      </c>
    </row>
    <row r="129" spans="1:35" x14ac:dyDescent="0.2">
      <c r="A129" s="666">
        <v>1786</v>
      </c>
      <c r="B129" s="2881" t="s">
        <v>4866</v>
      </c>
      <c r="C129" s="2881"/>
      <c r="D129" t="str">
        <f t="shared" si="19"/>
        <v>OK</v>
      </c>
      <c r="E129" s="1207">
        <v>0</v>
      </c>
      <c r="F129" s="1207">
        <v>0</v>
      </c>
      <c r="G129" s="1207">
        <v>0</v>
      </c>
      <c r="H129" s="1207">
        <v>0</v>
      </c>
      <c r="I129" s="616">
        <v>0</v>
      </c>
      <c r="J129" s="1207">
        <v>0</v>
      </c>
      <c r="K129" s="1207">
        <v>0</v>
      </c>
      <c r="L129" s="1207"/>
      <c r="M129" s="1207">
        <v>0</v>
      </c>
      <c r="N129" s="1207">
        <v>0</v>
      </c>
      <c r="O129" s="1374">
        <v>0</v>
      </c>
      <c r="P129" s="1374">
        <v>827358.54</v>
      </c>
      <c r="Q129" s="1374">
        <v>0</v>
      </c>
      <c r="R129" s="1374">
        <v>0</v>
      </c>
      <c r="S129" s="1374">
        <v>0</v>
      </c>
      <c r="T129" s="1374">
        <v>0</v>
      </c>
      <c r="U129" s="1374">
        <v>0</v>
      </c>
      <c r="V129" s="1374">
        <v>0</v>
      </c>
      <c r="W129" s="1374">
        <v>0</v>
      </c>
      <c r="X129" s="1374">
        <v>0</v>
      </c>
      <c r="Y129" s="1374">
        <v>0</v>
      </c>
      <c r="Z129" s="1374">
        <v>0</v>
      </c>
      <c r="AA129" s="1374">
        <v>0</v>
      </c>
      <c r="AB129" s="1374">
        <v>0</v>
      </c>
      <c r="AC129" s="1374">
        <v>0</v>
      </c>
      <c r="AD129" s="1374">
        <v>0</v>
      </c>
      <c r="AE129" s="1374">
        <v>0</v>
      </c>
      <c r="AF129" s="1374">
        <v>0</v>
      </c>
      <c r="AG129" s="1207">
        <v>0</v>
      </c>
      <c r="AI129" s="365">
        <f t="shared" si="17"/>
        <v>827358.54</v>
      </c>
    </row>
    <row r="130" spans="1:35" x14ac:dyDescent="0.2">
      <c r="A130" s="666">
        <v>1855</v>
      </c>
      <c r="B130" s="2881" t="s">
        <v>4867</v>
      </c>
      <c r="C130" s="2881"/>
      <c r="D130" t="str">
        <f t="shared" si="19"/>
        <v>OK</v>
      </c>
      <c r="E130" s="1207">
        <v>0</v>
      </c>
      <c r="F130" s="1207">
        <v>0</v>
      </c>
      <c r="G130" s="1207">
        <v>0</v>
      </c>
      <c r="H130" s="1207">
        <v>0</v>
      </c>
      <c r="I130" s="616">
        <v>0</v>
      </c>
      <c r="J130" s="1207">
        <v>0</v>
      </c>
      <c r="K130" s="1207">
        <v>0</v>
      </c>
      <c r="L130" s="1207"/>
      <c r="M130" s="1207">
        <v>0</v>
      </c>
      <c r="N130" s="1207">
        <v>0</v>
      </c>
      <c r="O130" s="1374">
        <v>0</v>
      </c>
      <c r="P130" s="1374">
        <v>0</v>
      </c>
      <c r="Q130" s="1374">
        <v>105669.39</v>
      </c>
      <c r="R130" s="1374">
        <v>0</v>
      </c>
      <c r="S130" s="1374">
        <v>0</v>
      </c>
      <c r="T130" s="1374">
        <v>0</v>
      </c>
      <c r="U130" s="1374">
        <v>0</v>
      </c>
      <c r="V130" s="1374">
        <v>0</v>
      </c>
      <c r="W130" s="1374">
        <v>0</v>
      </c>
      <c r="X130" s="1374">
        <v>0</v>
      </c>
      <c r="Y130" s="1374">
        <v>0</v>
      </c>
      <c r="Z130" s="1374">
        <v>0</v>
      </c>
      <c r="AA130" s="1374">
        <v>0</v>
      </c>
      <c r="AB130" s="1374">
        <v>0</v>
      </c>
      <c r="AC130" s="1374">
        <v>0</v>
      </c>
      <c r="AD130" s="1374">
        <v>0</v>
      </c>
      <c r="AE130" s="1374">
        <v>0</v>
      </c>
      <c r="AF130" s="1374">
        <v>0</v>
      </c>
      <c r="AG130" s="1207">
        <v>0</v>
      </c>
      <c r="AI130" s="365">
        <f t="shared" si="17"/>
        <v>105669.39</v>
      </c>
    </row>
    <row r="131" spans="1:35" x14ac:dyDescent="0.2">
      <c r="A131" s="666">
        <v>1857</v>
      </c>
      <c r="B131" s="2881" t="s">
        <v>5374</v>
      </c>
      <c r="C131" s="2881"/>
      <c r="D131" t="str">
        <f t="shared" si="19"/>
        <v>OK</v>
      </c>
      <c r="E131" s="1207">
        <v>0</v>
      </c>
      <c r="F131" s="1207">
        <v>0</v>
      </c>
      <c r="G131" s="1207">
        <v>0</v>
      </c>
      <c r="H131" s="1207">
        <v>0</v>
      </c>
      <c r="I131" s="616">
        <v>0</v>
      </c>
      <c r="J131" s="1207">
        <v>0</v>
      </c>
      <c r="K131" s="1207">
        <v>0</v>
      </c>
      <c r="L131" s="1207"/>
      <c r="M131" s="1207">
        <v>0</v>
      </c>
      <c r="N131" s="1207">
        <v>0</v>
      </c>
      <c r="O131" s="1374">
        <v>0</v>
      </c>
      <c r="P131" s="1374">
        <v>0</v>
      </c>
      <c r="Q131" s="1374">
        <v>0</v>
      </c>
      <c r="R131" s="1374">
        <v>0</v>
      </c>
      <c r="S131" s="1374">
        <v>0</v>
      </c>
      <c r="T131" s="1374">
        <v>0</v>
      </c>
      <c r="U131" s="1374">
        <v>0</v>
      </c>
      <c r="V131" s="1374">
        <v>0</v>
      </c>
      <c r="W131" s="1374">
        <v>0</v>
      </c>
      <c r="X131" s="1374">
        <v>0</v>
      </c>
      <c r="Y131" s="1374">
        <v>0</v>
      </c>
      <c r="Z131" s="1374">
        <v>0</v>
      </c>
      <c r="AA131" s="1374">
        <v>0</v>
      </c>
      <c r="AB131" s="1374">
        <v>0</v>
      </c>
      <c r="AC131" s="1374">
        <v>0</v>
      </c>
      <c r="AD131" s="1374">
        <v>0</v>
      </c>
      <c r="AE131" s="1374">
        <v>0</v>
      </c>
      <c r="AF131" s="1374">
        <v>0</v>
      </c>
      <c r="AG131" s="1207">
        <v>0</v>
      </c>
      <c r="AI131" s="365">
        <f t="shared" si="17"/>
        <v>0</v>
      </c>
    </row>
    <row r="132" spans="1:35" x14ac:dyDescent="0.2">
      <c r="A132" s="666">
        <v>1860</v>
      </c>
      <c r="B132" s="2881" t="s">
        <v>5375</v>
      </c>
      <c r="C132" s="2881"/>
      <c r="D132" t="str">
        <f t="shared" si="19"/>
        <v>OK</v>
      </c>
      <c r="E132" s="1207">
        <v>65304426.210000001</v>
      </c>
      <c r="F132" s="1207">
        <v>14878287.789999999</v>
      </c>
      <c r="G132" s="1207">
        <v>15473479.43</v>
      </c>
      <c r="H132" s="1207">
        <v>0</v>
      </c>
      <c r="I132" s="616">
        <v>24563871</v>
      </c>
      <c r="J132" s="1207">
        <v>712288.83</v>
      </c>
      <c r="K132" s="1207">
        <v>5694880.9500000002</v>
      </c>
      <c r="L132" s="1207"/>
      <c r="M132" s="1207">
        <v>1296926</v>
      </c>
      <c r="N132" s="1207">
        <v>2684692.21</v>
      </c>
      <c r="O132" s="1374">
        <v>279578.11</v>
      </c>
      <c r="P132" s="1374">
        <v>11232217.43</v>
      </c>
      <c r="Q132" s="1374">
        <v>4270856.33</v>
      </c>
      <c r="R132" s="1374">
        <v>957478.40000000002</v>
      </c>
      <c r="S132" s="1374">
        <v>2581155.75</v>
      </c>
      <c r="T132" s="1374">
        <v>653234</v>
      </c>
      <c r="U132" s="1374">
        <v>640240.79</v>
      </c>
      <c r="V132" s="1374">
        <v>3862073.86</v>
      </c>
      <c r="W132" s="1374">
        <v>1108232</v>
      </c>
      <c r="X132" s="1374">
        <v>1590268</v>
      </c>
      <c r="Y132" s="1374">
        <v>3665852.16</v>
      </c>
      <c r="Z132" s="1374">
        <v>1153203.8700000001</v>
      </c>
      <c r="AA132" s="1374">
        <v>951350</v>
      </c>
      <c r="AB132" s="1374">
        <v>512679</v>
      </c>
      <c r="AC132" s="1374">
        <v>1282676</v>
      </c>
      <c r="AD132" s="1374">
        <v>1679160</v>
      </c>
      <c r="AE132" s="1374">
        <v>238362.25</v>
      </c>
      <c r="AF132" s="1374">
        <v>0</v>
      </c>
      <c r="AG132" s="1207">
        <v>21246.86</v>
      </c>
      <c r="AI132" s="365">
        <f t="shared" si="17"/>
        <v>101963044.16</v>
      </c>
    </row>
    <row r="133" spans="1:35" x14ac:dyDescent="0.2">
      <c r="A133" s="1383">
        <v>1868</v>
      </c>
      <c r="B133" s="2881" t="s">
        <v>5376</v>
      </c>
      <c r="C133" s="2881"/>
      <c r="D133" t="str">
        <f t="shared" si="19"/>
        <v>OK</v>
      </c>
      <c r="E133" s="1207">
        <v>0</v>
      </c>
      <c r="F133" s="1207">
        <v>0</v>
      </c>
      <c r="G133" s="1207">
        <v>0</v>
      </c>
      <c r="H133" s="1207">
        <v>0</v>
      </c>
      <c r="I133" s="616">
        <v>0</v>
      </c>
      <c r="J133" s="1207">
        <v>0</v>
      </c>
      <c r="K133" s="1207">
        <v>0</v>
      </c>
      <c r="L133" s="1207"/>
      <c r="M133" s="1207">
        <v>0</v>
      </c>
      <c r="N133" s="1207">
        <v>0</v>
      </c>
      <c r="O133" s="1374">
        <v>0</v>
      </c>
      <c r="P133" s="1375">
        <v>0</v>
      </c>
      <c r="Q133" s="1375">
        <v>0</v>
      </c>
      <c r="R133" s="1378">
        <v>0</v>
      </c>
      <c r="S133" s="1378">
        <v>0</v>
      </c>
      <c r="T133" s="1378">
        <v>0</v>
      </c>
      <c r="U133" s="1207">
        <v>0</v>
      </c>
      <c r="V133" s="1207">
        <v>0</v>
      </c>
      <c r="W133" s="1207">
        <v>0</v>
      </c>
      <c r="X133" s="1207">
        <v>0</v>
      </c>
      <c r="Y133" s="1207">
        <v>0</v>
      </c>
      <c r="Z133" s="1207">
        <v>0</v>
      </c>
      <c r="AA133" s="1207">
        <v>0</v>
      </c>
      <c r="AB133" s="1207">
        <v>0</v>
      </c>
      <c r="AC133" s="1207">
        <v>0</v>
      </c>
      <c r="AD133" s="1207">
        <v>0</v>
      </c>
      <c r="AE133" s="1207">
        <v>0</v>
      </c>
      <c r="AF133" s="1207">
        <v>0</v>
      </c>
      <c r="AG133" s="1207">
        <v>0</v>
      </c>
      <c r="AI133" s="365">
        <f t="shared" si="17"/>
        <v>0</v>
      </c>
    </row>
    <row r="134" spans="1:35" x14ac:dyDescent="0.2">
      <c r="A134" s="1383">
        <v>1869</v>
      </c>
      <c r="B134" s="2881" t="s">
        <v>5377</v>
      </c>
      <c r="C134" s="2881"/>
      <c r="D134" t="str">
        <f t="shared" si="19"/>
        <v>OK</v>
      </c>
      <c r="E134" s="1207">
        <v>0</v>
      </c>
      <c r="F134" s="1207">
        <v>0</v>
      </c>
      <c r="G134" s="1207">
        <v>0</v>
      </c>
      <c r="H134" s="1207">
        <v>0</v>
      </c>
      <c r="I134" s="1207">
        <v>0</v>
      </c>
      <c r="J134" s="1207">
        <v>0</v>
      </c>
      <c r="K134" s="1207">
        <v>0</v>
      </c>
      <c r="L134" s="1207"/>
      <c r="M134" s="1207">
        <v>0</v>
      </c>
      <c r="N134" s="1207">
        <v>0</v>
      </c>
      <c r="O134" s="1374">
        <v>0</v>
      </c>
      <c r="P134" s="1374">
        <v>0</v>
      </c>
      <c r="Q134" s="1374">
        <v>0</v>
      </c>
      <c r="R134" s="1374">
        <v>0</v>
      </c>
      <c r="S134" s="1374">
        <v>0</v>
      </c>
      <c r="T134" s="1374">
        <v>0</v>
      </c>
      <c r="U134" s="1374">
        <v>0</v>
      </c>
      <c r="V134" s="1374">
        <v>0</v>
      </c>
      <c r="W134" s="1374">
        <v>0</v>
      </c>
      <c r="X134" s="1374">
        <v>0</v>
      </c>
      <c r="Y134" s="1374">
        <v>0</v>
      </c>
      <c r="Z134" s="1374">
        <v>0</v>
      </c>
      <c r="AA134" s="1374">
        <v>0</v>
      </c>
      <c r="AB134" s="1374">
        <v>0</v>
      </c>
      <c r="AC134" s="1374">
        <v>0</v>
      </c>
      <c r="AD134" s="1374">
        <v>0</v>
      </c>
      <c r="AE134" s="1374">
        <v>0</v>
      </c>
      <c r="AF134" s="1374">
        <v>0</v>
      </c>
      <c r="AG134" s="1207">
        <v>0</v>
      </c>
      <c r="AI134" s="365">
        <f t="shared" si="17"/>
        <v>0</v>
      </c>
    </row>
    <row r="135" spans="1:35" x14ac:dyDescent="0.2">
      <c r="A135" s="666">
        <v>1865</v>
      </c>
      <c r="B135" s="2881" t="s">
        <v>4872</v>
      </c>
      <c r="C135" s="2881"/>
      <c r="D135" t="str">
        <f t="shared" si="19"/>
        <v>OK</v>
      </c>
      <c r="E135" s="1207">
        <v>7611027</v>
      </c>
      <c r="F135" s="1207">
        <v>0</v>
      </c>
      <c r="G135" s="1207">
        <v>0</v>
      </c>
      <c r="H135" s="1207">
        <v>7611027</v>
      </c>
      <c r="I135" s="1207">
        <v>0</v>
      </c>
      <c r="J135" s="1207">
        <v>0</v>
      </c>
      <c r="K135" s="1207">
        <v>0</v>
      </c>
      <c r="L135" s="1207"/>
      <c r="M135" s="1207">
        <v>0</v>
      </c>
      <c r="N135" s="1207">
        <v>0</v>
      </c>
      <c r="O135" s="1374">
        <v>0</v>
      </c>
      <c r="P135" s="1374">
        <v>0</v>
      </c>
      <c r="Q135" s="1374">
        <v>0</v>
      </c>
      <c r="R135" s="1374">
        <v>0</v>
      </c>
      <c r="S135" s="1374">
        <v>0</v>
      </c>
      <c r="T135" s="1374">
        <v>0</v>
      </c>
      <c r="U135" s="1374">
        <v>0</v>
      </c>
      <c r="V135" s="1374">
        <v>0</v>
      </c>
      <c r="W135" s="1374">
        <v>0</v>
      </c>
      <c r="X135" s="1374">
        <v>0</v>
      </c>
      <c r="Y135" s="1374">
        <v>0</v>
      </c>
      <c r="Z135" s="1374">
        <v>0</v>
      </c>
      <c r="AA135" s="1374">
        <v>0</v>
      </c>
      <c r="AB135" s="1374">
        <v>0</v>
      </c>
      <c r="AC135" s="1374">
        <v>0</v>
      </c>
      <c r="AD135" s="1374">
        <v>0</v>
      </c>
      <c r="AE135" s="1374">
        <v>0</v>
      </c>
      <c r="AF135" s="1374">
        <v>0</v>
      </c>
      <c r="AG135" s="1207">
        <v>0</v>
      </c>
      <c r="AI135" s="365">
        <f t="shared" si="17"/>
        <v>7611027</v>
      </c>
    </row>
    <row r="136" spans="1:35" x14ac:dyDescent="0.2">
      <c r="A136" s="666">
        <v>1866</v>
      </c>
      <c r="B136" s="2881" t="s">
        <v>4873</v>
      </c>
      <c r="C136" s="2881"/>
      <c r="D136" t="str">
        <f t="shared" si="19"/>
        <v>OK</v>
      </c>
      <c r="E136" s="1207">
        <v>0</v>
      </c>
      <c r="F136" s="1207">
        <v>0</v>
      </c>
      <c r="G136" s="1207">
        <v>0</v>
      </c>
      <c r="H136" s="1207">
        <v>0</v>
      </c>
      <c r="I136" s="1207">
        <v>0</v>
      </c>
      <c r="J136" s="1207">
        <v>0</v>
      </c>
      <c r="K136" s="1207">
        <v>0</v>
      </c>
      <c r="L136" s="1207"/>
      <c r="M136" s="1207">
        <v>0</v>
      </c>
      <c r="N136" s="1207">
        <v>0</v>
      </c>
      <c r="O136" s="1374">
        <v>0</v>
      </c>
      <c r="P136" s="1374">
        <v>0</v>
      </c>
      <c r="Q136" s="1374">
        <v>0</v>
      </c>
      <c r="R136" s="1374">
        <v>0</v>
      </c>
      <c r="S136" s="1374">
        <v>0</v>
      </c>
      <c r="T136" s="1374">
        <v>0</v>
      </c>
      <c r="U136" s="1374">
        <v>0</v>
      </c>
      <c r="V136" s="1374">
        <v>0</v>
      </c>
      <c r="W136" s="1374">
        <v>0</v>
      </c>
      <c r="X136" s="1374">
        <v>0</v>
      </c>
      <c r="Y136" s="1374">
        <v>0</v>
      </c>
      <c r="Z136" s="1374">
        <v>0</v>
      </c>
      <c r="AA136" s="1374">
        <v>0</v>
      </c>
      <c r="AB136" s="1374">
        <v>0</v>
      </c>
      <c r="AC136" s="1374">
        <v>0</v>
      </c>
      <c r="AD136" s="1374">
        <v>0</v>
      </c>
      <c r="AE136" s="1374">
        <v>0</v>
      </c>
      <c r="AF136" s="1374">
        <v>0</v>
      </c>
      <c r="AG136" s="1207">
        <v>0</v>
      </c>
      <c r="AI136" s="365">
        <f t="shared" si="17"/>
        <v>0</v>
      </c>
    </row>
    <row r="137" spans="1:35" x14ac:dyDescent="0.2">
      <c r="B137" s="2881" t="s">
        <v>3479</v>
      </c>
      <c r="C137" s="2881"/>
      <c r="D137" s="1382" t="str">
        <f>IF(ROUND(SUM(F137:N137),2)-ROUND(E137,2)=0,"OK","prob")</f>
        <v>prob</v>
      </c>
      <c r="E137" s="374">
        <f t="shared" ref="E137:AG137" si="20">SUM(E103:E136)</f>
        <v>1250812917.3</v>
      </c>
      <c r="F137" s="2137">
        <f t="shared" si="20"/>
        <v>466196996.54000002</v>
      </c>
      <c r="G137" s="374">
        <f t="shared" si="20"/>
        <v>837697966.25</v>
      </c>
      <c r="H137" s="374">
        <f t="shared" si="20"/>
        <v>7675524</v>
      </c>
      <c r="I137" s="374">
        <f t="shared" si="20"/>
        <v>253889212.15000001</v>
      </c>
      <c r="J137" s="374">
        <f t="shared" si="20"/>
        <v>16616663.060000001</v>
      </c>
      <c r="K137" s="374">
        <f t="shared" si="20"/>
        <v>118092856.66</v>
      </c>
      <c r="L137" s="374">
        <f t="shared" si="20"/>
        <v>0</v>
      </c>
      <c r="M137" s="374">
        <f t="shared" si="20"/>
        <v>33155536.719999999</v>
      </c>
      <c r="N137" s="374">
        <f t="shared" si="20"/>
        <v>28688923.690000001</v>
      </c>
      <c r="O137" s="403">
        <f t="shared" si="20"/>
        <v>12123019.34</v>
      </c>
      <c r="P137" s="374">
        <f t="shared" si="20"/>
        <v>543606126.38999999</v>
      </c>
      <c r="Q137" s="374">
        <f t="shared" si="20"/>
        <v>193562230.44999999</v>
      </c>
      <c r="R137" s="374">
        <f t="shared" si="20"/>
        <v>42513807.700000003</v>
      </c>
      <c r="S137" s="374">
        <f t="shared" si="20"/>
        <v>125703343.67</v>
      </c>
      <c r="T137" s="374">
        <f t="shared" si="20"/>
        <v>9945081.25</v>
      </c>
      <c r="U137" s="374">
        <f t="shared" si="20"/>
        <v>32030778.82</v>
      </c>
      <c r="V137" s="374">
        <f t="shared" si="20"/>
        <v>91689182.109999999</v>
      </c>
      <c r="W137" s="374">
        <f t="shared" si="20"/>
        <v>17968534.760000002</v>
      </c>
      <c r="X137" s="374">
        <f t="shared" si="20"/>
        <v>35088992.079999998</v>
      </c>
      <c r="Y137" s="374">
        <f t="shared" si="20"/>
        <v>60208386.079999998</v>
      </c>
      <c r="Z137" s="374">
        <f t="shared" si="20"/>
        <v>15063563.9</v>
      </c>
      <c r="AA137" s="374">
        <f t="shared" si="20"/>
        <v>12879973.76</v>
      </c>
      <c r="AB137" s="374">
        <f t="shared" si="20"/>
        <v>6513839.8399999999</v>
      </c>
      <c r="AC137" s="374">
        <f t="shared" si="20"/>
        <v>14726146.9</v>
      </c>
      <c r="AD137" s="374">
        <f t="shared" si="20"/>
        <v>27052699.82</v>
      </c>
      <c r="AE137" s="374">
        <f t="shared" si="20"/>
        <v>5914740.0099999998</v>
      </c>
      <c r="AF137" s="374">
        <f t="shared" si="20"/>
        <v>1673778.07</v>
      </c>
      <c r="AG137" s="374">
        <f t="shared" si="20"/>
        <v>507740.33</v>
      </c>
      <c r="AI137" s="365">
        <f t="shared" si="17"/>
        <v>3010277904.02</v>
      </c>
    </row>
    <row r="138" spans="1:35" x14ac:dyDescent="0.2">
      <c r="B138" s="2347"/>
      <c r="C138" s="2347"/>
      <c r="E138" s="365"/>
      <c r="F138" s="365"/>
      <c r="G138" s="365"/>
      <c r="H138" s="365"/>
      <c r="I138" s="365"/>
      <c r="J138" s="365"/>
      <c r="K138" s="365"/>
      <c r="L138" s="365"/>
      <c r="M138" s="365"/>
      <c r="N138" s="365"/>
      <c r="O138" s="233"/>
      <c r="P138" s="365"/>
      <c r="Q138" s="365"/>
      <c r="R138" s="365"/>
      <c r="S138" s="365"/>
      <c r="T138" s="365"/>
      <c r="U138" s="365"/>
      <c r="V138" s="365"/>
      <c r="W138" s="365"/>
      <c r="X138" s="365"/>
      <c r="Y138" s="365"/>
      <c r="Z138" s="365"/>
      <c r="AA138" s="365"/>
      <c r="AB138" s="365"/>
      <c r="AC138" s="365"/>
      <c r="AD138" s="365"/>
      <c r="AE138" s="365"/>
      <c r="AF138" s="365"/>
      <c r="AG138" s="365"/>
      <c r="AI138" s="365">
        <f t="shared" si="17"/>
        <v>0</v>
      </c>
    </row>
    <row r="139" spans="1:35" x14ac:dyDescent="0.2">
      <c r="B139" s="239" t="s">
        <v>2728</v>
      </c>
      <c r="C139" s="239"/>
      <c r="E139" s="365"/>
      <c r="F139" s="365"/>
      <c r="G139" s="365"/>
      <c r="H139" s="365"/>
      <c r="I139" s="365"/>
      <c r="J139" s="365"/>
      <c r="K139" s="365"/>
      <c r="L139" s="365"/>
      <c r="M139" s="365"/>
      <c r="N139" s="365"/>
      <c r="O139" s="233"/>
      <c r="P139" s="365"/>
      <c r="Q139" s="365"/>
      <c r="R139" s="365"/>
      <c r="S139" s="365"/>
      <c r="T139" s="365"/>
      <c r="U139" s="365"/>
      <c r="V139" s="365"/>
      <c r="W139" s="365"/>
      <c r="X139" s="365"/>
      <c r="Y139" s="365"/>
      <c r="Z139" s="365"/>
      <c r="AA139" s="365"/>
      <c r="AB139" s="365"/>
      <c r="AC139" s="365"/>
      <c r="AD139" s="365"/>
      <c r="AE139" s="365"/>
      <c r="AF139" s="365"/>
      <c r="AG139" s="365"/>
      <c r="AI139" s="365">
        <f t="shared" ref="AI139:AI172" si="21">SUM(F139:AF139)</f>
        <v>0</v>
      </c>
    </row>
    <row r="140" spans="1:35" x14ac:dyDescent="0.2">
      <c r="A140" s="191"/>
      <c r="B140" s="191" t="s">
        <v>2691</v>
      </c>
      <c r="C140" s="191"/>
      <c r="E140" s="365"/>
      <c r="F140" s="365"/>
      <c r="G140" s="365"/>
      <c r="H140" s="365"/>
      <c r="I140" s="365"/>
      <c r="J140" s="365"/>
      <c r="K140" s="365"/>
      <c r="L140" s="365"/>
      <c r="M140" s="365"/>
      <c r="N140" s="365"/>
      <c r="O140" s="233"/>
      <c r="P140" s="365"/>
      <c r="Q140" s="365"/>
      <c r="R140" s="365"/>
      <c r="S140" s="365"/>
      <c r="T140" s="365"/>
      <c r="U140" s="365"/>
      <c r="V140" s="365"/>
      <c r="W140" s="365"/>
      <c r="X140" s="365"/>
      <c r="Y140" s="365"/>
      <c r="Z140" s="365"/>
      <c r="AA140" s="365"/>
      <c r="AB140" s="365"/>
      <c r="AC140" s="365"/>
      <c r="AD140" s="365"/>
      <c r="AE140" s="365"/>
      <c r="AF140" s="365"/>
      <c r="AG140" s="365"/>
      <c r="AI140" s="365">
        <f t="shared" si="21"/>
        <v>0</v>
      </c>
    </row>
    <row r="141" spans="1:35" x14ac:dyDescent="0.2">
      <c r="A141" s="191">
        <v>1940</v>
      </c>
      <c r="B141" s="2987" t="s">
        <v>2729</v>
      </c>
      <c r="C141" s="2987"/>
      <c r="D141" t="str">
        <f t="shared" ref="D141:D163" si="22">IF(SUM(F141:N141)-E141=0,"OK","prob")</f>
        <v>OK</v>
      </c>
      <c r="E141" s="365">
        <v>15639070</v>
      </c>
      <c r="F141" s="365">
        <v>14935464</v>
      </c>
      <c r="G141" s="365">
        <v>0</v>
      </c>
      <c r="H141" s="365">
        <v>0</v>
      </c>
      <c r="I141" s="365">
        <v>0</v>
      </c>
      <c r="J141" s="365">
        <v>0</v>
      </c>
      <c r="K141" s="365">
        <v>0</v>
      </c>
      <c r="L141" s="365"/>
      <c r="M141" s="365">
        <v>0</v>
      </c>
      <c r="N141" s="365">
        <v>703606</v>
      </c>
      <c r="O141" s="789">
        <v>0</v>
      </c>
      <c r="P141" s="789">
        <v>20860190.010000002</v>
      </c>
      <c r="Q141" s="789">
        <v>0</v>
      </c>
      <c r="R141" s="789">
        <v>51563.58</v>
      </c>
      <c r="S141" s="789">
        <v>0</v>
      </c>
      <c r="T141" s="789">
        <v>0</v>
      </c>
      <c r="U141" s="789">
        <v>100852.55</v>
      </c>
      <c r="V141" s="789">
        <v>0</v>
      </c>
      <c r="W141" s="789">
        <v>0</v>
      </c>
      <c r="X141" s="789">
        <v>1742500.92</v>
      </c>
      <c r="Y141" s="789">
        <v>26340831.84</v>
      </c>
      <c r="Z141" s="789">
        <v>0</v>
      </c>
      <c r="AA141" s="789">
        <v>0</v>
      </c>
      <c r="AB141" s="789">
        <v>0</v>
      </c>
      <c r="AC141" s="789">
        <v>0</v>
      </c>
      <c r="AD141" s="789">
        <v>0</v>
      </c>
      <c r="AE141" s="789">
        <v>0</v>
      </c>
      <c r="AF141" s="789">
        <v>0</v>
      </c>
      <c r="AG141" s="365">
        <v>0</v>
      </c>
      <c r="AI141" s="365">
        <f t="shared" si="21"/>
        <v>64735008.899999999</v>
      </c>
    </row>
    <row r="142" spans="1:35" x14ac:dyDescent="0.2">
      <c r="A142" s="191">
        <v>1950</v>
      </c>
      <c r="B142" s="2987" t="s">
        <v>2694</v>
      </c>
      <c r="C142" s="2987"/>
      <c r="D142" t="str">
        <f t="shared" si="22"/>
        <v>OK</v>
      </c>
      <c r="E142" s="365">
        <v>98480390</v>
      </c>
      <c r="F142" s="365">
        <v>98480390</v>
      </c>
      <c r="G142" s="365">
        <v>0</v>
      </c>
      <c r="H142" s="365">
        <v>0</v>
      </c>
      <c r="I142" s="365">
        <v>0</v>
      </c>
      <c r="J142" s="365">
        <v>0</v>
      </c>
      <c r="K142" s="365">
        <v>0</v>
      </c>
      <c r="L142" s="365"/>
      <c r="M142" s="365">
        <v>0</v>
      </c>
      <c r="N142" s="365">
        <v>0</v>
      </c>
      <c r="O142" s="789">
        <v>0</v>
      </c>
      <c r="P142" s="789">
        <v>15010264.91</v>
      </c>
      <c r="Q142" s="789">
        <v>1591297.83</v>
      </c>
      <c r="R142" s="789">
        <v>2397899.67</v>
      </c>
      <c r="S142" s="789">
        <v>1416880.44</v>
      </c>
      <c r="T142" s="789">
        <v>431350.14</v>
      </c>
      <c r="U142" s="789">
        <v>788582.53</v>
      </c>
      <c r="V142" s="789">
        <v>6449078.0599999996</v>
      </c>
      <c r="W142" s="789">
        <v>0</v>
      </c>
      <c r="X142" s="789">
        <v>3895335.95</v>
      </c>
      <c r="Y142" s="789">
        <v>1676750.09</v>
      </c>
      <c r="Z142" s="789">
        <v>294341.74</v>
      </c>
      <c r="AA142" s="789">
        <v>0</v>
      </c>
      <c r="AB142" s="789">
        <v>0</v>
      </c>
      <c r="AC142" s="789">
        <v>623834.26</v>
      </c>
      <c r="AD142" s="789">
        <v>2094773.76</v>
      </c>
      <c r="AE142" s="789">
        <v>112405.47</v>
      </c>
      <c r="AF142" s="789">
        <v>0</v>
      </c>
      <c r="AG142" s="365">
        <v>0</v>
      </c>
      <c r="AI142" s="365">
        <f t="shared" si="21"/>
        <v>135263184.84999999</v>
      </c>
    </row>
    <row r="143" spans="1:35" x14ac:dyDescent="0.2">
      <c r="A143" s="191">
        <v>1960</v>
      </c>
      <c r="B143" s="2987" t="s">
        <v>2695</v>
      </c>
      <c r="C143" s="2987"/>
      <c r="D143" t="str">
        <f t="shared" si="22"/>
        <v>OK</v>
      </c>
      <c r="E143" s="365">
        <v>0</v>
      </c>
      <c r="F143" s="365">
        <v>0</v>
      </c>
      <c r="G143" s="365">
        <v>0</v>
      </c>
      <c r="H143" s="365">
        <v>0</v>
      </c>
      <c r="I143" s="365">
        <v>0</v>
      </c>
      <c r="J143" s="365">
        <v>0</v>
      </c>
      <c r="K143" s="365">
        <v>0</v>
      </c>
      <c r="L143" s="365"/>
      <c r="M143" s="365">
        <v>0</v>
      </c>
      <c r="N143" s="365">
        <v>0</v>
      </c>
      <c r="O143" s="789">
        <v>0</v>
      </c>
      <c r="P143" s="789">
        <v>0</v>
      </c>
      <c r="Q143" s="789">
        <v>0</v>
      </c>
      <c r="R143" s="789">
        <v>0</v>
      </c>
      <c r="S143" s="789">
        <v>0</v>
      </c>
      <c r="T143" s="789">
        <v>0</v>
      </c>
      <c r="U143" s="789">
        <v>0</v>
      </c>
      <c r="V143" s="789">
        <v>0</v>
      </c>
      <c r="W143" s="789">
        <v>0</v>
      </c>
      <c r="X143" s="789">
        <v>0</v>
      </c>
      <c r="Y143" s="789">
        <v>0</v>
      </c>
      <c r="Z143" s="789">
        <v>0</v>
      </c>
      <c r="AA143" s="789">
        <v>0</v>
      </c>
      <c r="AB143" s="789">
        <v>0</v>
      </c>
      <c r="AC143" s="789">
        <v>0</v>
      </c>
      <c r="AD143" s="789">
        <v>0</v>
      </c>
      <c r="AE143" s="789">
        <v>0</v>
      </c>
      <c r="AF143" s="789">
        <v>0</v>
      </c>
      <c r="AG143" s="365">
        <v>0</v>
      </c>
      <c r="AI143" s="365">
        <f t="shared" si="21"/>
        <v>0</v>
      </c>
    </row>
    <row r="144" spans="1:35" x14ac:dyDescent="0.2">
      <c r="A144" s="666">
        <v>2020</v>
      </c>
      <c r="B144" s="2881" t="s">
        <v>4874</v>
      </c>
      <c r="C144" s="2881"/>
      <c r="D144" t="str">
        <f t="shared" si="22"/>
        <v>OK</v>
      </c>
      <c r="E144" s="1207">
        <v>0</v>
      </c>
      <c r="F144" s="1207">
        <v>0</v>
      </c>
      <c r="G144" s="1207">
        <v>0</v>
      </c>
      <c r="H144" s="1207">
        <v>0</v>
      </c>
      <c r="I144" s="1207">
        <v>0</v>
      </c>
      <c r="J144" s="1207">
        <v>0</v>
      </c>
      <c r="K144" s="1207">
        <v>0</v>
      </c>
      <c r="L144" s="1207"/>
      <c r="M144" s="1207">
        <v>0</v>
      </c>
      <c r="N144" s="1207">
        <v>0</v>
      </c>
      <c r="O144" s="1375">
        <v>0</v>
      </c>
      <c r="P144" s="1375">
        <v>0</v>
      </c>
      <c r="Q144" s="1375">
        <v>0</v>
      </c>
      <c r="R144" s="1375">
        <v>0</v>
      </c>
      <c r="S144" s="1375">
        <v>0</v>
      </c>
      <c r="T144" s="1375">
        <v>0</v>
      </c>
      <c r="U144" s="1375">
        <v>0</v>
      </c>
      <c r="V144" s="1375">
        <v>0</v>
      </c>
      <c r="W144" s="1375">
        <v>0</v>
      </c>
      <c r="X144" s="1375">
        <v>0</v>
      </c>
      <c r="Y144" s="1375">
        <v>0</v>
      </c>
      <c r="Z144" s="1375">
        <v>0</v>
      </c>
      <c r="AA144" s="1375">
        <v>0</v>
      </c>
      <c r="AB144" s="1375">
        <v>0</v>
      </c>
      <c r="AC144" s="1375">
        <v>0</v>
      </c>
      <c r="AD144" s="1375">
        <v>0</v>
      </c>
      <c r="AE144" s="1375">
        <v>0</v>
      </c>
      <c r="AF144" s="1375">
        <v>0</v>
      </c>
      <c r="AG144" s="1207">
        <v>0</v>
      </c>
      <c r="AI144" s="365">
        <f t="shared" si="21"/>
        <v>0</v>
      </c>
    </row>
    <row r="145" spans="1:35" x14ac:dyDescent="0.2">
      <c r="A145" s="191">
        <v>2097</v>
      </c>
      <c r="B145" s="2881" t="s">
        <v>2706</v>
      </c>
      <c r="C145" s="2881"/>
      <c r="D145" t="str">
        <f t="shared" si="22"/>
        <v>OK</v>
      </c>
      <c r="E145" s="365">
        <v>0</v>
      </c>
      <c r="F145" s="365">
        <v>0</v>
      </c>
      <c r="G145" s="365">
        <v>0</v>
      </c>
      <c r="H145" s="365">
        <v>0</v>
      </c>
      <c r="I145" s="365">
        <v>0</v>
      </c>
      <c r="J145" s="365">
        <v>0</v>
      </c>
      <c r="K145" s="365">
        <v>0</v>
      </c>
      <c r="L145" s="365"/>
      <c r="M145" s="365">
        <v>0</v>
      </c>
      <c r="N145" s="365">
        <v>0</v>
      </c>
      <c r="O145" s="789">
        <v>0</v>
      </c>
      <c r="P145" s="789">
        <v>0</v>
      </c>
      <c r="Q145" s="789">
        <v>65910778.159999996</v>
      </c>
      <c r="R145" s="789">
        <v>12612832.810000001</v>
      </c>
      <c r="S145" s="789">
        <v>10668826.93</v>
      </c>
      <c r="T145" s="789">
        <v>0</v>
      </c>
      <c r="U145" s="789">
        <v>1809944.35</v>
      </c>
      <c r="V145" s="789">
        <v>10909634.640000001</v>
      </c>
      <c r="W145" s="789">
        <v>0</v>
      </c>
      <c r="X145" s="789">
        <v>0</v>
      </c>
      <c r="Y145" s="789">
        <v>0</v>
      </c>
      <c r="Z145" s="789">
        <v>0</v>
      </c>
      <c r="AA145" s="789">
        <v>0</v>
      </c>
      <c r="AB145" s="789">
        <v>0</v>
      </c>
      <c r="AC145" s="789">
        <v>0</v>
      </c>
      <c r="AD145" s="789">
        <v>0</v>
      </c>
      <c r="AE145" s="789">
        <v>0</v>
      </c>
      <c r="AF145" s="789">
        <v>0</v>
      </c>
      <c r="AG145" s="365">
        <v>0</v>
      </c>
      <c r="AI145" s="365">
        <f t="shared" si="21"/>
        <v>101912016.89</v>
      </c>
    </row>
    <row r="146" spans="1:35" x14ac:dyDescent="0.2">
      <c r="A146" s="191">
        <v>2070</v>
      </c>
      <c r="B146" s="2881" t="s">
        <v>2709</v>
      </c>
      <c r="C146" s="2881"/>
      <c r="D146" t="str">
        <f t="shared" si="22"/>
        <v>OK</v>
      </c>
      <c r="E146" s="365">
        <v>0</v>
      </c>
      <c r="F146" s="365">
        <v>0</v>
      </c>
      <c r="G146" s="365">
        <v>0</v>
      </c>
      <c r="H146" s="365">
        <v>0</v>
      </c>
      <c r="I146" s="365">
        <v>0</v>
      </c>
      <c r="J146" s="365">
        <v>0</v>
      </c>
      <c r="K146" s="365">
        <v>0</v>
      </c>
      <c r="L146" s="365"/>
      <c r="M146" s="365">
        <v>0</v>
      </c>
      <c r="N146" s="365">
        <v>0</v>
      </c>
      <c r="O146" s="789">
        <v>0</v>
      </c>
      <c r="P146" s="789">
        <v>0</v>
      </c>
      <c r="Q146" s="789">
        <v>6746908.5</v>
      </c>
      <c r="R146" s="789">
        <v>0</v>
      </c>
      <c r="S146" s="789">
        <v>0</v>
      </c>
      <c r="T146" s="789">
        <v>62911.18</v>
      </c>
      <c r="U146" s="789">
        <v>0</v>
      </c>
      <c r="V146" s="789">
        <v>0</v>
      </c>
      <c r="W146" s="789">
        <v>0</v>
      </c>
      <c r="X146" s="789">
        <v>83395.09</v>
      </c>
      <c r="Y146" s="789">
        <v>253484.54</v>
      </c>
      <c r="Z146" s="789">
        <v>219709.2</v>
      </c>
      <c r="AA146" s="789">
        <v>66793.55</v>
      </c>
      <c r="AB146" s="789">
        <v>0</v>
      </c>
      <c r="AC146" s="789">
        <v>0</v>
      </c>
      <c r="AD146" s="789">
        <v>400</v>
      </c>
      <c r="AE146" s="789">
        <v>0</v>
      </c>
      <c r="AF146" s="789">
        <v>0</v>
      </c>
      <c r="AG146" s="365">
        <v>0</v>
      </c>
      <c r="AI146" s="365">
        <f t="shared" si="21"/>
        <v>7433602.0599999996</v>
      </c>
    </row>
    <row r="147" spans="1:35" x14ac:dyDescent="0.2">
      <c r="A147" s="191">
        <v>2080</v>
      </c>
      <c r="B147" s="2881" t="s">
        <v>2710</v>
      </c>
      <c r="C147" s="2881"/>
      <c r="D147" t="str">
        <f t="shared" si="22"/>
        <v>OK</v>
      </c>
      <c r="E147" s="365">
        <v>2951020.71</v>
      </c>
      <c r="F147" s="365">
        <v>0</v>
      </c>
      <c r="G147" s="365">
        <v>0</v>
      </c>
      <c r="H147" s="365">
        <v>0</v>
      </c>
      <c r="I147" s="365">
        <v>2951020.71</v>
      </c>
      <c r="J147" s="365">
        <v>0</v>
      </c>
      <c r="K147" s="365">
        <v>0</v>
      </c>
      <c r="L147" s="365"/>
      <c r="M147" s="365">
        <v>0</v>
      </c>
      <c r="N147" s="365">
        <v>0</v>
      </c>
      <c r="O147" s="789">
        <v>0</v>
      </c>
      <c r="P147" s="1377">
        <v>0</v>
      </c>
      <c r="Q147" s="789">
        <v>3092348.24</v>
      </c>
      <c r="R147" s="789">
        <v>2426629.13</v>
      </c>
      <c r="S147" s="789">
        <v>85347.87</v>
      </c>
      <c r="T147" s="789">
        <v>84149.57</v>
      </c>
      <c r="U147" s="789">
        <v>658248.82999999996</v>
      </c>
      <c r="V147" s="789">
        <v>135932.65</v>
      </c>
      <c r="W147" s="789">
        <v>416126.08</v>
      </c>
      <c r="X147" s="789">
        <v>770298.86</v>
      </c>
      <c r="Y147" s="789">
        <v>2153157.4500000002</v>
      </c>
      <c r="Z147" s="789">
        <v>420069.48</v>
      </c>
      <c r="AA147" s="789">
        <v>3377591.1</v>
      </c>
      <c r="AB147" s="789">
        <v>178626.73</v>
      </c>
      <c r="AC147" s="789">
        <v>1218162.72</v>
      </c>
      <c r="AD147" s="789">
        <v>-294937.37</v>
      </c>
      <c r="AE147" s="789">
        <v>37341.61</v>
      </c>
      <c r="AF147" s="789">
        <v>0</v>
      </c>
      <c r="AG147" s="365">
        <v>0</v>
      </c>
      <c r="AI147" s="365">
        <f t="shared" si="21"/>
        <v>17710113.66</v>
      </c>
    </row>
    <row r="148" spans="1:35" x14ac:dyDescent="0.2">
      <c r="A148" s="191">
        <v>2024</v>
      </c>
      <c r="B148" s="2881" t="s">
        <v>2711</v>
      </c>
      <c r="C148" s="2881"/>
      <c r="D148" t="str">
        <f t="shared" si="22"/>
        <v>OK</v>
      </c>
      <c r="E148" s="365">
        <v>3042429</v>
      </c>
      <c r="F148" s="365">
        <v>3042429</v>
      </c>
      <c r="G148" s="365">
        <v>0</v>
      </c>
      <c r="H148" s="365">
        <v>0</v>
      </c>
      <c r="I148" s="233">
        <v>0</v>
      </c>
      <c r="J148" s="365">
        <v>0</v>
      </c>
      <c r="K148" s="365">
        <v>0</v>
      </c>
      <c r="L148" s="365"/>
      <c r="M148" s="365">
        <v>0</v>
      </c>
      <c r="N148" s="365">
        <v>0</v>
      </c>
      <c r="O148" s="789">
        <v>0</v>
      </c>
      <c r="P148" s="789">
        <v>68532840.069999993</v>
      </c>
      <c r="Q148" s="789">
        <v>0</v>
      </c>
      <c r="R148" s="789">
        <v>0</v>
      </c>
      <c r="S148" s="789">
        <v>0</v>
      </c>
      <c r="T148" s="789">
        <v>0</v>
      </c>
      <c r="U148" s="789">
        <v>0</v>
      </c>
      <c r="V148" s="789">
        <v>0</v>
      </c>
      <c r="W148" s="789">
        <v>0</v>
      </c>
      <c r="X148" s="789">
        <v>0</v>
      </c>
      <c r="Y148" s="789">
        <v>0</v>
      </c>
      <c r="Z148" s="789">
        <v>0</v>
      </c>
      <c r="AA148" s="789">
        <v>0</v>
      </c>
      <c r="AB148" s="789">
        <v>0</v>
      </c>
      <c r="AC148" s="789">
        <v>0</v>
      </c>
      <c r="AD148" s="789">
        <v>0</v>
      </c>
      <c r="AE148" s="789">
        <v>0</v>
      </c>
      <c r="AF148" s="789">
        <v>0</v>
      </c>
      <c r="AG148" s="365">
        <v>0</v>
      </c>
      <c r="AI148" s="365">
        <f t="shared" si="21"/>
        <v>71575269.069999993</v>
      </c>
    </row>
    <row r="149" spans="1:35" x14ac:dyDescent="0.2">
      <c r="A149" s="666">
        <v>2035</v>
      </c>
      <c r="B149" s="2881" t="s">
        <v>1024</v>
      </c>
      <c r="C149" s="2881"/>
      <c r="D149" t="str">
        <f t="shared" si="22"/>
        <v>OK</v>
      </c>
      <c r="E149" s="1207">
        <v>38769350.049999997</v>
      </c>
      <c r="F149" s="1207">
        <v>0</v>
      </c>
      <c r="G149" s="1207">
        <v>12959762.68</v>
      </c>
      <c r="H149" s="1207">
        <v>0</v>
      </c>
      <c r="I149" s="616">
        <v>13754402.300000001</v>
      </c>
      <c r="J149" s="1207">
        <v>9967009.0700000003</v>
      </c>
      <c r="K149" s="1207">
        <v>0</v>
      </c>
      <c r="L149" s="1207"/>
      <c r="M149" s="1207">
        <v>0</v>
      </c>
      <c r="N149" s="1207">
        <v>2088176</v>
      </c>
      <c r="O149" s="1375">
        <v>0</v>
      </c>
      <c r="P149" s="1375">
        <v>64701242.75</v>
      </c>
      <c r="Q149" s="1375">
        <v>40133591.43</v>
      </c>
      <c r="R149" s="1375">
        <v>8053822.7300000004</v>
      </c>
      <c r="S149" s="1375">
        <v>3821965.17</v>
      </c>
      <c r="T149" s="1375">
        <v>0</v>
      </c>
      <c r="U149" s="1375">
        <v>8002396.5300000003</v>
      </c>
      <c r="V149" s="1375">
        <v>92293.54</v>
      </c>
      <c r="W149" s="1375">
        <v>2622724.33</v>
      </c>
      <c r="X149" s="1375">
        <v>0</v>
      </c>
      <c r="Y149" s="1375">
        <v>94557759.409999996</v>
      </c>
      <c r="Z149" s="1375">
        <v>4594266.97</v>
      </c>
      <c r="AA149" s="1375">
        <v>31587150.539999999</v>
      </c>
      <c r="AB149" s="1375">
        <v>21841055.02</v>
      </c>
      <c r="AC149" s="1375">
        <v>6620722.2699999996</v>
      </c>
      <c r="AD149" s="1375">
        <v>2321701.0099999998</v>
      </c>
      <c r="AE149" s="1375">
        <v>0</v>
      </c>
      <c r="AF149" s="1375">
        <v>17102220.620000001</v>
      </c>
      <c r="AG149" s="1207">
        <v>0</v>
      </c>
      <c r="AI149" s="365">
        <f t="shared" si="21"/>
        <v>344822262.37</v>
      </c>
    </row>
    <row r="150" spans="1:35" x14ac:dyDescent="0.2">
      <c r="A150" s="666">
        <v>2040</v>
      </c>
      <c r="B150" s="2946" t="s">
        <v>4915</v>
      </c>
      <c r="C150" s="2946"/>
      <c r="D150" t="str">
        <f t="shared" si="22"/>
        <v>OK</v>
      </c>
      <c r="E150" s="1207">
        <v>254926707.78</v>
      </c>
      <c r="F150" s="1207">
        <v>44423015.780000001</v>
      </c>
      <c r="G150" s="1207">
        <v>69264648.620000005</v>
      </c>
      <c r="H150" s="1207">
        <v>0</v>
      </c>
      <c r="I150" s="616">
        <v>56689229.630000003</v>
      </c>
      <c r="J150" s="1207">
        <v>4153429.19</v>
      </c>
      <c r="K150" s="1207">
        <v>68666727.180000007</v>
      </c>
      <c r="L150" s="1207"/>
      <c r="M150" s="1207">
        <v>0</v>
      </c>
      <c r="N150" s="1207">
        <v>11729657.380000001</v>
      </c>
      <c r="O150" s="1375">
        <v>14370100.369999999</v>
      </c>
      <c r="P150" s="1375">
        <v>80323007.659999996</v>
      </c>
      <c r="Q150" s="1375">
        <v>83289708.920000002</v>
      </c>
      <c r="R150" s="1375">
        <v>4982592.71</v>
      </c>
      <c r="S150" s="1375">
        <v>4863480.17</v>
      </c>
      <c r="T150" s="1375">
        <v>1705496.7</v>
      </c>
      <c r="U150" s="1375">
        <v>1388519.98</v>
      </c>
      <c r="V150" s="1375">
        <v>26220887.379999999</v>
      </c>
      <c r="W150" s="1375">
        <v>2542610.87</v>
      </c>
      <c r="X150" s="1375">
        <v>7126326.8200000003</v>
      </c>
      <c r="Y150" s="1375">
        <v>8030085.75</v>
      </c>
      <c r="Z150" s="1375">
        <v>228900.09</v>
      </c>
      <c r="AA150" s="1375">
        <v>1482711.73</v>
      </c>
      <c r="AB150" s="1375">
        <v>145298.54</v>
      </c>
      <c r="AC150" s="1375">
        <v>0</v>
      </c>
      <c r="AD150" s="1375">
        <v>474962.34</v>
      </c>
      <c r="AE150" s="1375">
        <v>0</v>
      </c>
      <c r="AF150" s="1375">
        <v>0</v>
      </c>
      <c r="AG150" s="1207">
        <v>0</v>
      </c>
      <c r="AI150" s="365">
        <f t="shared" si="21"/>
        <v>492101397.81</v>
      </c>
    </row>
    <row r="151" spans="1:35" x14ac:dyDescent="0.2">
      <c r="A151" s="666">
        <v>2046</v>
      </c>
      <c r="B151" s="2945" t="s">
        <v>5378</v>
      </c>
      <c r="C151" s="2945"/>
      <c r="D151" t="str">
        <f t="shared" si="22"/>
        <v>OK</v>
      </c>
      <c r="E151" s="1207">
        <v>0</v>
      </c>
      <c r="F151" s="1207">
        <v>0</v>
      </c>
      <c r="G151" s="1207">
        <v>0</v>
      </c>
      <c r="H151" s="1207">
        <v>0</v>
      </c>
      <c r="I151" s="616">
        <v>0</v>
      </c>
      <c r="J151" s="1207">
        <v>0</v>
      </c>
      <c r="K151" s="1207">
        <v>0</v>
      </c>
      <c r="L151" s="1207">
        <v>0</v>
      </c>
      <c r="M151" s="1207">
        <v>0</v>
      </c>
      <c r="N151" s="1207">
        <v>0</v>
      </c>
      <c r="O151" s="1207">
        <v>0</v>
      </c>
      <c r="P151" s="1207">
        <v>0</v>
      </c>
      <c r="Q151" s="1207">
        <v>0</v>
      </c>
      <c r="R151" s="1207">
        <v>0</v>
      </c>
      <c r="S151" s="1207">
        <v>0</v>
      </c>
      <c r="T151" s="1207">
        <v>0</v>
      </c>
      <c r="U151" s="1207">
        <v>0</v>
      </c>
      <c r="V151" s="1207">
        <v>0</v>
      </c>
      <c r="W151" s="1207">
        <v>0</v>
      </c>
      <c r="X151" s="1207">
        <v>0</v>
      </c>
      <c r="Y151" s="1207">
        <v>0</v>
      </c>
      <c r="Z151" s="1207">
        <v>0</v>
      </c>
      <c r="AA151" s="1207">
        <v>0</v>
      </c>
      <c r="AB151" s="1207">
        <v>0</v>
      </c>
      <c r="AC151" s="1207">
        <v>0</v>
      </c>
      <c r="AD151" s="1207">
        <v>0</v>
      </c>
      <c r="AE151" s="1207">
        <v>0</v>
      </c>
      <c r="AF151" s="1207">
        <v>0</v>
      </c>
      <c r="AG151" s="1207">
        <v>0</v>
      </c>
      <c r="AI151" s="365">
        <f t="shared" si="21"/>
        <v>0</v>
      </c>
    </row>
    <row r="152" spans="1:35" x14ac:dyDescent="0.2">
      <c r="A152" s="666">
        <v>2050</v>
      </c>
      <c r="B152" s="2881" t="s">
        <v>4876</v>
      </c>
      <c r="C152" s="2881"/>
      <c r="D152" s="1382" t="str">
        <f t="shared" si="22"/>
        <v>prob</v>
      </c>
      <c r="E152" s="1207">
        <v>871920976.08000004</v>
      </c>
      <c r="F152" s="1207">
        <v>443700575.13</v>
      </c>
      <c r="G152" s="1207">
        <v>0</v>
      </c>
      <c r="H152" s="1207">
        <v>0</v>
      </c>
      <c r="I152" s="616">
        <v>428220400.94999999</v>
      </c>
      <c r="J152" s="1207">
        <v>0</v>
      </c>
      <c r="K152" s="1207">
        <v>0</v>
      </c>
      <c r="L152" s="1207"/>
      <c r="M152" s="1207">
        <v>0</v>
      </c>
      <c r="N152" s="1207">
        <v>0</v>
      </c>
      <c r="O152" s="1375">
        <v>0</v>
      </c>
      <c r="P152" s="1375">
        <v>1197880109.6199999</v>
      </c>
      <c r="Q152" s="1375">
        <v>488381251.32999998</v>
      </c>
      <c r="R152" s="1375">
        <f>243280478.73+20230619.69</f>
        <v>263511098.41999999</v>
      </c>
      <c r="S152" s="1375">
        <v>541696258.35000002</v>
      </c>
      <c r="T152" s="1375">
        <v>75553108.030000001</v>
      </c>
      <c r="U152" s="1375">
        <v>206115371.31999999</v>
      </c>
      <c r="V152" s="1375">
        <v>349989673.80000001</v>
      </c>
      <c r="W152" s="1375">
        <v>89560363.579999998</v>
      </c>
      <c r="X152" s="1375">
        <v>248790138.97999999</v>
      </c>
      <c r="Y152" s="1375">
        <f>209399497.44+26101000</f>
        <v>235500497.44</v>
      </c>
      <c r="Z152" s="1375">
        <f>26844012.71+16445131.23</f>
        <v>43289143.939999998</v>
      </c>
      <c r="AA152" s="1375">
        <v>51562022.289999999</v>
      </c>
      <c r="AB152" s="1375">
        <v>15609386.98</v>
      </c>
      <c r="AC152" s="1375">
        <v>43843443.68</v>
      </c>
      <c r="AD152" s="1375">
        <v>103345521.45999999</v>
      </c>
      <c r="AE152" s="1375">
        <v>47584330.969999999</v>
      </c>
      <c r="AF152" s="1375">
        <v>0</v>
      </c>
      <c r="AG152" s="1207">
        <v>0</v>
      </c>
      <c r="AI152" s="365">
        <f t="shared" si="21"/>
        <v>4874132696.2700005</v>
      </c>
    </row>
    <row r="153" spans="1:35" x14ac:dyDescent="0.2">
      <c r="A153" s="666">
        <v>2060</v>
      </c>
      <c r="B153" s="2881" t="s">
        <v>1021</v>
      </c>
      <c r="C153" s="2881"/>
      <c r="D153" t="str">
        <f t="shared" si="22"/>
        <v>OK</v>
      </c>
      <c r="E153" s="1207">
        <v>0</v>
      </c>
      <c r="F153" s="1207">
        <v>0</v>
      </c>
      <c r="G153" s="1207">
        <v>0</v>
      </c>
      <c r="H153" s="1207">
        <v>0</v>
      </c>
      <c r="I153" s="616">
        <v>0</v>
      </c>
      <c r="J153" s="1207">
        <v>0</v>
      </c>
      <c r="K153" s="1207">
        <v>0</v>
      </c>
      <c r="L153" s="1207"/>
      <c r="M153" s="1207">
        <v>0</v>
      </c>
      <c r="N153" s="1207">
        <v>0</v>
      </c>
      <c r="O153" s="1375">
        <v>0</v>
      </c>
      <c r="P153" s="1375">
        <v>0</v>
      </c>
      <c r="Q153" s="1375">
        <v>0</v>
      </c>
      <c r="R153" s="1375">
        <v>0</v>
      </c>
      <c r="S153" s="1375">
        <v>0</v>
      </c>
      <c r="T153" s="1375">
        <v>0</v>
      </c>
      <c r="U153" s="1375">
        <v>0</v>
      </c>
      <c r="V153" s="1375">
        <v>0</v>
      </c>
      <c r="W153" s="1375">
        <v>0</v>
      </c>
      <c r="X153" s="1375">
        <v>0</v>
      </c>
      <c r="Y153" s="1375"/>
      <c r="Z153" s="1375">
        <v>0</v>
      </c>
      <c r="AA153" s="1375">
        <v>0</v>
      </c>
      <c r="AB153" s="1375">
        <v>0</v>
      </c>
      <c r="AC153" s="1375">
        <v>0</v>
      </c>
      <c r="AD153" s="1375">
        <v>0</v>
      </c>
      <c r="AE153" s="1375">
        <v>0</v>
      </c>
      <c r="AF153" s="1375">
        <v>0</v>
      </c>
      <c r="AG153" s="1207">
        <v>0</v>
      </c>
      <c r="AI153" s="365">
        <f t="shared" si="21"/>
        <v>0</v>
      </c>
    </row>
    <row r="154" spans="1:35" x14ac:dyDescent="0.2">
      <c r="A154" s="666">
        <v>2061</v>
      </c>
      <c r="B154" s="2881" t="s">
        <v>1023</v>
      </c>
      <c r="C154" s="2881"/>
      <c r="D154" t="str">
        <f t="shared" si="22"/>
        <v>OK</v>
      </c>
      <c r="E154" s="1207">
        <v>0</v>
      </c>
      <c r="F154" s="1207">
        <v>0</v>
      </c>
      <c r="G154" s="1207">
        <v>0</v>
      </c>
      <c r="H154" s="1207">
        <v>0</v>
      </c>
      <c r="I154" s="616">
        <v>0</v>
      </c>
      <c r="J154" s="1207">
        <v>0</v>
      </c>
      <c r="K154" s="1207">
        <v>0</v>
      </c>
      <c r="L154" s="1207"/>
      <c r="M154" s="1207">
        <v>0</v>
      </c>
      <c r="N154" s="1207">
        <v>0</v>
      </c>
      <c r="O154" s="1375">
        <v>379959.93</v>
      </c>
      <c r="P154" s="1375">
        <v>10824704.5</v>
      </c>
      <c r="Q154" s="1375">
        <v>9631358.8599999994</v>
      </c>
      <c r="R154" s="1375">
        <v>2258545.63</v>
      </c>
      <c r="S154" s="1375">
        <v>2426780.11</v>
      </c>
      <c r="T154" s="1375">
        <v>28169.64</v>
      </c>
      <c r="U154" s="1375">
        <v>385111.61</v>
      </c>
      <c r="V154" s="1375">
        <v>3074143.06</v>
      </c>
      <c r="W154" s="1375">
        <v>1313314.78</v>
      </c>
      <c r="X154" s="1375">
        <v>563207.15</v>
      </c>
      <c r="Y154" s="1375">
        <v>364278.28</v>
      </c>
      <c r="Z154" s="1375">
        <v>613284.91</v>
      </c>
      <c r="AA154" s="1375">
        <v>2869291.72</v>
      </c>
      <c r="AB154" s="1375">
        <v>1605774</v>
      </c>
      <c r="AC154" s="1375">
        <v>1469498.95</v>
      </c>
      <c r="AD154" s="1375">
        <v>2102436.12</v>
      </c>
      <c r="AE154" s="1375">
        <v>708705.46</v>
      </c>
      <c r="AF154" s="1375">
        <v>0</v>
      </c>
      <c r="AG154" s="1207">
        <v>0</v>
      </c>
      <c r="AI154" s="365">
        <f t="shared" si="21"/>
        <v>40618564.710000001</v>
      </c>
    </row>
    <row r="155" spans="1:35" x14ac:dyDescent="0.2">
      <c r="A155" s="666">
        <v>2045</v>
      </c>
      <c r="B155" s="2881" t="s">
        <v>1047</v>
      </c>
      <c r="C155" s="2881"/>
      <c r="D155" t="str">
        <f t="shared" si="22"/>
        <v>OK</v>
      </c>
      <c r="E155" s="1207">
        <v>1811725</v>
      </c>
      <c r="F155" s="1207">
        <v>0</v>
      </c>
      <c r="G155" s="1207">
        <v>0</v>
      </c>
      <c r="H155" s="1207">
        <v>0</v>
      </c>
      <c r="I155" s="616">
        <v>0</v>
      </c>
      <c r="J155" s="1207">
        <v>0</v>
      </c>
      <c r="K155" s="1207">
        <v>0</v>
      </c>
      <c r="L155" s="1207"/>
      <c r="M155" s="1207">
        <v>0</v>
      </c>
      <c r="N155" s="1207">
        <v>1811725</v>
      </c>
      <c r="O155" s="1375">
        <v>0</v>
      </c>
      <c r="P155" s="1375">
        <v>45517169.920000002</v>
      </c>
      <c r="Q155" s="1375">
        <v>0</v>
      </c>
      <c r="R155" s="1375">
        <v>3769093.51</v>
      </c>
      <c r="S155" s="1375">
        <v>0</v>
      </c>
      <c r="T155" s="1375">
        <v>0</v>
      </c>
      <c r="U155" s="1375">
        <v>0</v>
      </c>
      <c r="V155" s="1375">
        <v>0</v>
      </c>
      <c r="W155" s="1375">
        <v>0</v>
      </c>
      <c r="X155" s="1375">
        <v>0</v>
      </c>
      <c r="Y155" s="1375">
        <v>0</v>
      </c>
      <c r="Z155" s="1375">
        <v>0</v>
      </c>
      <c r="AA155" s="1375">
        <v>0</v>
      </c>
      <c r="AB155" s="1375">
        <v>0</v>
      </c>
      <c r="AC155" s="1375">
        <v>0</v>
      </c>
      <c r="AD155" s="1375">
        <v>0</v>
      </c>
      <c r="AE155" s="1375">
        <v>0</v>
      </c>
      <c r="AF155" s="1375">
        <v>0</v>
      </c>
      <c r="AG155" s="1207">
        <v>0</v>
      </c>
      <c r="AI155" s="365">
        <f t="shared" si="21"/>
        <v>51097988.43</v>
      </c>
    </row>
    <row r="156" spans="1:35" x14ac:dyDescent="0.2">
      <c r="A156" s="666">
        <v>2085</v>
      </c>
      <c r="B156" s="2881" t="s">
        <v>1027</v>
      </c>
      <c r="C156" s="2881"/>
      <c r="D156" t="str">
        <f t="shared" si="22"/>
        <v>OK</v>
      </c>
      <c r="E156" s="1207">
        <v>0</v>
      </c>
      <c r="F156" s="1207">
        <v>0</v>
      </c>
      <c r="G156" s="1207">
        <v>0</v>
      </c>
      <c r="H156" s="1207">
        <v>0</v>
      </c>
      <c r="I156" s="616">
        <v>0</v>
      </c>
      <c r="J156" s="1207">
        <v>0</v>
      </c>
      <c r="K156" s="1207">
        <v>0</v>
      </c>
      <c r="L156" s="1207"/>
      <c r="M156" s="1207">
        <v>0</v>
      </c>
      <c r="N156" s="1207">
        <v>0</v>
      </c>
      <c r="O156" s="1375">
        <v>0</v>
      </c>
      <c r="P156" s="1375">
        <v>0</v>
      </c>
      <c r="Q156" s="1375">
        <v>4065083.89</v>
      </c>
      <c r="R156" s="1375">
        <v>0</v>
      </c>
      <c r="S156" s="1375">
        <v>0</v>
      </c>
      <c r="T156" s="1375">
        <v>0</v>
      </c>
      <c r="U156" s="1375">
        <v>0</v>
      </c>
      <c r="V156" s="1375">
        <v>0</v>
      </c>
      <c r="W156" s="1375">
        <v>0</v>
      </c>
      <c r="X156" s="1375">
        <v>0</v>
      </c>
      <c r="Y156" s="1375">
        <v>0</v>
      </c>
      <c r="Z156" s="1375">
        <v>0</v>
      </c>
      <c r="AA156" s="1375">
        <v>0</v>
      </c>
      <c r="AB156" s="1375">
        <v>0</v>
      </c>
      <c r="AC156" s="1375">
        <v>30000</v>
      </c>
      <c r="AD156" s="1375">
        <v>0</v>
      </c>
      <c r="AE156" s="1375">
        <v>0</v>
      </c>
      <c r="AF156" s="1375">
        <v>0</v>
      </c>
      <c r="AG156" s="1207">
        <v>0</v>
      </c>
      <c r="AI156" s="365">
        <f t="shared" si="21"/>
        <v>4095083.89</v>
      </c>
    </row>
    <row r="157" spans="1:35" x14ac:dyDescent="0.2">
      <c r="A157" s="666">
        <v>2087</v>
      </c>
      <c r="B157" s="2881" t="s">
        <v>1028</v>
      </c>
      <c r="C157" s="2881"/>
      <c r="D157" t="str">
        <f t="shared" si="22"/>
        <v>OK</v>
      </c>
      <c r="E157" s="1207">
        <v>0</v>
      </c>
      <c r="F157" s="1207">
        <v>0</v>
      </c>
      <c r="G157" s="1207">
        <v>0</v>
      </c>
      <c r="H157" s="1207">
        <v>0</v>
      </c>
      <c r="I157" s="616">
        <v>0</v>
      </c>
      <c r="J157" s="1207">
        <v>0</v>
      </c>
      <c r="K157" s="1207">
        <v>0</v>
      </c>
      <c r="L157" s="1207"/>
      <c r="M157" s="1207">
        <v>0</v>
      </c>
      <c r="N157" s="1207">
        <v>0</v>
      </c>
      <c r="O157" s="1375">
        <v>0</v>
      </c>
      <c r="P157" s="1375">
        <v>0</v>
      </c>
      <c r="Q157" s="1375">
        <v>15102433</v>
      </c>
      <c r="R157" s="1375">
        <v>0</v>
      </c>
      <c r="S157" s="1375">
        <v>0</v>
      </c>
      <c r="T157" s="1375">
        <v>0</v>
      </c>
      <c r="U157" s="1375">
        <v>0</v>
      </c>
      <c r="V157" s="1375">
        <v>0</v>
      </c>
      <c r="W157" s="1375">
        <v>0</v>
      </c>
      <c r="X157" s="1375">
        <v>0</v>
      </c>
      <c r="Y157" s="1375">
        <v>0</v>
      </c>
      <c r="Z157" s="1375">
        <v>0</v>
      </c>
      <c r="AA157" s="1375">
        <v>0</v>
      </c>
      <c r="AB157" s="1375">
        <v>0</v>
      </c>
      <c r="AC157" s="1375">
        <v>0</v>
      </c>
      <c r="AD157" s="1375">
        <v>0</v>
      </c>
      <c r="AE157" s="1375">
        <v>0</v>
      </c>
      <c r="AF157" s="1375">
        <v>0</v>
      </c>
      <c r="AG157" s="1207">
        <v>0</v>
      </c>
      <c r="AI157" s="365">
        <f t="shared" si="21"/>
        <v>15102433</v>
      </c>
    </row>
    <row r="158" spans="1:35" x14ac:dyDescent="0.2">
      <c r="A158" s="666">
        <v>2090</v>
      </c>
      <c r="B158" s="2881" t="s">
        <v>1049</v>
      </c>
      <c r="C158" s="2881"/>
      <c r="D158" s="1382" t="str">
        <f t="shared" si="22"/>
        <v>prob</v>
      </c>
      <c r="E158" s="1207">
        <v>48851456.520000003</v>
      </c>
      <c r="F158" s="1207">
        <v>35723512.039999999</v>
      </c>
      <c r="G158" s="1207">
        <v>12593931.699999999</v>
      </c>
      <c r="H158" s="1207">
        <v>0</v>
      </c>
      <c r="I158" s="616">
        <v>0</v>
      </c>
      <c r="J158" s="1207">
        <v>0</v>
      </c>
      <c r="K158" s="1207">
        <v>534012.78</v>
      </c>
      <c r="L158" s="1207"/>
      <c r="M158" s="1207">
        <v>0</v>
      </c>
      <c r="N158" s="1207">
        <v>0</v>
      </c>
      <c r="O158" s="1375">
        <v>5023527.72</v>
      </c>
      <c r="P158" s="1375">
        <v>194326682.94999999</v>
      </c>
      <c r="Q158" s="1375">
        <v>82321436.469999999</v>
      </c>
      <c r="R158" s="1375">
        <v>13503296.710000001</v>
      </c>
      <c r="S158" s="1375">
        <v>18946416.309999999</v>
      </c>
      <c r="T158" s="1375">
        <v>2698180</v>
      </c>
      <c r="U158" s="1375">
        <v>11970558.029999999</v>
      </c>
      <c r="V158" s="1375">
        <v>24585626.780000001</v>
      </c>
      <c r="W158" s="1375">
        <v>10491432</v>
      </c>
      <c r="X158" s="1375">
        <v>4768215</v>
      </c>
      <c r="Y158" s="1375">
        <v>13013420.67</v>
      </c>
      <c r="Z158" s="1375">
        <v>3095463.26</v>
      </c>
      <c r="AA158" s="1375">
        <v>3637500</v>
      </c>
      <c r="AB158" s="1375">
        <v>1857121</v>
      </c>
      <c r="AC158" s="1375">
        <v>3042419</v>
      </c>
      <c r="AD158" s="1375">
        <v>5318771</v>
      </c>
      <c r="AE158" s="1375">
        <v>2474769.3199999998</v>
      </c>
      <c r="AF158" s="1375">
        <v>0</v>
      </c>
      <c r="AG158" s="1207">
        <v>201904.21</v>
      </c>
      <c r="AI158" s="365">
        <f t="shared" si="21"/>
        <v>449926292.74000001</v>
      </c>
    </row>
    <row r="159" spans="1:35" x14ac:dyDescent="0.2">
      <c r="A159" s="1383">
        <v>2098</v>
      </c>
      <c r="B159" s="2881" t="s">
        <v>1050</v>
      </c>
      <c r="C159" s="2881"/>
      <c r="D159" t="str">
        <f t="shared" si="22"/>
        <v>OK</v>
      </c>
      <c r="E159" s="1207">
        <v>298587322</v>
      </c>
      <c r="F159" s="1207">
        <v>155084492.97999999</v>
      </c>
      <c r="G159" s="1207">
        <v>25833416.02</v>
      </c>
      <c r="H159" s="1207">
        <v>0</v>
      </c>
      <c r="I159" s="616">
        <v>117669413</v>
      </c>
      <c r="J159" s="1207">
        <v>0</v>
      </c>
      <c r="K159" s="1207">
        <v>0</v>
      </c>
      <c r="L159" s="1207"/>
      <c r="M159" s="1207">
        <v>0</v>
      </c>
      <c r="N159" s="1207">
        <v>0</v>
      </c>
      <c r="O159" s="1375">
        <v>5549819</v>
      </c>
      <c r="P159" s="1375">
        <v>153706378</v>
      </c>
      <c r="Q159" s="1375">
        <v>103019563</v>
      </c>
      <c r="R159" s="1375">
        <v>25316014</v>
      </c>
      <c r="S159" s="1375">
        <v>34988395</v>
      </c>
      <c r="T159" s="1375">
        <v>5324117</v>
      </c>
      <c r="U159" s="1375">
        <v>20525245</v>
      </c>
      <c r="V159" s="1375">
        <v>61996701</v>
      </c>
      <c r="W159" s="1375">
        <v>20101001</v>
      </c>
      <c r="X159" s="1375">
        <v>15961582</v>
      </c>
      <c r="Y159" s="1375">
        <v>31702145</v>
      </c>
      <c r="Z159" s="1375">
        <v>9465410</v>
      </c>
      <c r="AA159" s="1375">
        <v>8843092</v>
      </c>
      <c r="AB159" s="1375">
        <v>4838063</v>
      </c>
      <c r="AC159" s="1375">
        <v>8895069</v>
      </c>
      <c r="AD159" s="1375">
        <v>15755079</v>
      </c>
      <c r="AE159" s="1375">
        <v>4361375</v>
      </c>
      <c r="AF159" s="1375">
        <v>0</v>
      </c>
      <c r="AG159" s="1207">
        <v>1061031</v>
      </c>
      <c r="AH159" s="927"/>
      <c r="AI159" s="365">
        <f t="shared" si="21"/>
        <v>828936370</v>
      </c>
    </row>
    <row r="160" spans="1:35" x14ac:dyDescent="0.2">
      <c r="A160" s="1383">
        <v>2099</v>
      </c>
      <c r="B160" s="2881" t="s">
        <v>1051</v>
      </c>
      <c r="C160" s="2881"/>
      <c r="D160" t="str">
        <f t="shared" si="22"/>
        <v>OK</v>
      </c>
      <c r="E160" s="1207">
        <v>1397152283.4200001</v>
      </c>
      <c r="F160" s="1207">
        <v>1108003290.1900001</v>
      </c>
      <c r="G160" s="1207">
        <v>289148993.23000002</v>
      </c>
      <c r="H160" s="1207">
        <v>0</v>
      </c>
      <c r="I160" s="616">
        <v>0</v>
      </c>
      <c r="J160" s="1207">
        <v>0</v>
      </c>
      <c r="K160" s="1207">
        <v>0</v>
      </c>
      <c r="L160" s="1207"/>
      <c r="M160" s="1207">
        <v>0</v>
      </c>
      <c r="N160" s="1207">
        <v>0</v>
      </c>
      <c r="O160" s="1375">
        <v>56506304</v>
      </c>
      <c r="P160" s="1375">
        <v>2212739626</v>
      </c>
      <c r="Q160" s="1375">
        <v>1183066098</v>
      </c>
      <c r="R160" s="1375">
        <v>319128934</v>
      </c>
      <c r="S160" s="1375">
        <v>479780356</v>
      </c>
      <c r="T160" s="1375">
        <v>73543501</v>
      </c>
      <c r="U160" s="1375">
        <v>264070324</v>
      </c>
      <c r="V160" s="1375">
        <v>724638339</v>
      </c>
      <c r="W160" s="1375">
        <v>188462629</v>
      </c>
      <c r="X160" s="1375">
        <v>181718927</v>
      </c>
      <c r="Y160" s="1375">
        <v>320543877</v>
      </c>
      <c r="Z160" s="1375">
        <v>96716720.780000001</v>
      </c>
      <c r="AA160" s="1375">
        <v>85094361</v>
      </c>
      <c r="AB160" s="1375">
        <v>36891599</v>
      </c>
      <c r="AC160" s="1375">
        <v>79633137</v>
      </c>
      <c r="AD160" s="1375">
        <v>133338828</v>
      </c>
      <c r="AE160" s="1375">
        <v>47018521</v>
      </c>
      <c r="AF160" s="1375">
        <v>0</v>
      </c>
      <c r="AG160" s="1207">
        <v>1924410</v>
      </c>
      <c r="AH160" s="927"/>
      <c r="AI160" s="365">
        <f t="shared" si="21"/>
        <v>7880044365.1999998</v>
      </c>
    </row>
    <row r="161" spans="1:35" x14ac:dyDescent="0.2">
      <c r="A161" s="666">
        <v>2095</v>
      </c>
      <c r="B161" s="2881" t="s">
        <v>1052</v>
      </c>
      <c r="C161" s="2881"/>
      <c r="D161" t="str">
        <f t="shared" si="22"/>
        <v>OK</v>
      </c>
      <c r="E161" s="1207">
        <v>19153898</v>
      </c>
      <c r="F161" s="1207">
        <v>0</v>
      </c>
      <c r="G161" s="1207">
        <v>0</v>
      </c>
      <c r="H161" s="1207">
        <v>19153898</v>
      </c>
      <c r="I161" s="616">
        <v>0</v>
      </c>
      <c r="J161" s="1207">
        <v>0</v>
      </c>
      <c r="K161" s="1207">
        <v>0</v>
      </c>
      <c r="L161" s="1207"/>
      <c r="M161" s="1207">
        <v>0</v>
      </c>
      <c r="N161" s="1207">
        <v>0</v>
      </c>
      <c r="O161" s="1375">
        <v>0</v>
      </c>
      <c r="P161" s="1375">
        <v>0</v>
      </c>
      <c r="Q161" s="1375">
        <v>0</v>
      </c>
      <c r="R161" s="1375">
        <v>0</v>
      </c>
      <c r="S161" s="1375">
        <v>0</v>
      </c>
      <c r="T161" s="1375">
        <v>0</v>
      </c>
      <c r="U161" s="1375">
        <v>0</v>
      </c>
      <c r="V161" s="1375">
        <v>0</v>
      </c>
      <c r="W161" s="1375">
        <v>0</v>
      </c>
      <c r="X161" s="1375">
        <v>0</v>
      </c>
      <c r="Y161" s="1375">
        <v>0</v>
      </c>
      <c r="Z161" s="1375">
        <v>0</v>
      </c>
      <c r="AA161" s="1375">
        <v>0</v>
      </c>
      <c r="AB161" s="1375">
        <v>0</v>
      </c>
      <c r="AC161" s="1375">
        <v>0</v>
      </c>
      <c r="AD161" s="1375">
        <v>0</v>
      </c>
      <c r="AE161" s="1375">
        <v>0</v>
      </c>
      <c r="AF161" s="1375">
        <v>0</v>
      </c>
      <c r="AG161" s="1207">
        <v>0</v>
      </c>
      <c r="AI161" s="365">
        <f t="shared" si="21"/>
        <v>19153898</v>
      </c>
    </row>
    <row r="162" spans="1:35" x14ac:dyDescent="0.2">
      <c r="A162" s="666">
        <v>2096</v>
      </c>
      <c r="B162" s="2881" t="s">
        <v>4879</v>
      </c>
      <c r="C162" s="2881"/>
      <c r="D162" t="str">
        <f t="shared" si="22"/>
        <v>OK</v>
      </c>
      <c r="E162" s="1207">
        <v>0</v>
      </c>
      <c r="F162" s="1207">
        <v>0</v>
      </c>
      <c r="G162" s="1207">
        <v>0</v>
      </c>
      <c r="H162" s="1207">
        <v>0</v>
      </c>
      <c r="I162" s="1207">
        <v>0</v>
      </c>
      <c r="J162" s="1207">
        <v>0</v>
      </c>
      <c r="K162" s="1207">
        <v>0</v>
      </c>
      <c r="L162" s="1207"/>
      <c r="M162" s="1207">
        <v>0</v>
      </c>
      <c r="N162" s="1207">
        <v>0</v>
      </c>
      <c r="O162" s="1375">
        <v>0</v>
      </c>
      <c r="P162" s="1375">
        <v>0</v>
      </c>
      <c r="Q162" s="1375">
        <v>0</v>
      </c>
      <c r="R162" s="1375">
        <v>0</v>
      </c>
      <c r="S162" s="1375">
        <v>0</v>
      </c>
      <c r="T162" s="1375">
        <v>0</v>
      </c>
      <c r="U162" s="1375">
        <v>0</v>
      </c>
      <c r="V162" s="1375">
        <v>0</v>
      </c>
      <c r="W162" s="1375">
        <v>0</v>
      </c>
      <c r="X162" s="1375">
        <v>0</v>
      </c>
      <c r="Y162" s="1375">
        <v>0</v>
      </c>
      <c r="Z162" s="1375">
        <v>0</v>
      </c>
      <c r="AA162" s="1375">
        <v>0</v>
      </c>
      <c r="AB162" s="1375">
        <v>0</v>
      </c>
      <c r="AC162" s="1375">
        <v>0</v>
      </c>
      <c r="AD162" s="1375">
        <v>0</v>
      </c>
      <c r="AE162" s="1375">
        <v>0</v>
      </c>
      <c r="AF162" s="1375">
        <v>0</v>
      </c>
      <c r="AG162" s="1207">
        <v>0</v>
      </c>
      <c r="AI162" s="365">
        <f t="shared" si="21"/>
        <v>0</v>
      </c>
    </row>
    <row r="163" spans="1:35" x14ac:dyDescent="0.2">
      <c r="B163" s="2881" t="s">
        <v>4880</v>
      </c>
      <c r="C163" s="2881"/>
      <c r="D163" t="str">
        <f t="shared" si="22"/>
        <v>prob</v>
      </c>
      <c r="E163" s="374">
        <f t="shared" ref="E163:AG163" si="23">SUM(E141:E162)</f>
        <v>3051286628.5599999</v>
      </c>
      <c r="F163" s="2137">
        <f t="shared" si="23"/>
        <v>1903393169.1199999</v>
      </c>
      <c r="G163" s="374">
        <f t="shared" si="23"/>
        <v>409800752.25</v>
      </c>
      <c r="H163" s="374">
        <f t="shared" si="23"/>
        <v>19153898</v>
      </c>
      <c r="I163" s="374">
        <f t="shared" si="23"/>
        <v>619284466.59000003</v>
      </c>
      <c r="J163" s="374">
        <f t="shared" si="23"/>
        <v>14120438.26</v>
      </c>
      <c r="K163" s="374">
        <f t="shared" si="23"/>
        <v>69200739.959999993</v>
      </c>
      <c r="L163" s="374">
        <f t="shared" si="23"/>
        <v>0</v>
      </c>
      <c r="M163" s="374">
        <f t="shared" si="23"/>
        <v>0</v>
      </c>
      <c r="N163" s="374">
        <f t="shared" si="23"/>
        <v>16333164.380000001</v>
      </c>
      <c r="O163" s="403">
        <f t="shared" si="23"/>
        <v>81829711.019999996</v>
      </c>
      <c r="P163" s="374">
        <f t="shared" si="23"/>
        <v>4064422216.3899999</v>
      </c>
      <c r="Q163" s="374">
        <f t="shared" si="23"/>
        <v>2086351857.6300001</v>
      </c>
      <c r="R163" s="374">
        <f t="shared" si="23"/>
        <v>658012322.89999998</v>
      </c>
      <c r="S163" s="374">
        <f t="shared" si="23"/>
        <v>1098694706.3499999</v>
      </c>
      <c r="T163" s="374">
        <f t="shared" si="23"/>
        <v>159430983.25999999</v>
      </c>
      <c r="U163" s="374">
        <f t="shared" si="23"/>
        <v>515815154.73000002</v>
      </c>
      <c r="V163" s="374">
        <f t="shared" si="23"/>
        <v>1208092309.9100001</v>
      </c>
      <c r="W163" s="374">
        <f t="shared" si="23"/>
        <v>315510201.63999999</v>
      </c>
      <c r="X163" s="374">
        <f t="shared" si="23"/>
        <v>465419927.76999998</v>
      </c>
      <c r="Y163" s="374">
        <f t="shared" si="23"/>
        <v>734136287.47000003</v>
      </c>
      <c r="Z163" s="374">
        <f t="shared" si="23"/>
        <v>158937310.37</v>
      </c>
      <c r="AA163" s="374">
        <f t="shared" si="23"/>
        <v>188520513.93000001</v>
      </c>
      <c r="AB163" s="374">
        <f t="shared" si="23"/>
        <v>82966924.269999996</v>
      </c>
      <c r="AC163" s="374">
        <f t="shared" si="23"/>
        <v>145376286.88</v>
      </c>
      <c r="AD163" s="374">
        <f t="shared" si="23"/>
        <v>264457535.31999999</v>
      </c>
      <c r="AE163" s="374">
        <f t="shared" si="23"/>
        <v>102297448.83</v>
      </c>
      <c r="AF163" s="374">
        <f t="shared" si="23"/>
        <v>17102220.620000001</v>
      </c>
      <c r="AG163" s="374">
        <f t="shared" si="23"/>
        <v>3187345.21</v>
      </c>
      <c r="AI163" s="365">
        <f t="shared" si="21"/>
        <v>15398660547.85</v>
      </c>
    </row>
    <row r="164" spans="1:35" x14ac:dyDescent="0.2">
      <c r="B164" s="2347"/>
      <c r="C164" s="2347"/>
      <c r="E164" s="365"/>
      <c r="F164" s="365"/>
      <c r="G164" s="365"/>
      <c r="H164" s="365"/>
      <c r="I164" s="365"/>
      <c r="J164" s="365"/>
      <c r="K164" s="365"/>
      <c r="L164" s="365"/>
      <c r="M164" s="365"/>
      <c r="N164" s="365"/>
      <c r="O164" s="233"/>
      <c r="P164" s="365"/>
      <c r="Q164" s="365"/>
      <c r="R164" s="365"/>
      <c r="S164" s="365"/>
      <c r="T164" s="365"/>
      <c r="U164" s="365"/>
      <c r="V164" s="365"/>
      <c r="W164" s="365"/>
      <c r="X164" s="365"/>
      <c r="Y164" s="365"/>
      <c r="Z164" s="365"/>
      <c r="AA164" s="365"/>
      <c r="AB164" s="365"/>
      <c r="AC164" s="365"/>
      <c r="AD164" s="365"/>
      <c r="AE164" s="365"/>
      <c r="AF164" s="365"/>
      <c r="AG164" s="365"/>
      <c r="AI164" s="365">
        <f t="shared" si="21"/>
        <v>0</v>
      </c>
    </row>
    <row r="165" spans="1:35" x14ac:dyDescent="0.2">
      <c r="B165" s="2881" t="s">
        <v>1746</v>
      </c>
      <c r="C165" s="2881"/>
      <c r="D165" s="1382" t="str">
        <f>IF(ROUND(SUM(F165:N165),2)-ROUND(E165,2)=0,"OK","prob")</f>
        <v>prob</v>
      </c>
      <c r="E165" s="367">
        <f t="shared" ref="E165:AG165" si="24">E137+E163</f>
        <v>4302099545.8599997</v>
      </c>
      <c r="F165" s="2136">
        <f t="shared" si="24"/>
        <v>2369590165.6599998</v>
      </c>
      <c r="G165" s="367">
        <f t="shared" si="24"/>
        <v>1247498718.5</v>
      </c>
      <c r="H165" s="367">
        <f t="shared" si="24"/>
        <v>26829422</v>
      </c>
      <c r="I165" s="367">
        <f t="shared" si="24"/>
        <v>873173678.74000001</v>
      </c>
      <c r="J165" s="367">
        <f t="shared" si="24"/>
        <v>30737101.32</v>
      </c>
      <c r="K165" s="367">
        <f t="shared" si="24"/>
        <v>187293596.62</v>
      </c>
      <c r="L165" s="367">
        <f t="shared" si="24"/>
        <v>0</v>
      </c>
      <c r="M165" s="367">
        <f t="shared" si="24"/>
        <v>33155536.719999999</v>
      </c>
      <c r="N165" s="367">
        <f t="shared" si="24"/>
        <v>45022088.07</v>
      </c>
      <c r="O165" s="476">
        <f t="shared" si="24"/>
        <v>93952730.359999999</v>
      </c>
      <c r="P165" s="367">
        <f t="shared" si="24"/>
        <v>4608028342.7799997</v>
      </c>
      <c r="Q165" s="367">
        <f t="shared" si="24"/>
        <v>2279914088.0799999</v>
      </c>
      <c r="R165" s="367">
        <f t="shared" si="24"/>
        <v>700526130.60000002</v>
      </c>
      <c r="S165" s="367">
        <f t="shared" si="24"/>
        <v>1224398050.02</v>
      </c>
      <c r="T165" s="367">
        <f t="shared" si="24"/>
        <v>169376064.50999999</v>
      </c>
      <c r="U165" s="367">
        <f t="shared" si="24"/>
        <v>547845933.54999995</v>
      </c>
      <c r="V165" s="367">
        <f t="shared" si="24"/>
        <v>1299781492.02</v>
      </c>
      <c r="W165" s="367">
        <f t="shared" si="24"/>
        <v>333478736.39999998</v>
      </c>
      <c r="X165" s="367">
        <f t="shared" si="24"/>
        <v>500508919.85000002</v>
      </c>
      <c r="Y165" s="367">
        <f t="shared" si="24"/>
        <v>794344673.54999995</v>
      </c>
      <c r="Z165" s="367">
        <f t="shared" si="24"/>
        <v>174000874.27000001</v>
      </c>
      <c r="AA165" s="367">
        <f t="shared" si="24"/>
        <v>201400487.69</v>
      </c>
      <c r="AB165" s="367">
        <f t="shared" si="24"/>
        <v>89480764.109999999</v>
      </c>
      <c r="AC165" s="367">
        <f t="shared" si="24"/>
        <v>160102433.78</v>
      </c>
      <c r="AD165" s="367">
        <f t="shared" si="24"/>
        <v>291510235.13999999</v>
      </c>
      <c r="AE165" s="367">
        <f t="shared" si="24"/>
        <v>108212188.84</v>
      </c>
      <c r="AF165" s="367">
        <f t="shared" si="24"/>
        <v>18775998.690000001</v>
      </c>
      <c r="AG165" s="367">
        <f t="shared" si="24"/>
        <v>3695085.54</v>
      </c>
      <c r="AI165" s="365">
        <f t="shared" si="21"/>
        <v>18408938451.869999</v>
      </c>
    </row>
    <row r="166" spans="1:35" x14ac:dyDescent="0.2">
      <c r="B166" s="191"/>
      <c r="C166" s="191"/>
      <c r="E166" s="365"/>
      <c r="F166" s="365"/>
      <c r="G166" s="365"/>
      <c r="H166" s="365"/>
      <c r="I166" s="365"/>
      <c r="J166" s="365"/>
      <c r="K166" s="365"/>
      <c r="L166" s="365"/>
      <c r="M166" s="365"/>
      <c r="N166" s="365"/>
      <c r="O166" s="233"/>
      <c r="P166" s="365"/>
      <c r="Q166" s="365"/>
      <c r="R166" s="365"/>
      <c r="S166" s="365"/>
      <c r="T166" s="365"/>
      <c r="U166" s="365"/>
      <c r="V166" s="365"/>
      <c r="W166" s="365"/>
      <c r="X166" s="365"/>
      <c r="Y166" s="365"/>
      <c r="Z166" s="365"/>
      <c r="AA166" s="365"/>
      <c r="AB166" s="365"/>
      <c r="AC166" s="365"/>
      <c r="AD166" s="365"/>
      <c r="AE166" s="365"/>
      <c r="AF166" s="365"/>
      <c r="AG166" s="365"/>
      <c r="AI166" s="365">
        <f t="shared" si="21"/>
        <v>0</v>
      </c>
    </row>
    <row r="167" spans="1:35" x14ac:dyDescent="0.2">
      <c r="B167" s="2377" t="s">
        <v>2747</v>
      </c>
      <c r="C167" s="191"/>
      <c r="E167" s="365"/>
      <c r="F167" s="365"/>
      <c r="G167" s="365"/>
      <c r="H167" s="365"/>
      <c r="I167" s="365"/>
      <c r="J167" s="365"/>
      <c r="K167" s="365"/>
      <c r="L167" s="365"/>
      <c r="M167" s="365"/>
      <c r="N167" s="365"/>
      <c r="O167" s="233"/>
      <c r="P167" s="365"/>
      <c r="Q167" s="365"/>
      <c r="R167" s="365"/>
      <c r="S167" s="365"/>
      <c r="T167" s="365"/>
      <c r="U167" s="365"/>
      <c r="V167" s="365"/>
      <c r="W167" s="365"/>
      <c r="X167" s="365"/>
      <c r="Y167" s="365"/>
      <c r="Z167" s="365"/>
      <c r="AA167" s="365"/>
      <c r="AB167" s="365"/>
      <c r="AC167" s="365"/>
      <c r="AD167" s="365"/>
      <c r="AE167" s="365"/>
      <c r="AF167" s="365"/>
      <c r="AG167" s="365"/>
      <c r="AI167" s="365">
        <f t="shared" si="21"/>
        <v>0</v>
      </c>
    </row>
    <row r="168" spans="1:35" x14ac:dyDescent="0.2">
      <c r="A168" s="191">
        <v>1764</v>
      </c>
      <c r="B168" s="2947" t="s">
        <v>2748</v>
      </c>
      <c r="C168" s="2947"/>
      <c r="D168" t="str">
        <f t="shared" ref="D168:D178" si="25">IF(SUM(F168:N168)-E168=0,"OK","prob")</f>
        <v>OK</v>
      </c>
      <c r="E168" s="365">
        <v>0</v>
      </c>
      <c r="F168" s="365">
        <v>0</v>
      </c>
      <c r="G168" s="365">
        <v>0</v>
      </c>
      <c r="H168" s="365">
        <v>0</v>
      </c>
      <c r="I168" s="365">
        <v>0</v>
      </c>
      <c r="J168" s="365">
        <v>0</v>
      </c>
      <c r="K168" s="365">
        <v>0</v>
      </c>
      <c r="L168" s="365"/>
      <c r="M168" s="365">
        <v>0</v>
      </c>
      <c r="N168" s="365">
        <v>0</v>
      </c>
      <c r="O168" s="233">
        <v>0</v>
      </c>
      <c r="P168" s="233">
        <v>0</v>
      </c>
      <c r="Q168" s="233">
        <v>0</v>
      </c>
      <c r="R168" s="233">
        <v>0</v>
      </c>
      <c r="S168" s="233">
        <v>0</v>
      </c>
      <c r="T168" s="233">
        <v>0</v>
      </c>
      <c r="U168" s="233">
        <v>0</v>
      </c>
      <c r="V168" s="233">
        <v>0</v>
      </c>
      <c r="W168" s="233">
        <v>0</v>
      </c>
      <c r="X168" s="233">
        <v>0</v>
      </c>
      <c r="Y168" s="233">
        <v>0</v>
      </c>
      <c r="Z168" s="233">
        <v>0</v>
      </c>
      <c r="AA168" s="233">
        <v>0</v>
      </c>
      <c r="AB168" s="233">
        <v>0</v>
      </c>
      <c r="AC168" s="233">
        <v>0</v>
      </c>
      <c r="AD168" s="233">
        <v>0</v>
      </c>
      <c r="AE168" s="233">
        <v>0</v>
      </c>
      <c r="AF168" s="233">
        <v>159097.17000000001</v>
      </c>
      <c r="AG168" s="365">
        <v>0</v>
      </c>
      <c r="AI168" s="365">
        <f t="shared" si="21"/>
        <v>159097.17000000001</v>
      </c>
    </row>
    <row r="169" spans="1:35" x14ac:dyDescent="0.2">
      <c r="A169" s="2366">
        <v>2026</v>
      </c>
      <c r="B169" s="2949" t="s">
        <v>2749</v>
      </c>
      <c r="C169" s="2949"/>
      <c r="D169" t="str">
        <f t="shared" si="25"/>
        <v>OK</v>
      </c>
      <c r="E169" s="365">
        <v>0</v>
      </c>
      <c r="F169" s="365">
        <v>0</v>
      </c>
      <c r="G169" s="365">
        <v>0</v>
      </c>
      <c r="H169" s="365">
        <v>0</v>
      </c>
      <c r="I169" s="365">
        <v>0</v>
      </c>
      <c r="J169" s="365">
        <v>0</v>
      </c>
      <c r="K169" s="365">
        <v>0</v>
      </c>
      <c r="L169" s="365"/>
      <c r="M169" s="365">
        <v>0</v>
      </c>
      <c r="N169" s="365">
        <v>0</v>
      </c>
      <c r="O169" s="233">
        <v>0</v>
      </c>
      <c r="P169" s="233">
        <v>0</v>
      </c>
      <c r="Q169" s="233">
        <v>0</v>
      </c>
      <c r="R169" s="233">
        <v>0</v>
      </c>
      <c r="S169" s="233">
        <v>0</v>
      </c>
      <c r="T169" s="233">
        <v>0</v>
      </c>
      <c r="U169" s="233">
        <v>126415295.31999999</v>
      </c>
      <c r="V169" s="233">
        <v>0</v>
      </c>
      <c r="W169" s="233">
        <v>0</v>
      </c>
      <c r="X169" s="233">
        <v>20067535.760000002</v>
      </c>
      <c r="Y169" s="233">
        <v>73605439.340000004</v>
      </c>
      <c r="Z169" s="233">
        <v>0</v>
      </c>
      <c r="AA169" s="233">
        <v>0</v>
      </c>
      <c r="AB169" s="233">
        <v>0</v>
      </c>
      <c r="AC169" s="233">
        <v>0</v>
      </c>
      <c r="AD169" s="233">
        <v>0</v>
      </c>
      <c r="AE169" s="233">
        <v>0</v>
      </c>
      <c r="AF169" s="233">
        <v>0</v>
      </c>
      <c r="AG169" s="365">
        <v>0</v>
      </c>
      <c r="AI169" s="365">
        <f t="shared" si="21"/>
        <v>220088270.41999999</v>
      </c>
    </row>
    <row r="170" spans="1:35" x14ac:dyDescent="0.2">
      <c r="A170" s="191">
        <v>1766</v>
      </c>
      <c r="B170" s="2947" t="s">
        <v>2106</v>
      </c>
      <c r="C170" s="2947"/>
      <c r="D170" t="str">
        <f t="shared" si="25"/>
        <v>OK</v>
      </c>
      <c r="E170" s="365">
        <v>0</v>
      </c>
      <c r="F170" s="365">
        <v>0</v>
      </c>
      <c r="G170" s="365">
        <v>0</v>
      </c>
      <c r="H170" s="365">
        <v>0</v>
      </c>
      <c r="I170" s="365">
        <v>0</v>
      </c>
      <c r="J170" s="365">
        <v>0</v>
      </c>
      <c r="K170" s="365">
        <v>0</v>
      </c>
      <c r="L170" s="365"/>
      <c r="M170" s="365">
        <v>0</v>
      </c>
      <c r="N170" s="365">
        <v>0</v>
      </c>
      <c r="O170" s="233">
        <v>0</v>
      </c>
      <c r="P170" s="233">
        <v>0</v>
      </c>
      <c r="Q170" s="233">
        <v>0</v>
      </c>
      <c r="R170" s="233">
        <v>0</v>
      </c>
      <c r="S170" s="233">
        <v>23962.880000000001</v>
      </c>
      <c r="T170" s="233">
        <v>61917.47</v>
      </c>
      <c r="U170" s="233">
        <v>1027079.42</v>
      </c>
      <c r="V170" s="233">
        <v>0</v>
      </c>
      <c r="W170" s="233">
        <v>0</v>
      </c>
      <c r="X170" s="233">
        <v>0</v>
      </c>
      <c r="Y170" s="233">
        <v>0</v>
      </c>
      <c r="Z170" s="233">
        <v>0</v>
      </c>
      <c r="AA170" s="233">
        <v>0</v>
      </c>
      <c r="AB170" s="233">
        <v>0</v>
      </c>
      <c r="AC170" s="233">
        <v>0</v>
      </c>
      <c r="AD170" s="233">
        <v>0</v>
      </c>
      <c r="AE170" s="233">
        <v>0</v>
      </c>
      <c r="AF170" s="233">
        <v>0</v>
      </c>
      <c r="AG170" s="365">
        <v>0</v>
      </c>
      <c r="AI170" s="365">
        <f t="shared" si="21"/>
        <v>1112959.77</v>
      </c>
    </row>
    <row r="171" spans="1:35" x14ac:dyDescent="0.2">
      <c r="A171" s="191">
        <v>1768</v>
      </c>
      <c r="B171" s="2947" t="s">
        <v>2107</v>
      </c>
      <c r="C171" s="2947"/>
      <c r="D171" t="str">
        <f t="shared" si="25"/>
        <v>OK</v>
      </c>
      <c r="E171" s="365">
        <v>0</v>
      </c>
      <c r="F171" s="365">
        <v>0</v>
      </c>
      <c r="G171" s="365">
        <v>0</v>
      </c>
      <c r="H171" s="365">
        <v>0</v>
      </c>
      <c r="I171" s="365">
        <v>0</v>
      </c>
      <c r="J171" s="365">
        <v>0</v>
      </c>
      <c r="K171" s="365">
        <v>0</v>
      </c>
      <c r="L171" s="365"/>
      <c r="M171" s="365">
        <v>0</v>
      </c>
      <c r="N171" s="365">
        <v>0</v>
      </c>
      <c r="O171" s="233">
        <v>0</v>
      </c>
      <c r="P171" s="233">
        <v>0</v>
      </c>
      <c r="Q171" s="233">
        <v>0</v>
      </c>
      <c r="R171" s="233">
        <v>0</v>
      </c>
      <c r="S171" s="233">
        <v>0</v>
      </c>
      <c r="T171" s="233">
        <v>0</v>
      </c>
      <c r="U171" s="233">
        <v>0</v>
      </c>
      <c r="V171" s="233">
        <v>0</v>
      </c>
      <c r="W171" s="233">
        <v>50029.01</v>
      </c>
      <c r="X171" s="233">
        <v>0</v>
      </c>
      <c r="Y171" s="233">
        <v>0</v>
      </c>
      <c r="Z171" s="233">
        <v>0</v>
      </c>
      <c r="AA171" s="233">
        <v>0</v>
      </c>
      <c r="AB171" s="233">
        <v>0</v>
      </c>
      <c r="AC171" s="233">
        <v>0</v>
      </c>
      <c r="AD171" s="233">
        <v>0</v>
      </c>
      <c r="AE171" s="233">
        <v>0</v>
      </c>
      <c r="AF171" s="233">
        <v>0</v>
      </c>
      <c r="AG171" s="365">
        <v>0</v>
      </c>
      <c r="AI171" s="365">
        <f t="shared" si="21"/>
        <v>50029.01</v>
      </c>
    </row>
    <row r="172" spans="1:35" x14ac:dyDescent="0.2">
      <c r="A172" s="191">
        <v>1765</v>
      </c>
      <c r="B172" s="2947" t="s">
        <v>2108</v>
      </c>
      <c r="C172" s="2947"/>
      <c r="D172" t="str">
        <f t="shared" si="25"/>
        <v>OK</v>
      </c>
      <c r="E172" s="365">
        <v>0</v>
      </c>
      <c r="F172" s="365">
        <v>0</v>
      </c>
      <c r="G172" s="365">
        <v>0</v>
      </c>
      <c r="H172" s="365">
        <v>0</v>
      </c>
      <c r="I172" s="365">
        <v>0</v>
      </c>
      <c r="J172" s="365">
        <v>0</v>
      </c>
      <c r="K172" s="365">
        <v>0</v>
      </c>
      <c r="L172" s="365"/>
      <c r="M172" s="365">
        <v>0</v>
      </c>
      <c r="N172" s="365">
        <v>0</v>
      </c>
      <c r="O172" s="233">
        <v>103840000</v>
      </c>
      <c r="P172" s="233">
        <v>0</v>
      </c>
      <c r="Q172" s="233">
        <v>0</v>
      </c>
      <c r="R172" s="233">
        <v>0</v>
      </c>
      <c r="S172" s="233">
        <v>0</v>
      </c>
      <c r="T172" s="233">
        <v>0</v>
      </c>
      <c r="U172" s="233">
        <v>0</v>
      </c>
      <c r="V172" s="233">
        <v>0</v>
      </c>
      <c r="W172" s="233">
        <v>0</v>
      </c>
      <c r="X172" s="233">
        <v>0</v>
      </c>
      <c r="Y172" s="233">
        <v>0</v>
      </c>
      <c r="Z172" s="233">
        <v>0</v>
      </c>
      <c r="AA172" s="233">
        <v>0</v>
      </c>
      <c r="AB172" s="233">
        <v>0</v>
      </c>
      <c r="AC172" s="233">
        <v>0</v>
      </c>
      <c r="AD172" s="233">
        <v>0</v>
      </c>
      <c r="AE172" s="233">
        <v>0</v>
      </c>
      <c r="AF172" s="233">
        <v>0</v>
      </c>
      <c r="AG172" s="365">
        <v>0</v>
      </c>
      <c r="AI172" s="365">
        <f t="shared" si="21"/>
        <v>103840000</v>
      </c>
    </row>
    <row r="173" spans="1:35" x14ac:dyDescent="0.2">
      <c r="A173" s="191">
        <v>1772</v>
      </c>
      <c r="B173" s="2947" t="s">
        <v>2751</v>
      </c>
      <c r="C173" s="2947"/>
      <c r="D173" t="str">
        <f t="shared" si="25"/>
        <v>OK</v>
      </c>
      <c r="E173" s="365">
        <v>0</v>
      </c>
      <c r="F173" s="365">
        <v>0</v>
      </c>
      <c r="G173" s="365">
        <v>0</v>
      </c>
      <c r="H173" s="365">
        <v>0</v>
      </c>
      <c r="I173" s="365">
        <v>0</v>
      </c>
      <c r="J173" s="365">
        <v>0</v>
      </c>
      <c r="K173" s="365">
        <v>0</v>
      </c>
      <c r="L173" s="365"/>
      <c r="M173" s="365">
        <v>0</v>
      </c>
      <c r="N173" s="365">
        <v>0</v>
      </c>
      <c r="O173" s="233">
        <v>146316.79</v>
      </c>
      <c r="P173" s="233">
        <v>19348663.57</v>
      </c>
      <c r="Q173" s="233">
        <v>0</v>
      </c>
      <c r="R173" s="233">
        <v>88390.07</v>
      </c>
      <c r="S173" s="233">
        <v>0</v>
      </c>
      <c r="T173" s="233">
        <v>0</v>
      </c>
      <c r="U173" s="233">
        <v>0</v>
      </c>
      <c r="V173" s="233">
        <v>0</v>
      </c>
      <c r="W173" s="233">
        <v>0</v>
      </c>
      <c r="X173" s="233">
        <v>0</v>
      </c>
      <c r="Y173" s="233">
        <v>784542</v>
      </c>
      <c r="Z173" s="233">
        <v>0</v>
      </c>
      <c r="AA173" s="233">
        <v>0</v>
      </c>
      <c r="AB173" s="233">
        <v>0</v>
      </c>
      <c r="AC173" s="233">
        <v>0</v>
      </c>
      <c r="AD173" s="233">
        <v>0</v>
      </c>
      <c r="AE173" s="233">
        <v>0</v>
      </c>
      <c r="AF173" s="233">
        <v>0</v>
      </c>
      <c r="AG173" s="365">
        <v>0</v>
      </c>
      <c r="AI173" s="365">
        <f t="shared" ref="AI173:AI191" si="26">SUM(F173:AF173)</f>
        <v>20367912.43</v>
      </c>
    </row>
    <row r="174" spans="1:35" x14ac:dyDescent="0.2">
      <c r="A174" s="191">
        <v>1767</v>
      </c>
      <c r="B174" s="2947" t="s">
        <v>2109</v>
      </c>
      <c r="C174" s="2947"/>
      <c r="D174" t="str">
        <f t="shared" si="25"/>
        <v>OK</v>
      </c>
      <c r="E174" s="365">
        <v>230371850.75</v>
      </c>
      <c r="F174" s="365">
        <v>176200369</v>
      </c>
      <c r="G174" s="365">
        <v>52068019</v>
      </c>
      <c r="H174" s="365">
        <v>0</v>
      </c>
      <c r="I174" s="365">
        <v>2103462.75</v>
      </c>
      <c r="J174" s="365">
        <v>0</v>
      </c>
      <c r="K174" s="365">
        <v>0</v>
      </c>
      <c r="L174" s="365">
        <v>0</v>
      </c>
      <c r="M174" s="365">
        <v>0</v>
      </c>
      <c r="N174" s="365">
        <v>0</v>
      </c>
      <c r="O174" s="233">
        <v>7079952</v>
      </c>
      <c r="P174" s="233">
        <v>194421897</v>
      </c>
      <c r="Q174" s="233">
        <v>135253742</v>
      </c>
      <c r="R174" s="233">
        <v>31941811</v>
      </c>
      <c r="S174" s="233">
        <v>44145682</v>
      </c>
      <c r="T174" s="233">
        <v>6844995</v>
      </c>
      <c r="U174" s="233">
        <v>25897185</v>
      </c>
      <c r="V174" s="233">
        <v>82830147</v>
      </c>
      <c r="W174" s="233">
        <v>25361907</v>
      </c>
      <c r="X174" s="233">
        <v>20139104</v>
      </c>
      <c r="Y174" s="233">
        <v>40397348</v>
      </c>
      <c r="Z174" s="233">
        <v>11942731.01</v>
      </c>
      <c r="AA174" s="233">
        <v>11674913</v>
      </c>
      <c r="AB174" s="233">
        <v>6104299</v>
      </c>
      <c r="AC174" s="233">
        <v>11954150.98</v>
      </c>
      <c r="AD174" s="233">
        <v>19878555</v>
      </c>
      <c r="AE174" s="233">
        <v>5502849</v>
      </c>
      <c r="AF174" s="233">
        <v>0</v>
      </c>
      <c r="AG174" s="365">
        <v>146765</v>
      </c>
      <c r="AI174" s="365">
        <f t="shared" si="26"/>
        <v>911743118.74000001</v>
      </c>
    </row>
    <row r="175" spans="1:35" x14ac:dyDescent="0.2">
      <c r="A175" s="191">
        <v>1771</v>
      </c>
      <c r="B175" s="2947" t="s">
        <v>2110</v>
      </c>
      <c r="C175" s="2947"/>
      <c r="D175" t="str">
        <f t="shared" si="25"/>
        <v>OK</v>
      </c>
      <c r="E175" s="365">
        <v>370975155.72000003</v>
      </c>
      <c r="F175" s="365">
        <v>298309675</v>
      </c>
      <c r="G175" s="365">
        <v>72665480.719999999</v>
      </c>
      <c r="H175" s="365">
        <v>0</v>
      </c>
      <c r="I175" s="365">
        <v>0</v>
      </c>
      <c r="J175" s="365">
        <v>0</v>
      </c>
      <c r="K175" s="365">
        <v>0</v>
      </c>
      <c r="L175" s="365">
        <v>0</v>
      </c>
      <c r="M175" s="365">
        <v>0</v>
      </c>
      <c r="N175" s="365">
        <v>0</v>
      </c>
      <c r="O175" s="233">
        <v>16791679</v>
      </c>
      <c r="P175" s="233">
        <v>644415017</v>
      </c>
      <c r="Q175" s="233">
        <v>367414029</v>
      </c>
      <c r="R175" s="233">
        <v>92213822</v>
      </c>
      <c r="S175" s="233">
        <v>133219477</v>
      </c>
      <c r="T175" s="233">
        <v>24387074</v>
      </c>
      <c r="U175" s="233">
        <v>74937947</v>
      </c>
      <c r="V175" s="233">
        <v>243878906</v>
      </c>
      <c r="W175" s="233">
        <v>54931213</v>
      </c>
      <c r="X175" s="233">
        <v>52402711</v>
      </c>
      <c r="Y175" s="233">
        <v>92405055</v>
      </c>
      <c r="Z175" s="233">
        <v>29642807.530000001</v>
      </c>
      <c r="AA175" s="233">
        <v>34045473</v>
      </c>
      <c r="AB175" s="233">
        <v>10897552</v>
      </c>
      <c r="AC175" s="233">
        <v>32264031.010000002</v>
      </c>
      <c r="AD175" s="233">
        <v>42492796</v>
      </c>
      <c r="AE175" s="233">
        <v>13404283</v>
      </c>
      <c r="AF175" s="233">
        <v>0</v>
      </c>
      <c r="AG175" s="365">
        <v>1143388</v>
      </c>
      <c r="AI175" s="365">
        <f t="shared" si="26"/>
        <v>2330719028.2600002</v>
      </c>
    </row>
    <row r="176" spans="1:35" x14ac:dyDescent="0.2">
      <c r="A176" s="191">
        <v>1773</v>
      </c>
      <c r="B176" s="2947" t="s">
        <v>2752</v>
      </c>
      <c r="C176" s="2947"/>
      <c r="D176" s="1382" t="str">
        <f t="shared" si="25"/>
        <v>prob</v>
      </c>
      <c r="E176" s="365">
        <v>11227733.189999999</v>
      </c>
      <c r="F176" s="365">
        <v>0</v>
      </c>
      <c r="G176" s="365">
        <v>0</v>
      </c>
      <c r="H176" s="365">
        <v>0</v>
      </c>
      <c r="I176" s="365">
        <v>10624137.65</v>
      </c>
      <c r="J176" s="365">
        <v>0</v>
      </c>
      <c r="K176" s="365">
        <v>-645490.92000000004</v>
      </c>
      <c r="L176" s="365">
        <v>0</v>
      </c>
      <c r="M176" s="365">
        <v>1249086.46</v>
      </c>
      <c r="N176" s="365">
        <v>0</v>
      </c>
      <c r="O176" s="233">
        <v>0</v>
      </c>
      <c r="P176" s="233">
        <v>11989636.09</v>
      </c>
      <c r="Q176" s="233">
        <v>30918287.109999999</v>
      </c>
      <c r="R176" s="233">
        <v>2123583.89</v>
      </c>
      <c r="S176" s="233">
        <v>1324349.56</v>
      </c>
      <c r="T176" s="233">
        <v>581238.65</v>
      </c>
      <c r="U176" s="233">
        <v>1072691.56</v>
      </c>
      <c r="V176" s="233">
        <v>1484612.57</v>
      </c>
      <c r="W176" s="233">
        <v>0</v>
      </c>
      <c r="X176" s="233">
        <v>5021910.3600000003</v>
      </c>
      <c r="Y176" s="233">
        <v>3710049.68</v>
      </c>
      <c r="Z176" s="233">
        <v>0</v>
      </c>
      <c r="AA176" s="233">
        <v>551330.62</v>
      </c>
      <c r="AB176" s="233">
        <v>0</v>
      </c>
      <c r="AC176" s="233">
        <v>1420391.92</v>
      </c>
      <c r="AD176" s="233">
        <v>94425971.079999998</v>
      </c>
      <c r="AE176" s="233">
        <v>0</v>
      </c>
      <c r="AF176" s="233">
        <v>7298527.3799999999</v>
      </c>
      <c r="AG176" s="365">
        <v>0</v>
      </c>
      <c r="AI176" s="365"/>
    </row>
    <row r="177" spans="1:35" x14ac:dyDescent="0.2">
      <c r="A177" s="191">
        <v>1769</v>
      </c>
      <c r="B177" s="2947" t="s">
        <v>2112</v>
      </c>
      <c r="C177" s="2947"/>
      <c r="D177" s="1382" t="str">
        <f t="shared" si="25"/>
        <v>prob</v>
      </c>
      <c r="E177" s="365">
        <v>48934183.899999999</v>
      </c>
      <c r="F177" s="365">
        <v>3158072</v>
      </c>
      <c r="G177" s="365">
        <v>45679615.240000002</v>
      </c>
      <c r="H177" s="365">
        <v>0</v>
      </c>
      <c r="I177" s="365">
        <v>0</v>
      </c>
      <c r="J177" s="365">
        <v>16343.06</v>
      </c>
      <c r="K177" s="365">
        <v>80153.600000000006</v>
      </c>
      <c r="L177" s="365">
        <v>0</v>
      </c>
      <c r="M177" s="365">
        <v>0</v>
      </c>
      <c r="N177" s="365">
        <v>0</v>
      </c>
      <c r="O177" s="233">
        <v>0</v>
      </c>
      <c r="P177" s="233">
        <v>0</v>
      </c>
      <c r="Q177" s="233">
        <v>0</v>
      </c>
      <c r="R177" s="233">
        <v>0</v>
      </c>
      <c r="S177" s="233">
        <v>0</v>
      </c>
      <c r="T177" s="233">
        <v>0</v>
      </c>
      <c r="U177" s="233">
        <v>0</v>
      </c>
      <c r="V177" s="233">
        <v>0</v>
      </c>
      <c r="W177" s="233">
        <v>0</v>
      </c>
      <c r="X177" s="233">
        <v>0</v>
      </c>
      <c r="Y177" s="233">
        <v>2725494</v>
      </c>
      <c r="Z177" s="233">
        <v>0</v>
      </c>
      <c r="AA177" s="233">
        <v>2334907.2999999998</v>
      </c>
      <c r="AB177" s="233">
        <v>0</v>
      </c>
      <c r="AC177" s="233">
        <v>0</v>
      </c>
      <c r="AD177" s="233">
        <v>0</v>
      </c>
      <c r="AE177" s="233">
        <v>0</v>
      </c>
      <c r="AF177" s="233">
        <v>0</v>
      </c>
      <c r="AG177" s="365">
        <v>0</v>
      </c>
      <c r="AI177" s="365">
        <f t="shared" si="26"/>
        <v>53994585.200000003</v>
      </c>
    </row>
    <row r="178" spans="1:35" x14ac:dyDescent="0.2">
      <c r="B178" s="3014" t="s">
        <v>2753</v>
      </c>
      <c r="C178" s="3014"/>
      <c r="D178" t="str">
        <f t="shared" si="25"/>
        <v>OK</v>
      </c>
      <c r="E178" s="374">
        <f>SUM(E167:E177)</f>
        <v>661508923.55999994</v>
      </c>
      <c r="F178" s="2135">
        <f t="shared" ref="F178:AG178" si="27">SUM(F167:F177)</f>
        <v>477668116</v>
      </c>
      <c r="G178" s="374">
        <f t="shared" si="27"/>
        <v>170413114.96000001</v>
      </c>
      <c r="H178" s="374">
        <f t="shared" si="27"/>
        <v>0</v>
      </c>
      <c r="I178" s="374">
        <f t="shared" si="27"/>
        <v>12727600.4</v>
      </c>
      <c r="J178" s="374">
        <f t="shared" si="27"/>
        <v>16343.06</v>
      </c>
      <c r="K178" s="374">
        <f t="shared" si="27"/>
        <v>-565337.31999999995</v>
      </c>
      <c r="L178" s="374">
        <f t="shared" si="27"/>
        <v>0</v>
      </c>
      <c r="M178" s="374">
        <f>SUM(M167:M177)</f>
        <v>1249086.46</v>
      </c>
      <c r="N178" s="374">
        <f t="shared" si="27"/>
        <v>0</v>
      </c>
      <c r="O178" s="403">
        <f t="shared" si="27"/>
        <v>127857947.79000001</v>
      </c>
      <c r="P178" s="374">
        <f>SUM(P167:P177)</f>
        <v>870175213.65999997</v>
      </c>
      <c r="Q178" s="374">
        <f t="shared" si="27"/>
        <v>533586058.11000001</v>
      </c>
      <c r="R178" s="374">
        <f t="shared" si="27"/>
        <v>126367606.95999999</v>
      </c>
      <c r="S178" s="374">
        <f t="shared" si="27"/>
        <v>178713471.44</v>
      </c>
      <c r="T178" s="374">
        <f t="shared" si="27"/>
        <v>31875225.120000001</v>
      </c>
      <c r="U178" s="374">
        <f t="shared" si="27"/>
        <v>229350198.30000001</v>
      </c>
      <c r="V178" s="374">
        <f t="shared" si="27"/>
        <v>328193665.56999999</v>
      </c>
      <c r="W178" s="374">
        <f t="shared" si="27"/>
        <v>80343149.010000005</v>
      </c>
      <c r="X178" s="374">
        <f t="shared" si="27"/>
        <v>97631261.120000005</v>
      </c>
      <c r="Y178" s="374">
        <f t="shared" si="27"/>
        <v>213627928.02000001</v>
      </c>
      <c r="Z178" s="374">
        <f t="shared" si="27"/>
        <v>41585538.539999999</v>
      </c>
      <c r="AA178" s="374">
        <f t="shared" si="27"/>
        <v>48606623.920000002</v>
      </c>
      <c r="AB178" s="374">
        <f t="shared" si="27"/>
        <v>17001851</v>
      </c>
      <c r="AC178" s="374">
        <f t="shared" si="27"/>
        <v>45638573.909999996</v>
      </c>
      <c r="AD178" s="374">
        <f t="shared" si="27"/>
        <v>156797322.08000001</v>
      </c>
      <c r="AE178" s="374">
        <f t="shared" si="27"/>
        <v>18907132</v>
      </c>
      <c r="AF178" s="374">
        <f t="shared" si="27"/>
        <v>7457624.5499999998</v>
      </c>
      <c r="AG178" s="374">
        <f t="shared" si="27"/>
        <v>1290153</v>
      </c>
      <c r="AI178" s="365">
        <f t="shared" si="26"/>
        <v>3815225314.6599998</v>
      </c>
    </row>
    <row r="179" spans="1:35" x14ac:dyDescent="0.2">
      <c r="B179" s="191"/>
      <c r="C179" s="191"/>
      <c r="E179" s="365"/>
      <c r="F179" s="365"/>
      <c r="G179" s="365"/>
      <c r="H179" s="365"/>
      <c r="I179" s="365"/>
      <c r="J179" s="365"/>
      <c r="K179" s="365"/>
      <c r="L179" s="365"/>
      <c r="M179" s="365"/>
      <c r="N179" s="365"/>
      <c r="O179" s="233"/>
      <c r="P179" s="365"/>
      <c r="Q179" s="365"/>
      <c r="R179" s="365"/>
      <c r="S179" s="365"/>
      <c r="T179" s="365"/>
      <c r="U179" s="365"/>
      <c r="V179" s="365"/>
      <c r="W179" s="365"/>
      <c r="X179" s="365"/>
      <c r="Y179" s="365"/>
      <c r="Z179" s="365"/>
      <c r="AA179" s="365"/>
      <c r="AB179" s="365"/>
      <c r="AC179" s="365"/>
      <c r="AD179" s="365"/>
      <c r="AE179" s="365"/>
      <c r="AF179" s="365"/>
      <c r="AG179" s="365"/>
      <c r="AI179" s="365">
        <f t="shared" si="26"/>
        <v>0</v>
      </c>
    </row>
    <row r="180" spans="1:35" x14ac:dyDescent="0.2">
      <c r="B180" s="234" t="s">
        <v>1666</v>
      </c>
      <c r="E180" s="365"/>
      <c r="F180" s="365"/>
      <c r="G180" s="365"/>
      <c r="H180" s="365"/>
      <c r="I180" s="365"/>
      <c r="J180" s="365"/>
      <c r="K180" s="365"/>
      <c r="L180" s="365"/>
      <c r="M180" s="365"/>
      <c r="N180" s="365"/>
      <c r="O180" s="737" t="s">
        <v>5379</v>
      </c>
      <c r="P180" s="736" t="s">
        <v>5380</v>
      </c>
      <c r="Q180" s="736" t="s">
        <v>5044</v>
      </c>
      <c r="R180" s="737" t="s">
        <v>5046</v>
      </c>
      <c r="S180" s="737" t="s">
        <v>5048</v>
      </c>
      <c r="T180" s="737" t="s">
        <v>5050</v>
      </c>
      <c r="U180" s="737" t="s">
        <v>5052</v>
      </c>
      <c r="V180" s="737" t="s">
        <v>5054</v>
      </c>
      <c r="W180" s="737" t="s">
        <v>5056</v>
      </c>
      <c r="X180" s="737" t="s">
        <v>5058</v>
      </c>
      <c r="Y180" s="737" t="s">
        <v>5060</v>
      </c>
      <c r="Z180" s="737" t="s">
        <v>5062</v>
      </c>
      <c r="AA180" s="737" t="s">
        <v>5064</v>
      </c>
      <c r="AB180" s="737" t="s">
        <v>5066</v>
      </c>
      <c r="AC180" s="737" t="s">
        <v>5068</v>
      </c>
      <c r="AD180" s="737" t="s">
        <v>5070</v>
      </c>
      <c r="AE180" s="737" t="s">
        <v>5072</v>
      </c>
      <c r="AF180" s="737" t="s">
        <v>5074</v>
      </c>
      <c r="AG180" s="745">
        <v>69</v>
      </c>
      <c r="AI180" s="365">
        <f t="shared" si="26"/>
        <v>0</v>
      </c>
    </row>
    <row r="181" spans="1:35" x14ac:dyDescent="0.2">
      <c r="A181" s="191">
        <v>2130</v>
      </c>
      <c r="B181" s="2881" t="s">
        <v>1810</v>
      </c>
      <c r="C181" s="2881"/>
      <c r="D181" t="str">
        <f>IF(SUM(F181:N181)-E181=0,"OK","prob")</f>
        <v>OK</v>
      </c>
      <c r="E181" s="365">
        <v>1054588862.63</v>
      </c>
      <c r="F181" s="365">
        <v>675531411</v>
      </c>
      <c r="G181" s="365">
        <v>0</v>
      </c>
      <c r="H181" s="365">
        <v>0</v>
      </c>
      <c r="I181" s="365">
        <v>268183732.90000001</v>
      </c>
      <c r="J181" s="365">
        <v>-1602085.29</v>
      </c>
      <c r="K181" s="365">
        <v>80049491.019999996</v>
      </c>
      <c r="L181" s="365"/>
      <c r="M181" s="365">
        <v>0</v>
      </c>
      <c r="N181" s="365">
        <v>32426313</v>
      </c>
      <c r="O181" s="233">
        <v>55371210.950000003</v>
      </c>
      <c r="P181" s="233">
        <v>1627310685.1099999</v>
      </c>
      <c r="Q181" s="233">
        <v>1672167097.55</v>
      </c>
      <c r="R181" s="233">
        <v>519606268</v>
      </c>
      <c r="S181" s="233">
        <v>953514068.94000006</v>
      </c>
      <c r="T181" s="233">
        <v>167944752.30000001</v>
      </c>
      <c r="U181" s="233">
        <v>438537558.29000002</v>
      </c>
      <c r="V181" s="233">
        <v>871449336.38</v>
      </c>
      <c r="W181" s="233">
        <v>379163612.19</v>
      </c>
      <c r="X181" s="233">
        <v>453193190.38999999</v>
      </c>
      <c r="Y181" s="233">
        <v>500680760.10000002</v>
      </c>
      <c r="Z181" s="233">
        <v>173983727.24000001</v>
      </c>
      <c r="AA181" s="233">
        <v>167252174.18000001</v>
      </c>
      <c r="AB181" s="233">
        <v>113222904.02</v>
      </c>
      <c r="AC181" s="233">
        <v>145547788.41999999</v>
      </c>
      <c r="AD181" s="233">
        <v>218467618.93000001</v>
      </c>
      <c r="AE181" s="233">
        <v>115053612.63</v>
      </c>
      <c r="AF181" s="233">
        <v>50978099.600000001</v>
      </c>
      <c r="AG181" s="365">
        <v>5984150.1399999997</v>
      </c>
      <c r="AI181" s="365">
        <f t="shared" si="26"/>
        <v>9678033327.8500004</v>
      </c>
    </row>
    <row r="182" spans="1:35" x14ac:dyDescent="0.2">
      <c r="A182" s="187"/>
      <c r="B182" s="191" t="s">
        <v>4884</v>
      </c>
      <c r="C182" s="191"/>
      <c r="E182" s="365"/>
      <c r="F182" s="365"/>
      <c r="G182" s="365"/>
      <c r="H182" s="365"/>
      <c r="I182" s="365"/>
      <c r="J182" s="365"/>
      <c r="K182" s="365"/>
      <c r="L182" s="365"/>
      <c r="M182" s="365"/>
      <c r="N182" s="365"/>
      <c r="O182" s="233"/>
      <c r="P182" s="789"/>
      <c r="Q182" s="365"/>
      <c r="R182" s="365"/>
      <c r="S182" s="365"/>
      <c r="T182" s="365"/>
      <c r="U182" s="365"/>
      <c r="V182" s="365"/>
      <c r="W182" s="365"/>
      <c r="X182" s="365"/>
      <c r="Y182" s="365"/>
      <c r="Z182" s="365"/>
      <c r="AA182" s="365"/>
      <c r="AB182" s="365"/>
      <c r="AC182" s="365"/>
      <c r="AD182" s="365"/>
      <c r="AE182" s="365"/>
      <c r="AF182" s="365"/>
      <c r="AG182" s="365"/>
      <c r="AI182" s="365">
        <f t="shared" si="26"/>
        <v>0</v>
      </c>
    </row>
    <row r="183" spans="1:35" x14ac:dyDescent="0.2">
      <c r="A183" s="191">
        <v>2140</v>
      </c>
      <c r="B183" s="2881" t="s">
        <v>4885</v>
      </c>
      <c r="C183" s="2881"/>
      <c r="D183" t="str">
        <f>IF(SUM(F183:N183)-E183=0,"OK","prob")</f>
        <v>OK</v>
      </c>
      <c r="E183" s="365">
        <v>0</v>
      </c>
      <c r="F183" s="365">
        <v>0</v>
      </c>
      <c r="G183" s="365">
        <v>0</v>
      </c>
      <c r="H183" s="365">
        <v>0</v>
      </c>
      <c r="I183" s="365">
        <v>0</v>
      </c>
      <c r="J183" s="365">
        <v>0</v>
      </c>
      <c r="K183" s="365">
        <v>0</v>
      </c>
      <c r="L183" s="365"/>
      <c r="M183" s="365">
        <v>0</v>
      </c>
      <c r="N183" s="365">
        <v>0</v>
      </c>
      <c r="O183" s="233">
        <v>14781142.58</v>
      </c>
      <c r="P183" s="233">
        <v>978689793.69000006</v>
      </c>
      <c r="Q183" s="233">
        <v>184814319.94999999</v>
      </c>
      <c r="R183" s="233">
        <v>182922490.38</v>
      </c>
      <c r="S183" s="233">
        <v>51118166.729999997</v>
      </c>
      <c r="T183" s="233">
        <v>8136778.7400000002</v>
      </c>
      <c r="U183" s="233">
        <v>79402565.060000002</v>
      </c>
      <c r="V183" s="233">
        <v>48182100.759999998</v>
      </c>
      <c r="W183" s="233">
        <v>69262796.379999995</v>
      </c>
      <c r="X183" s="233">
        <v>56941503.729999997</v>
      </c>
      <c r="Y183" s="233">
        <v>105469256.72</v>
      </c>
      <c r="Z183" s="233">
        <v>19710640.989999998</v>
      </c>
      <c r="AA183" s="233">
        <v>20408560.82</v>
      </c>
      <c r="AB183" s="233">
        <v>16535077.460000001</v>
      </c>
      <c r="AC183" s="233">
        <v>13603752.98</v>
      </c>
      <c r="AD183" s="233">
        <v>55107082.119999997</v>
      </c>
      <c r="AE183" s="233">
        <v>26540625.91</v>
      </c>
      <c r="AF183" s="233">
        <v>0</v>
      </c>
      <c r="AG183" s="365">
        <v>0</v>
      </c>
      <c r="AI183" s="365">
        <f t="shared" si="26"/>
        <v>1931626655</v>
      </c>
    </row>
    <row r="184" spans="1:35" x14ac:dyDescent="0.2">
      <c r="A184" s="191">
        <v>2141</v>
      </c>
      <c r="B184" s="2881" t="s">
        <v>4886</v>
      </c>
      <c r="C184" s="2881"/>
      <c r="D184" t="str">
        <f>IF(SUM(F184:N184)-E184=0,"OK","prob")</f>
        <v>OK</v>
      </c>
      <c r="E184" s="365">
        <v>0</v>
      </c>
      <c r="F184" s="365">
        <v>0</v>
      </c>
      <c r="G184" s="365">
        <v>0</v>
      </c>
      <c r="H184" s="365">
        <v>0</v>
      </c>
      <c r="I184" s="365">
        <v>0</v>
      </c>
      <c r="J184" s="365">
        <v>0</v>
      </c>
      <c r="K184" s="365">
        <v>0</v>
      </c>
      <c r="L184" s="365"/>
      <c r="M184" s="365">
        <v>0</v>
      </c>
      <c r="N184" s="365">
        <v>0</v>
      </c>
      <c r="O184" s="233">
        <v>0</v>
      </c>
      <c r="P184" s="233">
        <v>0</v>
      </c>
      <c r="Q184" s="233">
        <v>0</v>
      </c>
      <c r="R184" s="233">
        <v>0</v>
      </c>
      <c r="S184" s="233">
        <v>0</v>
      </c>
      <c r="T184" s="233">
        <v>0</v>
      </c>
      <c r="U184" s="233">
        <v>0</v>
      </c>
      <c r="V184" s="233">
        <v>0</v>
      </c>
      <c r="W184" s="233">
        <v>0</v>
      </c>
      <c r="X184" s="233">
        <v>0</v>
      </c>
      <c r="Y184" s="233">
        <v>0</v>
      </c>
      <c r="Z184" s="233">
        <v>0</v>
      </c>
      <c r="AA184" s="233">
        <v>0</v>
      </c>
      <c r="AB184" s="233">
        <v>0</v>
      </c>
      <c r="AC184" s="233">
        <v>0</v>
      </c>
      <c r="AD184" s="233">
        <v>0</v>
      </c>
      <c r="AE184" s="233">
        <v>0</v>
      </c>
      <c r="AF184" s="233">
        <v>0</v>
      </c>
      <c r="AG184" s="365">
        <v>0</v>
      </c>
      <c r="AI184" s="365">
        <f t="shared" si="26"/>
        <v>0</v>
      </c>
    </row>
    <row r="185" spans="1:35" x14ac:dyDescent="0.2">
      <c r="A185" s="191">
        <v>2142</v>
      </c>
      <c r="B185" s="2881" t="s">
        <v>4887</v>
      </c>
      <c r="C185" s="2881"/>
      <c r="D185" t="str">
        <f>IF(SUM(F185:N185)-E185=0,"OK","prob")</f>
        <v>OK</v>
      </c>
      <c r="E185" s="365">
        <v>0</v>
      </c>
      <c r="F185" s="365">
        <v>0</v>
      </c>
      <c r="G185" s="365">
        <v>0</v>
      </c>
      <c r="H185" s="365">
        <v>0</v>
      </c>
      <c r="I185" s="365">
        <v>0</v>
      </c>
      <c r="J185" s="365">
        <v>0</v>
      </c>
      <c r="K185" s="365">
        <v>0</v>
      </c>
      <c r="L185" s="365"/>
      <c r="M185" s="365">
        <v>0</v>
      </c>
      <c r="N185" s="365">
        <v>0</v>
      </c>
      <c r="O185" s="233">
        <v>0</v>
      </c>
      <c r="P185" s="233">
        <v>0</v>
      </c>
      <c r="Q185" s="233">
        <v>0</v>
      </c>
      <c r="R185" s="233">
        <v>0</v>
      </c>
      <c r="S185" s="233">
        <v>0</v>
      </c>
      <c r="T185" s="233">
        <v>0</v>
      </c>
      <c r="U185" s="233">
        <v>0</v>
      </c>
      <c r="V185" s="233">
        <v>0</v>
      </c>
      <c r="W185" s="233">
        <v>0</v>
      </c>
      <c r="X185" s="233">
        <v>0</v>
      </c>
      <c r="Y185" s="233">
        <v>0</v>
      </c>
      <c r="Z185" s="233">
        <v>0</v>
      </c>
      <c r="AA185" s="233">
        <v>0</v>
      </c>
      <c r="AB185" s="233">
        <v>0</v>
      </c>
      <c r="AC185" s="233">
        <v>0</v>
      </c>
      <c r="AD185" s="233">
        <v>0</v>
      </c>
      <c r="AE185" s="233">
        <v>0</v>
      </c>
      <c r="AF185" s="233">
        <v>0</v>
      </c>
      <c r="AG185" s="365">
        <v>0</v>
      </c>
      <c r="AI185" s="365">
        <f t="shared" si="26"/>
        <v>0</v>
      </c>
    </row>
    <row r="186" spans="1:35" x14ac:dyDescent="0.2">
      <c r="A186" s="187"/>
      <c r="B186" s="191" t="s">
        <v>2759</v>
      </c>
      <c r="C186" s="191"/>
      <c r="E186" s="365"/>
      <c r="F186" s="365"/>
      <c r="G186" s="365"/>
      <c r="H186" s="365"/>
      <c r="I186" s="365"/>
      <c r="J186" s="365"/>
      <c r="K186" s="365"/>
      <c r="L186" s="365"/>
      <c r="M186" s="365"/>
      <c r="N186" s="365"/>
      <c r="O186" s="233"/>
      <c r="P186" s="789"/>
      <c r="Q186" s="365"/>
      <c r="R186" s="365"/>
      <c r="S186" s="365"/>
      <c r="T186" s="365"/>
      <c r="U186" s="365"/>
      <c r="V186" s="365"/>
      <c r="W186" s="365"/>
      <c r="X186" s="365"/>
      <c r="Y186" s="365"/>
      <c r="Z186" s="365"/>
      <c r="AA186" s="365"/>
      <c r="AB186" s="365"/>
      <c r="AC186" s="365"/>
      <c r="AD186" s="365"/>
      <c r="AE186" s="365"/>
      <c r="AF186" s="365"/>
      <c r="AG186" s="365"/>
      <c r="AI186" s="365">
        <f t="shared" si="26"/>
        <v>0</v>
      </c>
    </row>
    <row r="187" spans="1:35" x14ac:dyDescent="0.2">
      <c r="A187" s="191">
        <v>2150</v>
      </c>
      <c r="B187" s="2881" t="s">
        <v>4885</v>
      </c>
      <c r="C187" s="2881"/>
      <c r="D187" t="str">
        <f>IF(SUM(F187:N187)-E187=0,"OK","prob")</f>
        <v>OK</v>
      </c>
      <c r="E187" s="365">
        <v>0</v>
      </c>
      <c r="F187" s="365">
        <v>0</v>
      </c>
      <c r="G187" s="365">
        <v>0</v>
      </c>
      <c r="H187" s="365">
        <v>0</v>
      </c>
      <c r="I187" s="365">
        <v>0</v>
      </c>
      <c r="J187" s="365">
        <v>0</v>
      </c>
      <c r="K187" s="365">
        <v>0</v>
      </c>
      <c r="L187" s="365"/>
      <c r="M187" s="365">
        <v>0</v>
      </c>
      <c r="N187" s="365">
        <v>0</v>
      </c>
      <c r="O187" s="233">
        <v>123509528.17</v>
      </c>
      <c r="P187" s="233">
        <v>2298631882.5300002</v>
      </c>
      <c r="Q187" s="233">
        <v>500548463.04000002</v>
      </c>
      <c r="R187" s="233">
        <v>217417222.96000001</v>
      </c>
      <c r="S187" s="233">
        <v>89675709.120000005</v>
      </c>
      <c r="T187" s="233">
        <v>21790306.510000002</v>
      </c>
      <c r="U187" s="233">
        <v>136143091.31999999</v>
      </c>
      <c r="V187" s="233">
        <v>92743705.260000005</v>
      </c>
      <c r="W187" s="233">
        <v>80150089.25</v>
      </c>
      <c r="X187" s="233">
        <v>103668389.03</v>
      </c>
      <c r="Y187" s="233">
        <v>140174175.44999999</v>
      </c>
      <c r="Z187" s="233">
        <v>35478675.509999998</v>
      </c>
      <c r="AA187" s="233">
        <v>39352692.969999999</v>
      </c>
      <c r="AB187" s="233">
        <v>6538388.3200000003</v>
      </c>
      <c r="AC187" s="233">
        <v>33827352.560000002</v>
      </c>
      <c r="AD187" s="233">
        <v>0</v>
      </c>
      <c r="AE187" s="233">
        <v>37743940.100000001</v>
      </c>
      <c r="AF187" s="233">
        <v>0</v>
      </c>
      <c r="AG187" s="365">
        <v>0</v>
      </c>
      <c r="AI187" s="365">
        <f t="shared" si="26"/>
        <v>3957393612.0999999</v>
      </c>
    </row>
    <row r="188" spans="1:35" x14ac:dyDescent="0.2">
      <c r="A188" s="191">
        <v>2151</v>
      </c>
      <c r="B188" s="2881" t="s">
        <v>4886</v>
      </c>
      <c r="C188" s="2881"/>
      <c r="D188" t="str">
        <f>IF(SUM(F188:N188)-E188=0,"OK","prob")</f>
        <v>OK</v>
      </c>
      <c r="E188" s="365">
        <v>468548049.69999999</v>
      </c>
      <c r="F188" s="365">
        <v>467738059</v>
      </c>
      <c r="G188" s="365">
        <v>0</v>
      </c>
      <c r="H188" s="365">
        <v>0</v>
      </c>
      <c r="I188" s="365">
        <v>809990.7</v>
      </c>
      <c r="J188" s="365">
        <v>0</v>
      </c>
      <c r="K188" s="365">
        <v>0</v>
      </c>
      <c r="L188" s="365"/>
      <c r="M188" s="365">
        <v>0</v>
      </c>
      <c r="N188" s="365">
        <v>0</v>
      </c>
      <c r="O188" s="233">
        <v>0</v>
      </c>
      <c r="P188" s="233">
        <v>0</v>
      </c>
      <c r="Q188" s="233">
        <v>0</v>
      </c>
      <c r="R188" s="233">
        <v>0</v>
      </c>
      <c r="S188" s="233">
        <v>0</v>
      </c>
      <c r="T188" s="233">
        <v>0</v>
      </c>
      <c r="U188" s="233">
        <v>0</v>
      </c>
      <c r="V188" s="233">
        <v>0</v>
      </c>
      <c r="W188" s="233">
        <v>0</v>
      </c>
      <c r="X188" s="233">
        <v>0</v>
      </c>
      <c r="Y188" s="233">
        <v>0</v>
      </c>
      <c r="Z188" s="233">
        <v>0</v>
      </c>
      <c r="AA188" s="233">
        <v>0</v>
      </c>
      <c r="AB188" s="233">
        <v>0</v>
      </c>
      <c r="AC188" s="233">
        <v>0</v>
      </c>
      <c r="AD188" s="233">
        <v>0</v>
      </c>
      <c r="AE188" s="233">
        <v>0</v>
      </c>
      <c r="AF188" s="233">
        <v>0</v>
      </c>
      <c r="AG188" s="365">
        <v>0</v>
      </c>
      <c r="AI188" s="365">
        <f t="shared" si="26"/>
        <v>468548049.69999999</v>
      </c>
    </row>
    <row r="189" spans="1:35" x14ac:dyDescent="0.2">
      <c r="A189" s="191">
        <v>2152</v>
      </c>
      <c r="B189" s="2881" t="s">
        <v>4887</v>
      </c>
      <c r="C189" s="2881"/>
      <c r="D189" t="str">
        <f>IF(SUM(F189:N189)-E189=0,"OK","prob")</f>
        <v>OK</v>
      </c>
      <c r="E189" s="365">
        <v>0</v>
      </c>
      <c r="F189" s="365">
        <v>0</v>
      </c>
      <c r="G189" s="365">
        <v>0</v>
      </c>
      <c r="H189" s="365">
        <v>0</v>
      </c>
      <c r="I189" s="365">
        <v>0</v>
      </c>
      <c r="J189" s="365">
        <v>0</v>
      </c>
      <c r="K189" s="365">
        <v>0</v>
      </c>
      <c r="L189" s="365"/>
      <c r="M189" s="365">
        <v>0</v>
      </c>
      <c r="N189" s="365">
        <v>0</v>
      </c>
      <c r="O189" s="233">
        <v>0</v>
      </c>
      <c r="P189" s="233">
        <v>0</v>
      </c>
      <c r="Q189" s="233">
        <v>0</v>
      </c>
      <c r="R189" s="233">
        <v>0</v>
      </c>
      <c r="S189" s="233">
        <v>0</v>
      </c>
      <c r="T189" s="233">
        <v>0</v>
      </c>
      <c r="U189" s="233">
        <v>0</v>
      </c>
      <c r="V189" s="233">
        <v>0</v>
      </c>
      <c r="W189" s="233">
        <v>0</v>
      </c>
      <c r="X189" s="233">
        <v>0</v>
      </c>
      <c r="Y189" s="233">
        <v>0</v>
      </c>
      <c r="Z189" s="233">
        <v>0</v>
      </c>
      <c r="AA189" s="233">
        <v>0</v>
      </c>
      <c r="AB189" s="233">
        <v>0</v>
      </c>
      <c r="AC189" s="233">
        <v>0</v>
      </c>
      <c r="AD189" s="233">
        <v>0</v>
      </c>
      <c r="AE189" s="233">
        <v>0</v>
      </c>
      <c r="AF189" s="233">
        <v>0</v>
      </c>
      <c r="AG189" s="365">
        <v>1583326.43</v>
      </c>
      <c r="AI189" s="365">
        <f t="shared" si="26"/>
        <v>0</v>
      </c>
    </row>
    <row r="190" spans="1:35" x14ac:dyDescent="0.2">
      <c r="A190" s="191">
        <v>0</v>
      </c>
      <c r="B190" s="2990" t="s">
        <v>4888</v>
      </c>
      <c r="C190" s="2990"/>
      <c r="D190" t="str">
        <f>IF(SUM(F190:N190)-E190=0,"OK","prob")</f>
        <v>OK</v>
      </c>
      <c r="E190" s="365">
        <v>0</v>
      </c>
      <c r="F190" s="365">
        <v>0</v>
      </c>
      <c r="G190" s="365">
        <v>0</v>
      </c>
      <c r="H190" s="365">
        <v>0</v>
      </c>
      <c r="I190" s="365">
        <v>0</v>
      </c>
      <c r="J190" s="365">
        <v>0</v>
      </c>
      <c r="K190" s="365">
        <v>0</v>
      </c>
      <c r="L190" s="365">
        <v>0</v>
      </c>
      <c r="M190" s="365">
        <v>0</v>
      </c>
      <c r="N190" s="365">
        <v>0</v>
      </c>
      <c r="O190" s="365">
        <v>0</v>
      </c>
      <c r="P190" s="365">
        <v>0</v>
      </c>
      <c r="Q190" s="365">
        <v>0</v>
      </c>
      <c r="R190" s="365">
        <v>0</v>
      </c>
      <c r="S190" s="365">
        <v>0</v>
      </c>
      <c r="T190" s="365">
        <v>0</v>
      </c>
      <c r="U190" s="365">
        <v>0</v>
      </c>
      <c r="V190" s="365">
        <v>0</v>
      </c>
      <c r="W190" s="365">
        <v>0</v>
      </c>
      <c r="X190" s="365">
        <v>0</v>
      </c>
      <c r="Y190" s="365">
        <v>0</v>
      </c>
      <c r="Z190" s="365">
        <v>0</v>
      </c>
      <c r="AA190" s="365">
        <v>0</v>
      </c>
      <c r="AB190" s="365">
        <v>0</v>
      </c>
      <c r="AC190" s="365">
        <v>0</v>
      </c>
      <c r="AD190" s="365">
        <v>0</v>
      </c>
      <c r="AE190" s="365">
        <v>0</v>
      </c>
      <c r="AF190" s="365">
        <v>0</v>
      </c>
      <c r="AG190" s="365">
        <v>0</v>
      </c>
      <c r="AI190" s="365"/>
    </row>
    <row r="191" spans="1:35" x14ac:dyDescent="0.2">
      <c r="A191" s="191">
        <v>2180</v>
      </c>
      <c r="B191" s="2881" t="s">
        <v>1629</v>
      </c>
      <c r="C191" s="2881"/>
      <c r="D191" t="str">
        <f>IF(SUM(F191:N191)=E191,"OK","prob")</f>
        <v>OK</v>
      </c>
      <c r="E191" s="367">
        <v>1063792576.48</v>
      </c>
      <c r="F191" s="367">
        <v>108607549.83</v>
      </c>
      <c r="G191" s="367">
        <v>165095146.65000001</v>
      </c>
      <c r="H191" s="367">
        <v>27173156</v>
      </c>
      <c r="I191" s="367">
        <v>735999292.38999999</v>
      </c>
      <c r="J191" s="367">
        <v>-703018.89</v>
      </c>
      <c r="K191" s="367">
        <v>-28102994.280000001</v>
      </c>
      <c r="L191" s="367"/>
      <c r="M191" s="367">
        <v>11127369.91</v>
      </c>
      <c r="N191" s="367">
        <v>44596074.869999997</v>
      </c>
      <c r="O191" s="233">
        <v>-10813960.18</v>
      </c>
      <c r="P191" s="233">
        <v>-947641751.07000005</v>
      </c>
      <c r="Q191" s="233">
        <v>-1067517153.6900001</v>
      </c>
      <c r="R191" s="233">
        <v>-207616021.87</v>
      </c>
      <c r="S191" s="233">
        <v>-136086629.22</v>
      </c>
      <c r="T191" s="233">
        <v>-73306468.150000006</v>
      </c>
      <c r="U191" s="233">
        <v>-152121971.37</v>
      </c>
      <c r="V191" s="233">
        <v>-617135340.54999995</v>
      </c>
      <c r="W191" s="233">
        <v>-24261677.829999998</v>
      </c>
      <c r="X191" s="233">
        <v>-96664177.620000005</v>
      </c>
      <c r="Y191" s="233">
        <v>-283758998.22000003</v>
      </c>
      <c r="Z191" s="233">
        <v>-94922848.280000001</v>
      </c>
      <c r="AA191" s="233">
        <v>-88699624.359999999</v>
      </c>
      <c r="AB191" s="233">
        <v>-11074092.300000001</v>
      </c>
      <c r="AC191" s="233">
        <v>-115179189.56</v>
      </c>
      <c r="AD191" s="233">
        <v>-149653928.84</v>
      </c>
      <c r="AE191" s="233">
        <v>-32970351.949999999</v>
      </c>
      <c r="AF191" s="233">
        <v>1113686.22</v>
      </c>
      <c r="AG191" s="367">
        <v>1577260.73</v>
      </c>
      <c r="AH191" s="191"/>
      <c r="AI191" s="365">
        <f t="shared" si="26"/>
        <v>-3044517922.3600001</v>
      </c>
    </row>
    <row r="192" spans="1:35" ht="13.5" thickBot="1" x14ac:dyDescent="0.25">
      <c r="B192" s="2881" t="s">
        <v>1630</v>
      </c>
      <c r="C192" s="2881"/>
      <c r="D192" t="str">
        <f>IF(SUM(F192:N192)-E192=0,"OK","prob")</f>
        <v>OK</v>
      </c>
      <c r="E192" s="453">
        <f t="shared" ref="E192:AG192" si="28">SUM(E181:E191)</f>
        <v>2586929488.8099999</v>
      </c>
      <c r="F192" s="2068">
        <f t="shared" si="28"/>
        <v>1251877019.8299999</v>
      </c>
      <c r="G192" s="2068">
        <f t="shared" si="28"/>
        <v>165095146.65000001</v>
      </c>
      <c r="H192" s="2068">
        <f t="shared" si="28"/>
        <v>27173156</v>
      </c>
      <c r="I192" s="2068">
        <f t="shared" si="28"/>
        <v>1004993015.99</v>
      </c>
      <c r="J192" s="2068">
        <f t="shared" si="28"/>
        <v>-2305104.1800000002</v>
      </c>
      <c r="K192" s="2068">
        <f t="shared" si="28"/>
        <v>51946496.740000002</v>
      </c>
      <c r="L192" s="2068">
        <f t="shared" si="28"/>
        <v>0</v>
      </c>
      <c r="M192" s="2068">
        <f>SUM(M181:M191)</f>
        <v>11127369.91</v>
      </c>
      <c r="N192" s="2068">
        <f t="shared" si="28"/>
        <v>77022387.870000005</v>
      </c>
      <c r="O192" s="2017">
        <f t="shared" si="28"/>
        <v>182847921.52000001</v>
      </c>
      <c r="P192" s="2018">
        <f t="shared" si="28"/>
        <v>3956990610.2600002</v>
      </c>
      <c r="Q192" s="2018">
        <f t="shared" si="28"/>
        <v>1290012726.8499999</v>
      </c>
      <c r="R192" s="2018">
        <f t="shared" si="28"/>
        <v>712329959.47000003</v>
      </c>
      <c r="S192" s="2018">
        <f t="shared" si="28"/>
        <v>958221315.57000005</v>
      </c>
      <c r="T192" s="2018">
        <f t="shared" si="28"/>
        <v>124565369.40000001</v>
      </c>
      <c r="U192" s="2018">
        <f t="shared" si="28"/>
        <v>501961243.30000001</v>
      </c>
      <c r="V192" s="2018">
        <f t="shared" si="28"/>
        <v>395239801.85000002</v>
      </c>
      <c r="W192" s="2018">
        <f t="shared" si="28"/>
        <v>504314819.99000001</v>
      </c>
      <c r="X192" s="2018">
        <f t="shared" si="28"/>
        <v>517138905.52999997</v>
      </c>
      <c r="Y192" s="2018">
        <f t="shared" si="28"/>
        <v>462565194.05000001</v>
      </c>
      <c r="Z192" s="2018">
        <f t="shared" si="28"/>
        <v>134250195.46000001</v>
      </c>
      <c r="AA192" s="2018">
        <f t="shared" si="28"/>
        <v>138313803.61000001</v>
      </c>
      <c r="AB192" s="2018">
        <f t="shared" si="28"/>
        <v>125222277.5</v>
      </c>
      <c r="AC192" s="2018">
        <f t="shared" si="28"/>
        <v>77799704.400000006</v>
      </c>
      <c r="AD192" s="2018">
        <f t="shared" si="28"/>
        <v>123920772.20999999</v>
      </c>
      <c r="AE192" s="2018">
        <f t="shared" si="28"/>
        <v>146367826.69</v>
      </c>
      <c r="AF192" s="2018">
        <f t="shared" si="28"/>
        <v>52091785.82</v>
      </c>
      <c r="AG192" s="453">
        <f t="shared" si="28"/>
        <v>9144737.3000000007</v>
      </c>
      <c r="AH192" s="2067">
        <f>SUM(F192:AF192)</f>
        <v>12991083722.290001</v>
      </c>
    </row>
    <row r="193" spans="1:35" ht="13.5" thickTop="1" x14ac:dyDescent="0.2">
      <c r="B193" s="2347"/>
      <c r="C193" s="2347"/>
      <c r="E193" s="365"/>
      <c r="F193" s="365"/>
      <c r="G193" s="365"/>
      <c r="H193" s="365"/>
      <c r="I193" s="365"/>
      <c r="J193" s="365"/>
      <c r="K193" s="365"/>
      <c r="L193" s="365"/>
      <c r="M193" s="365"/>
      <c r="N193" s="365"/>
      <c r="O193" s="233"/>
      <c r="P193" s="365"/>
      <c r="Q193" s="365"/>
      <c r="R193" s="365"/>
      <c r="S193" s="365"/>
      <c r="T193" s="365"/>
      <c r="U193" s="365"/>
      <c r="V193" s="365"/>
      <c r="W193" s="365"/>
      <c r="X193" s="365"/>
      <c r="Y193" s="365"/>
      <c r="Z193" s="365"/>
      <c r="AA193" s="365"/>
      <c r="AB193" s="365"/>
      <c r="AC193" s="365"/>
      <c r="AD193" s="365"/>
      <c r="AE193" s="365"/>
      <c r="AF193" s="365"/>
      <c r="AG193" s="365"/>
      <c r="AH193" s="191" t="s">
        <v>5381</v>
      </c>
    </row>
    <row r="194" spans="1:35" x14ac:dyDescent="0.2">
      <c r="B194" s="191" t="s">
        <v>5382</v>
      </c>
      <c r="C194" s="191"/>
      <c r="E194" s="454" t="str">
        <f t="shared" ref="E194:AG194" si="29">IF(ROUND(E88+E98-E165-E178,2)=E192, "In Bal.","Out of Bal.")</f>
        <v>In Bal.</v>
      </c>
      <c r="F194" s="454" t="str">
        <f t="shared" si="29"/>
        <v>In Bal.</v>
      </c>
      <c r="G194" s="454" t="str">
        <f t="shared" si="29"/>
        <v>In Bal.</v>
      </c>
      <c r="H194" s="454" t="str">
        <f t="shared" si="29"/>
        <v>In Bal.</v>
      </c>
      <c r="I194" s="454" t="str">
        <f t="shared" si="29"/>
        <v>In Bal.</v>
      </c>
      <c r="J194" s="454" t="str">
        <f t="shared" si="29"/>
        <v>In Bal.</v>
      </c>
      <c r="K194" s="454" t="str">
        <f t="shared" si="29"/>
        <v>In Bal.</v>
      </c>
      <c r="L194" s="454" t="str">
        <f t="shared" si="29"/>
        <v>In Bal.</v>
      </c>
      <c r="M194" s="454" t="str">
        <f t="shared" si="29"/>
        <v>In Bal.</v>
      </c>
      <c r="N194" s="454" t="str">
        <f t="shared" si="29"/>
        <v>In Bal.</v>
      </c>
      <c r="O194" s="1376" t="str">
        <f t="shared" si="29"/>
        <v>In Bal.</v>
      </c>
      <c r="P194" s="454" t="str">
        <f t="shared" si="29"/>
        <v>In Bal.</v>
      </c>
      <c r="Q194" s="454" t="str">
        <f t="shared" si="29"/>
        <v>In Bal.</v>
      </c>
      <c r="R194" s="454" t="str">
        <f t="shared" si="29"/>
        <v>In Bal.</v>
      </c>
      <c r="S194" s="454" t="str">
        <f t="shared" si="29"/>
        <v>In Bal.</v>
      </c>
      <c r="T194" s="454" t="str">
        <f t="shared" si="29"/>
        <v>In Bal.</v>
      </c>
      <c r="U194" s="454" t="str">
        <f t="shared" si="29"/>
        <v>In Bal.</v>
      </c>
      <c r="V194" s="454" t="str">
        <f t="shared" si="29"/>
        <v>In Bal.</v>
      </c>
      <c r="W194" s="454" t="str">
        <f t="shared" si="29"/>
        <v>In Bal.</v>
      </c>
      <c r="X194" s="454" t="str">
        <f t="shared" si="29"/>
        <v>In Bal.</v>
      </c>
      <c r="Y194" s="454" t="str">
        <f t="shared" si="29"/>
        <v>In Bal.</v>
      </c>
      <c r="Z194" s="454" t="str">
        <f t="shared" si="29"/>
        <v>In Bal.</v>
      </c>
      <c r="AA194" s="454" t="str">
        <f t="shared" si="29"/>
        <v>In Bal.</v>
      </c>
      <c r="AB194" s="454" t="str">
        <f t="shared" si="29"/>
        <v>In Bal.</v>
      </c>
      <c r="AC194" s="454" t="str">
        <f t="shared" si="29"/>
        <v>In Bal.</v>
      </c>
      <c r="AD194" s="454" t="str">
        <f t="shared" si="29"/>
        <v>In Bal.</v>
      </c>
      <c r="AE194" s="454" t="str">
        <f t="shared" si="29"/>
        <v>In Bal.</v>
      </c>
      <c r="AF194" s="454" t="str">
        <f t="shared" si="29"/>
        <v>In Bal.</v>
      </c>
      <c r="AG194" s="454" t="str">
        <f t="shared" si="29"/>
        <v>In Bal.</v>
      </c>
      <c r="AH194" s="737"/>
    </row>
    <row r="195" spans="1:35" x14ac:dyDescent="0.2">
      <c r="B195" s="191"/>
      <c r="C195" s="191"/>
      <c r="E195" s="365"/>
      <c r="F195" s="365"/>
      <c r="G195" s="365"/>
      <c r="H195" s="365"/>
      <c r="I195" s="365"/>
      <c r="J195" s="365"/>
      <c r="K195" s="365"/>
      <c r="L195" s="365"/>
      <c r="M195" s="365"/>
      <c r="N195" s="365"/>
      <c r="O195" s="737" t="s">
        <v>5040</v>
      </c>
      <c r="P195" s="736" t="s">
        <v>5042</v>
      </c>
      <c r="Q195" s="736" t="s">
        <v>5044</v>
      </c>
      <c r="R195" s="737" t="s">
        <v>5046</v>
      </c>
      <c r="S195" s="737" t="s">
        <v>5048</v>
      </c>
      <c r="T195" s="737" t="s">
        <v>5050</v>
      </c>
      <c r="U195" s="737" t="s">
        <v>5052</v>
      </c>
      <c r="V195" s="737" t="s">
        <v>5054</v>
      </c>
      <c r="W195" s="737" t="s">
        <v>5056</v>
      </c>
      <c r="X195" s="737" t="s">
        <v>5058</v>
      </c>
      <c r="Y195" s="737" t="s">
        <v>5060</v>
      </c>
      <c r="Z195" s="737" t="s">
        <v>5062</v>
      </c>
      <c r="AA195" s="737" t="s">
        <v>5064</v>
      </c>
      <c r="AB195" s="737" t="s">
        <v>5066</v>
      </c>
      <c r="AC195" s="737" t="s">
        <v>5068</v>
      </c>
      <c r="AD195" s="737" t="s">
        <v>5070</v>
      </c>
      <c r="AE195" s="737" t="s">
        <v>5072</v>
      </c>
      <c r="AF195" s="737" t="s">
        <v>5074</v>
      </c>
      <c r="AG195" s="745" t="s">
        <v>5029</v>
      </c>
    </row>
    <row r="196" spans="1:35" x14ac:dyDescent="0.2">
      <c r="B196" s="243" t="s">
        <v>4890</v>
      </c>
      <c r="C196" s="368"/>
      <c r="E196" s="2353" t="str">
        <f>CONCATENATE("FYE ",+TEXT(Data!$A$4,"mmmm d,yyyy"))</f>
        <v>FYE June 30,2022</v>
      </c>
      <c r="F196" s="2353" t="str">
        <f>CONCATENATE("FYE ",+TEXT(Data!$A$4,"mmmm d,yyyy"))</f>
        <v>FYE June 30,2022</v>
      </c>
      <c r="G196" s="2353" t="str">
        <f>CONCATENATE("FYE ",+TEXT(Data!$A$4,"mmmm d,yyyy"))</f>
        <v>FYE June 30,2022</v>
      </c>
      <c r="H196" s="2353" t="str">
        <f>CONCATENATE("FYE ",+TEXT(Data!$A$4,"mmmm d,yyyy"))</f>
        <v>FYE June 30,2022</v>
      </c>
      <c r="I196" s="2353" t="str">
        <f>CONCATENATE("FYE ",+TEXT(Data!$A$4,"mmmm d,yyyy"))</f>
        <v>FYE June 30,2022</v>
      </c>
      <c r="J196" s="2353" t="str">
        <f>CONCATENATE("FYE ",+TEXT(Data!$A$4,"mmmm d,yyyy"))</f>
        <v>FYE June 30,2022</v>
      </c>
      <c r="K196" s="2353" t="str">
        <f>CONCATENATE("FYE ",+TEXT(Data!$A$4,"mmmm d,yyyy"))</f>
        <v>FYE June 30,2022</v>
      </c>
      <c r="L196" s="2353" t="str">
        <f>CONCATENATE("FYE ",+TEXT(Data!$A$4,"mmmm d,yyyy"))</f>
        <v>FYE June 30,2022</v>
      </c>
      <c r="M196" s="2353" t="str">
        <f>CONCATENATE("FYE ",+TEXT(Data!$A$4,"mmmm d,yyyy"))</f>
        <v>FYE June 30,2022</v>
      </c>
      <c r="N196" s="2353" t="str">
        <f>CONCATENATE("FYE ",+TEXT(Data!$A$4,"mmmm d,yyyy"))</f>
        <v>FYE June 30,2022</v>
      </c>
      <c r="O196" s="2353" t="str">
        <f>CONCATENATE("FYE ",+TEXT(Data!$A$4,"mmmm d,yyyy"))</f>
        <v>FYE June 30,2022</v>
      </c>
      <c r="P196" s="2353" t="str">
        <f>CONCATENATE("FYE ",+TEXT(Data!$A$4,"mmmm d,yyyy"))</f>
        <v>FYE June 30,2022</v>
      </c>
      <c r="Q196" s="2353" t="str">
        <f>CONCATENATE("FYE ",+TEXT(Data!$A$4,"mmmm d,yyyy"))</f>
        <v>FYE June 30,2022</v>
      </c>
      <c r="R196" s="2353" t="str">
        <f>CONCATENATE("FYE ",+TEXT(Data!$A$4,"mmmm d,yyyy"))</f>
        <v>FYE June 30,2022</v>
      </c>
      <c r="S196" s="2353" t="str">
        <f>CONCATENATE("FYE ",+TEXT(Data!$A$4,"mmmm d,yyyy"))</f>
        <v>FYE June 30,2022</v>
      </c>
      <c r="T196" s="2353" t="str">
        <f>CONCATENATE("FYE ",+TEXT(Data!$A$4,"mmmm d,yyyy"))</f>
        <v>FYE June 30,2022</v>
      </c>
      <c r="U196" s="2353" t="str">
        <f>CONCATENATE("FYE ",+TEXT(Data!$A$4,"mmmm d,yyyy"))</f>
        <v>FYE June 30,2022</v>
      </c>
      <c r="V196" s="2353" t="str">
        <f>CONCATENATE("FYE ",+TEXT(Data!$A$4,"mmmm d,yyyy"))</f>
        <v>FYE June 30,2022</v>
      </c>
      <c r="W196" s="2353" t="str">
        <f>CONCATENATE("FYE ",+TEXT(Data!$A$4,"mmmm d,yyyy"))</f>
        <v>FYE June 30,2022</v>
      </c>
      <c r="X196" s="2353" t="str">
        <f>CONCATENATE("FYE ",+TEXT(Data!$A$4,"mmmm d,yyyy"))</f>
        <v>FYE June 30,2022</v>
      </c>
      <c r="Y196" s="2353" t="str">
        <f>CONCATENATE("FYE ",+TEXT(Data!$A$4,"mmmm d,yyyy"))</f>
        <v>FYE June 30,2022</v>
      </c>
      <c r="Z196" s="2353" t="str">
        <f>CONCATENATE("FYE ",+TEXT(Data!$A$4,"mmmm d,yyyy"))</f>
        <v>FYE June 30,2022</v>
      </c>
      <c r="AA196" s="2353" t="str">
        <f>CONCATENATE("FYE ",+TEXT(Data!$A$4,"mmmm d,yyyy"))</f>
        <v>FYE June 30,2022</v>
      </c>
      <c r="AB196" s="2353" t="str">
        <f>CONCATENATE("FYE ",+TEXT(Data!$A$4,"mmmm d,yyyy"))</f>
        <v>FYE June 30,2022</v>
      </c>
      <c r="AC196" s="2353" t="str">
        <f>CONCATENATE("FYE ",+TEXT(Data!$A$4,"mmmm d,yyyy"))</f>
        <v>FYE June 30,2022</v>
      </c>
      <c r="AD196" s="2353" t="str">
        <f>CONCATENATE("FYE ",+TEXT(Data!$A$4,"mmmm d,yyyy"))</f>
        <v>FYE June 30,2022</v>
      </c>
      <c r="AE196" s="2353" t="str">
        <f>CONCATENATE("FYE ",+TEXT(Data!$A$4,"mmmm d,yyyy"))</f>
        <v>FYE June 30,2022</v>
      </c>
      <c r="AF196" s="2353" t="str">
        <f>CONCATENATE("FYE ",+TEXT(Data!$A$4,"mmmm d,yyyy"))</f>
        <v>FYE June 30,2022</v>
      </c>
      <c r="AG196" s="2353" t="str">
        <f>CONCATENATE("FYE ",+TEXT(Data!$A$4,"mmmm d,yyyy"))</f>
        <v>FYE June 30,2022</v>
      </c>
    </row>
    <row r="197" spans="1:35" x14ac:dyDescent="0.2">
      <c r="B197" s="243" t="s">
        <v>4891</v>
      </c>
      <c r="C197" s="243"/>
      <c r="E197" s="365"/>
      <c r="F197" s="365"/>
      <c r="G197" s="365"/>
      <c r="H197" s="365"/>
      <c r="I197" s="365"/>
      <c r="J197" s="365"/>
      <c r="K197" s="365"/>
      <c r="L197" s="365"/>
      <c r="M197" s="365"/>
      <c r="N197" s="365"/>
      <c r="O197" s="233"/>
      <c r="P197" s="365"/>
      <c r="Q197" s="365"/>
      <c r="R197" s="365"/>
      <c r="S197" s="365"/>
      <c r="T197" s="365"/>
      <c r="U197" s="365"/>
      <c r="V197" s="365"/>
      <c r="W197" s="365"/>
      <c r="X197" s="365"/>
      <c r="Y197" s="365"/>
      <c r="Z197" s="365"/>
      <c r="AA197" s="365"/>
      <c r="AB197" s="365"/>
      <c r="AC197" s="365"/>
      <c r="AD197" s="365"/>
      <c r="AE197" s="365"/>
      <c r="AF197" s="365"/>
      <c r="AG197" s="365"/>
      <c r="AI197" s="365">
        <f t="shared" ref="AI197:AI228" si="30">SUM(F197:AF197)</f>
        <v>0</v>
      </c>
    </row>
    <row r="198" spans="1:35" x14ac:dyDescent="0.2">
      <c r="A198" s="191">
        <v>2310</v>
      </c>
      <c r="B198" s="2881" t="s">
        <v>2767</v>
      </c>
      <c r="C198" s="2881"/>
      <c r="D198" s="1382" t="str">
        <f t="shared" ref="D198:D209" si="31">IF(SUM(F198:N198)-E198=0,"OK","prob")</f>
        <v>prob</v>
      </c>
      <c r="E198" s="366">
        <v>69701227.040000007</v>
      </c>
      <c r="F198" s="366">
        <v>0</v>
      </c>
      <c r="G198" s="366">
        <v>31504180.82</v>
      </c>
      <c r="H198" s="366">
        <v>3950000</v>
      </c>
      <c r="I198" s="366">
        <v>65751227.039999999</v>
      </c>
      <c r="J198" s="366">
        <v>0</v>
      </c>
      <c r="K198" s="366">
        <v>0</v>
      </c>
      <c r="L198" s="366"/>
      <c r="M198" s="366">
        <v>0</v>
      </c>
      <c r="N198" s="366">
        <v>0</v>
      </c>
      <c r="O198" s="1209">
        <v>11435625.99</v>
      </c>
      <c r="P198" s="2145">
        <v>508300992.67000002</v>
      </c>
      <c r="Q198" s="366">
        <v>277364837.38</v>
      </c>
      <c r="R198" s="366">
        <v>48769539.490000002</v>
      </c>
      <c r="S198" s="366">
        <v>90631427.150000006</v>
      </c>
      <c r="T198" s="1209">
        <v>12562927</v>
      </c>
      <c r="U198" s="366">
        <v>47744213.530000001</v>
      </c>
      <c r="V198" s="366">
        <v>88347088.950000003</v>
      </c>
      <c r="W198" s="366">
        <v>29535567.100000001</v>
      </c>
      <c r="X198" s="366">
        <v>41306673.850000001</v>
      </c>
      <c r="Y198" s="366">
        <v>104782780.25</v>
      </c>
      <c r="Z198" s="366">
        <v>14522464.560000001</v>
      </c>
      <c r="AA198" s="366">
        <v>25136762.710000001</v>
      </c>
      <c r="AB198" s="366">
        <v>7872936.9000000004</v>
      </c>
      <c r="AC198" s="366">
        <v>9320770.6199999992</v>
      </c>
      <c r="AD198" s="366">
        <v>29224401.16</v>
      </c>
      <c r="AE198" s="366">
        <v>8093776.7699999996</v>
      </c>
      <c r="AF198" s="1210">
        <v>2589551.56</v>
      </c>
      <c r="AG198" s="366">
        <v>1097105.8600000001</v>
      </c>
      <c r="AI198" s="365">
        <f t="shared" si="30"/>
        <v>1458747745.5</v>
      </c>
    </row>
    <row r="199" spans="1:35" ht="15" x14ac:dyDescent="0.25">
      <c r="A199" s="191">
        <v>2320</v>
      </c>
      <c r="B199" s="2881" t="s">
        <v>2768</v>
      </c>
      <c r="C199" s="2881"/>
      <c r="D199" t="str">
        <f t="shared" si="31"/>
        <v>OK</v>
      </c>
      <c r="E199" s="365">
        <v>0</v>
      </c>
      <c r="F199" s="365">
        <v>0</v>
      </c>
      <c r="G199" s="365">
        <v>0</v>
      </c>
      <c r="H199" s="365">
        <v>0</v>
      </c>
      <c r="I199" s="365">
        <v>0</v>
      </c>
      <c r="J199" s="365">
        <v>0</v>
      </c>
      <c r="K199" s="365">
        <v>0</v>
      </c>
      <c r="L199" s="365"/>
      <c r="M199" s="365">
        <v>0</v>
      </c>
      <c r="N199" s="365">
        <v>0</v>
      </c>
      <c r="O199" s="1370">
        <v>0</v>
      </c>
      <c r="P199" s="2146">
        <v>464123452.36000001</v>
      </c>
      <c r="Q199" s="1213">
        <v>352522696.52999997</v>
      </c>
      <c r="R199" s="1213">
        <v>96900125.189999998</v>
      </c>
      <c r="S199" s="1213">
        <v>231098620.81</v>
      </c>
      <c r="T199" s="1370">
        <v>18999017.140000001</v>
      </c>
      <c r="U199" s="365">
        <v>125740431.20999999</v>
      </c>
      <c r="V199" s="365">
        <v>186857623.72</v>
      </c>
      <c r="W199" s="365">
        <v>82088479.349999994</v>
      </c>
      <c r="X199" s="365">
        <v>41713210.710000001</v>
      </c>
      <c r="Y199" s="365">
        <v>140323407.11000001</v>
      </c>
      <c r="Z199" s="365">
        <v>19576449.16</v>
      </c>
      <c r="AA199" s="1211">
        <v>23650467.25</v>
      </c>
      <c r="AB199" s="365">
        <v>6661947.25</v>
      </c>
      <c r="AC199" s="365">
        <v>18367921.359999999</v>
      </c>
      <c r="AD199" s="365">
        <v>43310457.490000002</v>
      </c>
      <c r="AE199" s="365">
        <v>17263247.969999999</v>
      </c>
      <c r="AF199" s="790">
        <v>0</v>
      </c>
      <c r="AG199" s="365">
        <v>0</v>
      </c>
      <c r="AI199" s="365">
        <f t="shared" si="30"/>
        <v>1869197554.6099999</v>
      </c>
    </row>
    <row r="200" spans="1:35" x14ac:dyDescent="0.2">
      <c r="A200" s="191">
        <v>2330</v>
      </c>
      <c r="B200" s="2881" t="s">
        <v>2769</v>
      </c>
      <c r="C200" s="2881"/>
      <c r="D200" t="str">
        <f t="shared" si="31"/>
        <v>OK</v>
      </c>
      <c r="E200" s="365">
        <v>4337675352.2200003</v>
      </c>
      <c r="F200" s="365">
        <v>2514892252</v>
      </c>
      <c r="G200" s="365">
        <v>2599813.54</v>
      </c>
      <c r="H200" s="365">
        <v>0</v>
      </c>
      <c r="I200" s="365">
        <v>1348892997.3399999</v>
      </c>
      <c r="J200" s="365">
        <v>42360673.649999999</v>
      </c>
      <c r="K200" s="365">
        <v>220051477</v>
      </c>
      <c r="L200" s="365"/>
      <c r="M200" s="365">
        <v>57514076.609999999</v>
      </c>
      <c r="N200" s="365">
        <v>151364062.08000001</v>
      </c>
      <c r="O200" s="1370">
        <v>0</v>
      </c>
      <c r="P200" s="2146">
        <v>571348254.97000003</v>
      </c>
      <c r="Q200" s="1213">
        <v>0</v>
      </c>
      <c r="R200" s="1213">
        <v>0</v>
      </c>
      <c r="S200" s="1213">
        <v>0</v>
      </c>
      <c r="T200" s="1370">
        <v>0</v>
      </c>
      <c r="U200" s="365">
        <v>0</v>
      </c>
      <c r="V200" s="365">
        <v>243121972.77000001</v>
      </c>
      <c r="W200" s="365">
        <v>0</v>
      </c>
      <c r="X200" s="365">
        <v>0</v>
      </c>
      <c r="Y200" s="365">
        <v>0</v>
      </c>
      <c r="Z200" s="365">
        <v>0</v>
      </c>
      <c r="AA200" s="365">
        <v>0</v>
      </c>
      <c r="AB200" s="365">
        <v>0</v>
      </c>
      <c r="AC200" s="365">
        <v>0</v>
      </c>
      <c r="AD200" s="365">
        <v>0</v>
      </c>
      <c r="AE200" s="365">
        <v>0</v>
      </c>
      <c r="AF200" s="790">
        <v>0</v>
      </c>
      <c r="AG200" s="365">
        <v>0</v>
      </c>
      <c r="AI200" s="365">
        <f t="shared" si="30"/>
        <v>5152145579.96</v>
      </c>
    </row>
    <row r="201" spans="1:35" x14ac:dyDescent="0.2">
      <c r="A201" s="191">
        <v>2350</v>
      </c>
      <c r="B201" s="2881" t="s">
        <v>2770</v>
      </c>
      <c r="C201" s="2881"/>
      <c r="D201" t="str">
        <f t="shared" si="31"/>
        <v>OK</v>
      </c>
      <c r="E201" s="365">
        <v>0</v>
      </c>
      <c r="F201" s="365">
        <v>0</v>
      </c>
      <c r="G201" s="365">
        <v>0</v>
      </c>
      <c r="H201" s="365">
        <v>0</v>
      </c>
      <c r="I201" s="365">
        <v>0</v>
      </c>
      <c r="J201" s="365">
        <v>0</v>
      </c>
      <c r="K201" s="365">
        <v>0</v>
      </c>
      <c r="L201" s="365"/>
      <c r="M201" s="365">
        <v>0</v>
      </c>
      <c r="N201" s="365">
        <v>0</v>
      </c>
      <c r="O201" s="1370">
        <v>0</v>
      </c>
      <c r="P201" s="1348">
        <v>0</v>
      </c>
      <c r="Q201" s="1213">
        <v>23658433</v>
      </c>
      <c r="R201" s="1213">
        <v>0</v>
      </c>
      <c r="S201" s="1213">
        <v>0</v>
      </c>
      <c r="T201" s="1370">
        <v>0</v>
      </c>
      <c r="U201" s="365">
        <v>0</v>
      </c>
      <c r="V201" s="365">
        <v>0</v>
      </c>
      <c r="W201" s="365">
        <v>9084397.3100000005</v>
      </c>
      <c r="X201" s="365">
        <v>0</v>
      </c>
      <c r="Y201" s="365">
        <v>0</v>
      </c>
      <c r="Z201" s="365">
        <v>0</v>
      </c>
      <c r="AA201" s="365">
        <v>0</v>
      </c>
      <c r="AB201" s="365">
        <v>0</v>
      </c>
      <c r="AC201" s="365">
        <v>0</v>
      </c>
      <c r="AD201" s="365">
        <v>0</v>
      </c>
      <c r="AE201" s="365">
        <v>0</v>
      </c>
      <c r="AF201" s="790">
        <v>0</v>
      </c>
      <c r="AG201" s="365">
        <v>0</v>
      </c>
      <c r="AI201" s="365">
        <f t="shared" si="30"/>
        <v>32742830.309999999</v>
      </c>
    </row>
    <row r="202" spans="1:35" x14ac:dyDescent="0.2">
      <c r="A202" s="191">
        <v>2370</v>
      </c>
      <c r="B202" s="2881" t="s">
        <v>2771</v>
      </c>
      <c r="C202" s="2881"/>
      <c r="D202" t="str">
        <f t="shared" si="31"/>
        <v>OK</v>
      </c>
      <c r="E202" s="365">
        <v>1940929.5</v>
      </c>
      <c r="F202" s="365">
        <v>0</v>
      </c>
      <c r="G202" s="365">
        <v>1940929.5</v>
      </c>
      <c r="H202" s="365">
        <v>0</v>
      </c>
      <c r="I202" s="365">
        <v>0</v>
      </c>
      <c r="J202" s="365">
        <v>0</v>
      </c>
      <c r="K202" s="365">
        <v>0</v>
      </c>
      <c r="L202" s="365"/>
      <c r="M202" s="365">
        <v>0</v>
      </c>
      <c r="N202" s="365">
        <v>0</v>
      </c>
      <c r="O202" s="1370">
        <v>0</v>
      </c>
      <c r="P202" s="2146">
        <v>833459143.13999999</v>
      </c>
      <c r="Q202" s="1213">
        <v>191606997.06</v>
      </c>
      <c r="R202" s="1213">
        <v>33605883.439999998</v>
      </c>
      <c r="S202" s="1213">
        <v>44685193.960000001</v>
      </c>
      <c r="T202" s="1370">
        <v>2018356.01</v>
      </c>
      <c r="U202" s="365">
        <v>8213703.9699999997</v>
      </c>
      <c r="V202" s="365">
        <v>44143624.18</v>
      </c>
      <c r="W202" s="365">
        <v>27535197.48</v>
      </c>
      <c r="X202" s="365">
        <v>4710542.03</v>
      </c>
      <c r="Y202" s="365">
        <v>6993755.2400000002</v>
      </c>
      <c r="Z202" s="365">
        <v>53475.92</v>
      </c>
      <c r="AA202" s="365">
        <v>0</v>
      </c>
      <c r="AB202" s="365">
        <v>0</v>
      </c>
      <c r="AC202" s="365">
        <v>10557.36</v>
      </c>
      <c r="AD202" s="365">
        <v>13127129.73</v>
      </c>
      <c r="AE202" s="365">
        <v>12576</v>
      </c>
      <c r="AF202" s="790">
        <v>0</v>
      </c>
      <c r="AG202" s="365">
        <v>0</v>
      </c>
      <c r="AI202" s="365">
        <f t="shared" si="30"/>
        <v>1212117065.02</v>
      </c>
    </row>
    <row r="203" spans="1:35" x14ac:dyDescent="0.2">
      <c r="A203" s="191">
        <v>2390</v>
      </c>
      <c r="B203" s="2881" t="s">
        <v>2773</v>
      </c>
      <c r="C203" s="2881"/>
      <c r="D203" t="str">
        <f t="shared" si="31"/>
        <v>OK</v>
      </c>
      <c r="E203" s="365">
        <v>0</v>
      </c>
      <c r="F203" s="365">
        <v>0</v>
      </c>
      <c r="G203" s="365">
        <v>0</v>
      </c>
      <c r="H203" s="365">
        <v>0</v>
      </c>
      <c r="I203" s="365">
        <v>0</v>
      </c>
      <c r="J203" s="365">
        <v>0</v>
      </c>
      <c r="K203" s="365">
        <v>0</v>
      </c>
      <c r="L203" s="365"/>
      <c r="M203" s="365">
        <v>0</v>
      </c>
      <c r="N203" s="365">
        <v>0</v>
      </c>
      <c r="O203" s="1370">
        <v>0</v>
      </c>
      <c r="P203" s="2133">
        <v>12279460.800000001</v>
      </c>
      <c r="Q203" s="1213">
        <v>43907176.030000001</v>
      </c>
      <c r="R203" s="1213">
        <v>11219348.810000001</v>
      </c>
      <c r="S203" s="1213">
        <v>4370754.9000000004</v>
      </c>
      <c r="T203" s="1370">
        <v>1075397.6499999999</v>
      </c>
      <c r="U203" s="365">
        <v>3640679.77</v>
      </c>
      <c r="V203" s="365">
        <v>7451041.04</v>
      </c>
      <c r="W203" s="365">
        <v>1458141.85</v>
      </c>
      <c r="X203" s="365">
        <v>1233034.22</v>
      </c>
      <c r="Y203" s="365">
        <v>2829178.27</v>
      </c>
      <c r="Z203" s="365">
        <v>658956.16</v>
      </c>
      <c r="AA203" s="365">
        <v>0</v>
      </c>
      <c r="AB203" s="365">
        <v>0</v>
      </c>
      <c r="AC203" s="365">
        <v>0</v>
      </c>
      <c r="AD203" s="365">
        <v>434076.15999999997</v>
      </c>
      <c r="AE203" s="365">
        <v>0</v>
      </c>
      <c r="AF203" s="790">
        <v>0</v>
      </c>
      <c r="AG203" s="365">
        <v>0</v>
      </c>
      <c r="AI203" s="365">
        <f t="shared" si="30"/>
        <v>90557245.659999996</v>
      </c>
    </row>
    <row r="204" spans="1:35" x14ac:dyDescent="0.2">
      <c r="A204" s="191">
        <v>2400</v>
      </c>
      <c r="B204" s="2881" t="s">
        <v>2775</v>
      </c>
      <c r="C204" s="2881"/>
      <c r="D204" t="str">
        <f t="shared" si="31"/>
        <v>OK</v>
      </c>
      <c r="E204" s="365">
        <v>24084013.800000001</v>
      </c>
      <c r="F204" s="365">
        <v>0</v>
      </c>
      <c r="G204" s="365">
        <v>24084013.800000001</v>
      </c>
      <c r="H204" s="365">
        <v>0</v>
      </c>
      <c r="I204" s="365">
        <v>0</v>
      </c>
      <c r="J204" s="365">
        <v>0</v>
      </c>
      <c r="K204" s="365">
        <v>0</v>
      </c>
      <c r="L204" s="365"/>
      <c r="M204" s="365">
        <v>0</v>
      </c>
      <c r="N204" s="365">
        <v>0</v>
      </c>
      <c r="O204" s="1370">
        <v>0</v>
      </c>
      <c r="P204" s="2146">
        <v>172871172.15000001</v>
      </c>
      <c r="Q204" s="1213">
        <v>102401046.81</v>
      </c>
      <c r="R204" s="1213">
        <v>4037139.5</v>
      </c>
      <c r="S204" s="1213">
        <v>5666227.1399999997</v>
      </c>
      <c r="T204" s="1370">
        <v>1779656.91</v>
      </c>
      <c r="U204" s="365">
        <v>2760489.35</v>
      </c>
      <c r="V204" s="365">
        <v>14021038.199999999</v>
      </c>
      <c r="W204" s="365">
        <v>976896.33</v>
      </c>
      <c r="X204" s="365">
        <v>1545470.4</v>
      </c>
      <c r="Y204" s="365">
        <v>999224.03</v>
      </c>
      <c r="Z204" s="365">
        <v>996333.89</v>
      </c>
      <c r="AA204" s="365">
        <v>0</v>
      </c>
      <c r="AB204" s="365">
        <v>0</v>
      </c>
      <c r="AC204" s="365">
        <v>0</v>
      </c>
      <c r="AD204" s="365">
        <v>1174078.67</v>
      </c>
      <c r="AE204" s="365">
        <v>0</v>
      </c>
      <c r="AF204" s="790">
        <v>718016.77</v>
      </c>
      <c r="AG204" s="365">
        <v>0</v>
      </c>
      <c r="AI204" s="365">
        <f t="shared" si="30"/>
        <v>334030803.94999999</v>
      </c>
    </row>
    <row r="205" spans="1:35" ht="15" x14ac:dyDescent="0.25">
      <c r="A205" s="191">
        <v>2410</v>
      </c>
      <c r="B205" s="2881" t="s">
        <v>1234</v>
      </c>
      <c r="C205" s="2881"/>
      <c r="D205" t="str">
        <f t="shared" si="31"/>
        <v>OK</v>
      </c>
      <c r="E205" s="365">
        <v>0</v>
      </c>
      <c r="F205" s="365">
        <v>0</v>
      </c>
      <c r="G205" s="365">
        <v>0</v>
      </c>
      <c r="H205" s="365">
        <v>0</v>
      </c>
      <c r="I205" s="365">
        <v>0</v>
      </c>
      <c r="J205" s="365">
        <v>0</v>
      </c>
      <c r="K205" s="365">
        <v>0</v>
      </c>
      <c r="L205" s="365"/>
      <c r="M205" s="365">
        <v>0</v>
      </c>
      <c r="N205" s="365">
        <v>0</v>
      </c>
      <c r="O205" s="1370">
        <v>0</v>
      </c>
      <c r="P205" s="2146">
        <v>1303898.27</v>
      </c>
      <c r="Q205" s="1213">
        <v>191850.27</v>
      </c>
      <c r="R205" s="1213">
        <v>63916.14</v>
      </c>
      <c r="S205" s="1213">
        <v>114015.4</v>
      </c>
      <c r="T205" s="1370">
        <v>32903.040000000001</v>
      </c>
      <c r="U205" s="365">
        <v>-115935.24</v>
      </c>
      <c r="V205" s="365">
        <v>256342.08</v>
      </c>
      <c r="W205" s="365">
        <v>0</v>
      </c>
      <c r="X205" s="365">
        <v>9169.19</v>
      </c>
      <c r="Y205" s="365">
        <v>47292.68</v>
      </c>
      <c r="Z205" s="365">
        <v>211540.13</v>
      </c>
      <c r="AA205" s="1211">
        <v>2006.24</v>
      </c>
      <c r="AB205" s="365">
        <v>0</v>
      </c>
      <c r="AC205" s="365">
        <v>0</v>
      </c>
      <c r="AD205" s="365">
        <v>-52564.6</v>
      </c>
      <c r="AE205" s="365">
        <v>0</v>
      </c>
      <c r="AF205" s="790">
        <v>5030.72</v>
      </c>
      <c r="AG205" s="365">
        <v>0</v>
      </c>
      <c r="AI205" s="365">
        <f t="shared" si="30"/>
        <v>2069464.32</v>
      </c>
    </row>
    <row r="206" spans="1:35" x14ac:dyDescent="0.2">
      <c r="A206" s="191">
        <v>2420</v>
      </c>
      <c r="B206" s="2881" t="s">
        <v>2777</v>
      </c>
      <c r="C206" s="2881"/>
      <c r="D206" t="str">
        <f t="shared" si="31"/>
        <v>OK</v>
      </c>
      <c r="E206" s="365">
        <v>11818012.15</v>
      </c>
      <c r="F206" s="365">
        <v>0</v>
      </c>
      <c r="G206" s="365">
        <v>11818012.15</v>
      </c>
      <c r="H206" s="365">
        <v>0</v>
      </c>
      <c r="I206" s="365">
        <v>0</v>
      </c>
      <c r="J206" s="365">
        <v>0</v>
      </c>
      <c r="K206" s="365">
        <v>0</v>
      </c>
      <c r="L206" s="365"/>
      <c r="M206" s="365">
        <v>0</v>
      </c>
      <c r="N206" s="365">
        <v>0</v>
      </c>
      <c r="O206" s="1370">
        <v>306492.53000000003</v>
      </c>
      <c r="P206" s="2146">
        <v>1195407.07</v>
      </c>
      <c r="Q206" s="1213">
        <v>5768051.75</v>
      </c>
      <c r="R206" s="1213">
        <v>0</v>
      </c>
      <c r="S206" s="1213">
        <v>1598766.11</v>
      </c>
      <c r="T206" s="1370">
        <v>518616.98</v>
      </c>
      <c r="U206" s="365">
        <v>860210.12</v>
      </c>
      <c r="V206" s="365">
        <v>877506.15</v>
      </c>
      <c r="W206" s="365">
        <v>0</v>
      </c>
      <c r="X206" s="365">
        <v>764451.66</v>
      </c>
      <c r="Y206" s="365">
        <v>458943.66</v>
      </c>
      <c r="Z206" s="365">
        <v>0</v>
      </c>
      <c r="AA206" s="365">
        <v>160357.16</v>
      </c>
      <c r="AB206" s="365">
        <v>204145.76</v>
      </c>
      <c r="AC206" s="365">
        <v>82870.28</v>
      </c>
      <c r="AD206" s="365">
        <v>0</v>
      </c>
      <c r="AE206" s="365">
        <v>673202.29</v>
      </c>
      <c r="AF206" s="790">
        <v>1395008.06</v>
      </c>
      <c r="AG206" s="365">
        <v>42660</v>
      </c>
      <c r="AI206" s="365">
        <f t="shared" si="30"/>
        <v>26682041.73</v>
      </c>
    </row>
    <row r="207" spans="1:35" x14ac:dyDescent="0.2">
      <c r="A207" s="191">
        <v>2430</v>
      </c>
      <c r="B207" s="2881" t="s">
        <v>1226</v>
      </c>
      <c r="C207" s="2881"/>
      <c r="D207" s="1382" t="str">
        <f t="shared" si="31"/>
        <v>prob</v>
      </c>
      <c r="E207" s="365">
        <v>88127221.829999998</v>
      </c>
      <c r="F207" s="365">
        <v>0</v>
      </c>
      <c r="G207" s="365">
        <v>199909059.15000001</v>
      </c>
      <c r="H207" s="365">
        <v>0</v>
      </c>
      <c r="I207" s="365">
        <v>0</v>
      </c>
      <c r="J207" s="365">
        <v>0</v>
      </c>
      <c r="K207" s="365">
        <v>0</v>
      </c>
      <c r="L207" s="365"/>
      <c r="M207" s="365">
        <v>0</v>
      </c>
      <c r="N207" s="365">
        <v>0</v>
      </c>
      <c r="O207" s="1370">
        <v>0</v>
      </c>
      <c r="P207" s="2146">
        <v>2648921.29</v>
      </c>
      <c r="Q207" s="1213">
        <v>10121.52</v>
      </c>
      <c r="R207" s="1213">
        <v>0</v>
      </c>
      <c r="S207" s="1213">
        <v>1284574.0900000001</v>
      </c>
      <c r="T207" s="1370">
        <v>563149.81000000006</v>
      </c>
      <c r="U207" s="365">
        <v>1306914.04</v>
      </c>
      <c r="V207" s="365">
        <v>50075.24</v>
      </c>
      <c r="W207" s="365">
        <v>0</v>
      </c>
      <c r="X207" s="365">
        <v>1004973.56</v>
      </c>
      <c r="Y207" s="365">
        <v>0</v>
      </c>
      <c r="Z207" s="365">
        <v>0</v>
      </c>
      <c r="AA207" s="365">
        <v>529.29</v>
      </c>
      <c r="AB207" s="365">
        <v>0</v>
      </c>
      <c r="AC207" s="365">
        <v>0</v>
      </c>
      <c r="AD207" s="365">
        <v>0</v>
      </c>
      <c r="AE207" s="365">
        <v>0</v>
      </c>
      <c r="AF207" s="790">
        <v>0</v>
      </c>
      <c r="AG207" s="365">
        <v>2218156.5499999998</v>
      </c>
      <c r="AI207" s="365">
        <f t="shared" si="30"/>
        <v>206778317.99000001</v>
      </c>
    </row>
    <row r="208" spans="1:35" x14ac:dyDescent="0.2">
      <c r="A208" s="191">
        <v>2450</v>
      </c>
      <c r="B208" s="2881" t="s">
        <v>1775</v>
      </c>
      <c r="C208" s="2881"/>
      <c r="D208" s="1382" t="str">
        <f t="shared" si="31"/>
        <v>prob</v>
      </c>
      <c r="E208" s="367">
        <v>133747127.65000001</v>
      </c>
      <c r="F208" s="367">
        <v>32820837</v>
      </c>
      <c r="G208" s="367">
        <v>43670324.969999999</v>
      </c>
      <c r="H208" s="367">
        <v>0</v>
      </c>
      <c r="I208" s="367">
        <v>0</v>
      </c>
      <c r="J208" s="367">
        <v>940230.7</v>
      </c>
      <c r="K208" s="367">
        <v>93850448</v>
      </c>
      <c r="L208" s="367"/>
      <c r="M208" s="367">
        <v>1286615.72</v>
      </c>
      <c r="N208" s="367">
        <v>4524398.0199999996</v>
      </c>
      <c r="O208" s="1370">
        <v>46967.39</v>
      </c>
      <c r="P208" s="2146">
        <v>5424486.21</v>
      </c>
      <c r="Q208" s="1213">
        <v>12926557.880000001</v>
      </c>
      <c r="R208" s="1213">
        <v>1180623.01</v>
      </c>
      <c r="S208" s="1213">
        <v>1259411.5</v>
      </c>
      <c r="T208" s="1370">
        <v>394453.22</v>
      </c>
      <c r="U208" s="367">
        <v>5945086.6200000001</v>
      </c>
      <c r="V208" s="367">
        <v>1043577.64</v>
      </c>
      <c r="W208" s="367">
        <v>6172694.2000000002</v>
      </c>
      <c r="X208" s="367">
        <v>1348297.91</v>
      </c>
      <c r="Y208" s="367">
        <v>2437174.4300000002</v>
      </c>
      <c r="Z208" s="367">
        <v>801131.74</v>
      </c>
      <c r="AA208" s="367">
        <v>1062602.25</v>
      </c>
      <c r="AB208" s="367">
        <v>367829.05</v>
      </c>
      <c r="AC208" s="367">
        <v>588821.05000000005</v>
      </c>
      <c r="AD208" s="367">
        <v>5550908.2000000002</v>
      </c>
      <c r="AE208" s="367">
        <v>0</v>
      </c>
      <c r="AF208" s="1212">
        <v>704020.09</v>
      </c>
      <c r="AG208" s="367">
        <v>192773.91</v>
      </c>
      <c r="AI208" s="365">
        <f t="shared" si="30"/>
        <v>224347496.80000001</v>
      </c>
    </row>
    <row r="209" spans="1:35" x14ac:dyDescent="0.2">
      <c r="A209" s="191"/>
      <c r="B209" s="2881" t="s">
        <v>4892</v>
      </c>
      <c r="C209" s="2881"/>
      <c r="D209" t="str">
        <f t="shared" si="31"/>
        <v>prob</v>
      </c>
      <c r="E209" s="374">
        <f t="shared" ref="E209:AG209" si="32">SUM(E198:E208)</f>
        <v>4667093884.1899996</v>
      </c>
      <c r="F209" s="374">
        <f t="shared" si="32"/>
        <v>2547713089</v>
      </c>
      <c r="G209" s="374">
        <f t="shared" si="32"/>
        <v>315526333.93000001</v>
      </c>
      <c r="H209" s="374">
        <f t="shared" si="32"/>
        <v>3950000</v>
      </c>
      <c r="I209" s="374">
        <f t="shared" si="32"/>
        <v>1414644224.3800001</v>
      </c>
      <c r="J209" s="374">
        <f t="shared" si="32"/>
        <v>43300904.350000001</v>
      </c>
      <c r="K209" s="374">
        <f t="shared" si="32"/>
        <v>313901925</v>
      </c>
      <c r="L209" s="374">
        <f t="shared" si="32"/>
        <v>0</v>
      </c>
      <c r="M209" s="374">
        <f t="shared" si="32"/>
        <v>58800692.329999998</v>
      </c>
      <c r="N209" s="374">
        <f t="shared" si="32"/>
        <v>155888460.09999999</v>
      </c>
      <c r="O209" s="403">
        <f t="shared" si="32"/>
        <v>11789085.91</v>
      </c>
      <c r="P209" s="2147">
        <f t="shared" si="32"/>
        <v>2572955188.9299998</v>
      </c>
      <c r="Q209" s="374">
        <f t="shared" si="32"/>
        <v>1010357768.23</v>
      </c>
      <c r="R209" s="374">
        <f t="shared" si="32"/>
        <v>195776575.58000001</v>
      </c>
      <c r="S209" s="374">
        <f t="shared" si="32"/>
        <v>380708991.06</v>
      </c>
      <c r="T209" s="374">
        <f t="shared" si="32"/>
        <v>37944477.759999998</v>
      </c>
      <c r="U209" s="374">
        <f t="shared" si="32"/>
        <v>196095793.37</v>
      </c>
      <c r="V209" s="374">
        <f t="shared" si="32"/>
        <v>586169889.97000003</v>
      </c>
      <c r="W209" s="374">
        <f t="shared" si="32"/>
        <v>156851373.62</v>
      </c>
      <c r="X209" s="374">
        <f t="shared" si="32"/>
        <v>93635823.530000001</v>
      </c>
      <c r="Y209" s="374">
        <f t="shared" si="32"/>
        <v>258871755.66999999</v>
      </c>
      <c r="Z209" s="374">
        <f t="shared" si="32"/>
        <v>36820351.560000002</v>
      </c>
      <c r="AA209" s="374">
        <f t="shared" si="32"/>
        <v>50012724.899999999</v>
      </c>
      <c r="AB209" s="374">
        <f t="shared" si="32"/>
        <v>15106858.960000001</v>
      </c>
      <c r="AC209" s="374">
        <f t="shared" si="32"/>
        <v>28370940.670000002</v>
      </c>
      <c r="AD209" s="374">
        <f t="shared" si="32"/>
        <v>92768486.810000002</v>
      </c>
      <c r="AE209" s="374">
        <f t="shared" si="32"/>
        <v>26042803.030000001</v>
      </c>
      <c r="AF209" s="374">
        <f t="shared" si="32"/>
        <v>5411627.2000000002</v>
      </c>
      <c r="AG209" s="374">
        <f t="shared" si="32"/>
        <v>3550696.32</v>
      </c>
      <c r="AI209" s="365">
        <f t="shared" si="30"/>
        <v>10609416145.85</v>
      </c>
    </row>
    <row r="210" spans="1:35" x14ac:dyDescent="0.2">
      <c r="B210" s="2347"/>
      <c r="C210" s="2347"/>
      <c r="E210" s="365"/>
      <c r="F210" s="365"/>
      <c r="G210" s="365"/>
      <c r="H210" s="365"/>
      <c r="I210" s="365"/>
      <c r="J210" s="365"/>
      <c r="K210" s="365"/>
      <c r="L210" s="365"/>
      <c r="M210" s="365"/>
      <c r="N210" s="365"/>
      <c r="O210" s="233"/>
      <c r="P210" s="365"/>
      <c r="Q210" s="365"/>
      <c r="R210" s="365"/>
      <c r="S210" s="365"/>
      <c r="T210" s="365"/>
      <c r="U210" s="365"/>
      <c r="V210" s="365"/>
      <c r="W210" s="365"/>
      <c r="X210" s="365"/>
      <c r="Y210" s="365"/>
      <c r="Z210" s="365"/>
      <c r="AA210" s="365"/>
      <c r="AB210" s="365"/>
      <c r="AC210" s="365"/>
      <c r="AD210" s="365"/>
      <c r="AE210" s="365"/>
      <c r="AF210" s="365"/>
      <c r="AG210" s="365"/>
      <c r="AI210" s="365">
        <f t="shared" si="30"/>
        <v>0</v>
      </c>
    </row>
    <row r="211" spans="1:35" x14ac:dyDescent="0.2">
      <c r="B211" s="243" t="s">
        <v>4893</v>
      </c>
      <c r="C211" s="243"/>
      <c r="E211" s="365"/>
      <c r="F211" s="365"/>
      <c r="G211" s="365"/>
      <c r="H211" s="365"/>
      <c r="I211" s="365"/>
      <c r="J211" s="365"/>
      <c r="K211" s="365"/>
      <c r="L211" s="365"/>
      <c r="M211" s="365"/>
      <c r="N211" s="365"/>
      <c r="O211" s="233"/>
      <c r="P211" s="365"/>
      <c r="Q211" s="365"/>
      <c r="R211" s="365"/>
      <c r="S211" s="365"/>
      <c r="T211" s="365"/>
      <c r="U211" s="365"/>
      <c r="V211" s="365"/>
      <c r="W211" s="365"/>
      <c r="X211" s="365"/>
      <c r="Y211" s="365"/>
      <c r="Z211" s="365"/>
      <c r="AA211" s="365"/>
      <c r="AB211" s="365"/>
      <c r="AC211" s="365"/>
      <c r="AD211" s="365"/>
      <c r="AE211" s="365"/>
      <c r="AF211" s="365"/>
      <c r="AG211" s="365"/>
      <c r="AI211" s="365">
        <f t="shared" si="30"/>
        <v>0</v>
      </c>
    </row>
    <row r="212" spans="1:35" x14ac:dyDescent="0.2">
      <c r="A212" s="191">
        <v>2490</v>
      </c>
      <c r="B212" s="2881" t="s">
        <v>2780</v>
      </c>
      <c r="C212" s="2881"/>
      <c r="D212" s="1382" t="str">
        <f>IF(SUM(F212:N212)-E212=0,"OK","prob")</f>
        <v>prob</v>
      </c>
      <c r="E212" s="365">
        <v>1967185318.52</v>
      </c>
      <c r="F212" s="365">
        <v>891931769.46000004</v>
      </c>
      <c r="G212" s="365">
        <v>0</v>
      </c>
      <c r="H212" s="365">
        <v>0</v>
      </c>
      <c r="I212" s="365">
        <v>688581206.32000005</v>
      </c>
      <c r="J212" s="365">
        <v>15171175.02</v>
      </c>
      <c r="K212" s="365">
        <v>251372453</v>
      </c>
      <c r="L212" s="365"/>
      <c r="M212" s="365">
        <v>37012295.409999996</v>
      </c>
      <c r="N212" s="365">
        <v>83116419.310000002</v>
      </c>
      <c r="O212" s="233">
        <v>41985598.460000001</v>
      </c>
      <c r="P212" s="2134">
        <v>1808001963.6300001</v>
      </c>
      <c r="Q212" s="365">
        <v>948272060.75</v>
      </c>
      <c r="R212" s="365">
        <v>268285899.72999999</v>
      </c>
      <c r="S212" s="365">
        <v>389461807.94</v>
      </c>
      <c r="T212" s="365">
        <v>54593233.990000002</v>
      </c>
      <c r="U212" s="365">
        <v>222181944.78</v>
      </c>
      <c r="V212" s="365">
        <v>542787289.35000002</v>
      </c>
      <c r="W212" s="365">
        <v>177087196.43000001</v>
      </c>
      <c r="X212" s="365">
        <v>141776269.68000001</v>
      </c>
      <c r="Y212" s="365">
        <v>262678457.66</v>
      </c>
      <c r="Z212" s="365">
        <v>76490406.219999999</v>
      </c>
      <c r="AA212" s="365">
        <v>65165011.270000003</v>
      </c>
      <c r="AB212" s="365">
        <v>33996700.68</v>
      </c>
      <c r="AC212" s="365">
        <v>69571459.290000007</v>
      </c>
      <c r="AD212" s="365">
        <v>115664935.29000001</v>
      </c>
      <c r="AE212" s="365">
        <v>42442016.729999997</v>
      </c>
      <c r="AF212" s="790">
        <v>0</v>
      </c>
      <c r="AG212" s="365">
        <v>2257865.9900000002</v>
      </c>
      <c r="AI212" s="365">
        <f t="shared" si="30"/>
        <v>7227627570.3999996</v>
      </c>
    </row>
    <row r="213" spans="1:35" x14ac:dyDescent="0.2">
      <c r="A213" s="191">
        <v>2510</v>
      </c>
      <c r="B213" s="2881" t="s">
        <v>2781</v>
      </c>
      <c r="C213" s="2881"/>
      <c r="D213" s="1382" t="str">
        <f>IF(ROUND(SUM(F213:N213),2)-ROUND(E213,2)=0,"OK","prob")</f>
        <v>prob</v>
      </c>
      <c r="E213" s="365">
        <v>1326666298.4200001</v>
      </c>
      <c r="F213" s="365">
        <v>838239842</v>
      </c>
      <c r="G213" s="365">
        <v>98329773.659999996</v>
      </c>
      <c r="H213" s="365">
        <v>0</v>
      </c>
      <c r="I213" s="365">
        <v>398371843.91000003</v>
      </c>
      <c r="J213" s="365">
        <v>3192516.08</v>
      </c>
      <c r="K213" s="365">
        <v>23634377</v>
      </c>
      <c r="L213" s="365"/>
      <c r="M213" s="365">
        <v>8483136.4900000002</v>
      </c>
      <c r="N213" s="365">
        <v>29730110.859999999</v>
      </c>
      <c r="O213" s="233">
        <v>3069752.27</v>
      </c>
      <c r="P213" s="789">
        <v>199229192.38</v>
      </c>
      <c r="Q213" s="365">
        <v>104975885.59</v>
      </c>
      <c r="R213" s="365">
        <v>23179433.280000001</v>
      </c>
      <c r="S213" s="365">
        <v>35754773.030000001</v>
      </c>
      <c r="T213" s="365">
        <v>5048616.33</v>
      </c>
      <c r="U213" s="365">
        <v>22638065</v>
      </c>
      <c r="V213" s="365">
        <v>54958955.469999999</v>
      </c>
      <c r="W213" s="365">
        <v>30016347.280000001</v>
      </c>
      <c r="X213" s="365">
        <v>19051594.23</v>
      </c>
      <c r="Y213" s="365">
        <v>24471645.75</v>
      </c>
      <c r="Z213" s="365">
        <v>8214855.4400000004</v>
      </c>
      <c r="AA213" s="365">
        <v>16572456.74</v>
      </c>
      <c r="AB213" s="365">
        <v>15641092.67</v>
      </c>
      <c r="AC213" s="365">
        <v>16532731.130000001</v>
      </c>
      <c r="AD213" s="365">
        <v>45329410.950000003</v>
      </c>
      <c r="AE213" s="365">
        <v>5830201.2999999998</v>
      </c>
      <c r="AF213" s="790">
        <v>416408.27</v>
      </c>
      <c r="AG213" s="365">
        <v>34339.480000000003</v>
      </c>
      <c r="AI213" s="365">
        <f t="shared" si="30"/>
        <v>2030913017.1099999</v>
      </c>
    </row>
    <row r="214" spans="1:35" x14ac:dyDescent="0.2">
      <c r="A214" s="191">
        <v>2520</v>
      </c>
      <c r="B214" s="2881" t="s">
        <v>2782</v>
      </c>
      <c r="C214" s="2881"/>
      <c r="D214" s="1382" t="str">
        <f t="shared" ref="D214:D219" si="33">IF(SUM(F214:N214)-E214=0,"OK","prob")</f>
        <v>prob</v>
      </c>
      <c r="E214" s="365">
        <v>704528219.63</v>
      </c>
      <c r="F214" s="365">
        <v>445502722</v>
      </c>
      <c r="G214" s="365">
        <v>0</v>
      </c>
      <c r="H214" s="365">
        <v>167759</v>
      </c>
      <c r="I214" s="365">
        <v>227038694.40000001</v>
      </c>
      <c r="J214" s="365">
        <v>21586794.960000001</v>
      </c>
      <c r="K214" s="365">
        <v>66754461</v>
      </c>
      <c r="L214" s="365"/>
      <c r="M214" s="365">
        <v>20217141.140000001</v>
      </c>
      <c r="N214" s="365">
        <v>35042484.450000003</v>
      </c>
      <c r="O214" s="233">
        <v>38272226.390000001</v>
      </c>
      <c r="P214" s="789">
        <v>905856583.84000003</v>
      </c>
      <c r="Q214" s="365">
        <v>251325944.77000001</v>
      </c>
      <c r="R214" s="365">
        <v>62948427.909999996</v>
      </c>
      <c r="S214" s="365">
        <v>96848982.939999998</v>
      </c>
      <c r="T214" s="365">
        <v>14876106.08</v>
      </c>
      <c r="U214" s="365">
        <v>67428681.659999996</v>
      </c>
      <c r="V214" s="365">
        <v>126579016.95999999</v>
      </c>
      <c r="W214" s="365">
        <v>63938025.609999999</v>
      </c>
      <c r="X214" s="365">
        <v>43309066.289999999</v>
      </c>
      <c r="Y214" s="365">
        <v>60103207.280000001</v>
      </c>
      <c r="Z214" s="365">
        <v>30725821.52</v>
      </c>
      <c r="AA214" s="365">
        <v>28014799.510000002</v>
      </c>
      <c r="AB214" s="365">
        <v>16367355.91</v>
      </c>
      <c r="AC214" s="365">
        <v>24419841.760000002</v>
      </c>
      <c r="AD214" s="365">
        <v>45845711.079999998</v>
      </c>
      <c r="AE214" s="365">
        <v>11340920.17</v>
      </c>
      <c r="AF214" s="790">
        <v>2115516.7000000002</v>
      </c>
      <c r="AG214" s="365">
        <v>1832920.6</v>
      </c>
      <c r="AI214" s="365">
        <f t="shared" si="30"/>
        <v>2706626293.3299999</v>
      </c>
    </row>
    <row r="215" spans="1:35" x14ac:dyDescent="0.2">
      <c r="A215" s="191">
        <v>2550</v>
      </c>
      <c r="B215" s="2881" t="s">
        <v>2783</v>
      </c>
      <c r="C215" s="2881"/>
      <c r="D215" t="str">
        <f t="shared" si="33"/>
        <v>OK</v>
      </c>
      <c r="E215" s="365">
        <v>0</v>
      </c>
      <c r="F215" s="365">
        <v>0</v>
      </c>
      <c r="G215" s="365">
        <v>0</v>
      </c>
      <c r="H215" s="365">
        <v>0</v>
      </c>
      <c r="I215" s="365">
        <v>0</v>
      </c>
      <c r="J215" s="365">
        <v>0</v>
      </c>
      <c r="K215" s="365">
        <v>0</v>
      </c>
      <c r="L215" s="365"/>
      <c r="M215" s="365">
        <v>0</v>
      </c>
      <c r="N215" s="365">
        <v>0</v>
      </c>
      <c r="O215" s="233">
        <v>0</v>
      </c>
      <c r="P215" s="789">
        <v>24129478.379999999</v>
      </c>
      <c r="Q215" s="365">
        <v>32434348.489999998</v>
      </c>
      <c r="R215" s="365">
        <v>282500.56</v>
      </c>
      <c r="S215" s="365">
        <v>5031809.25</v>
      </c>
      <c r="T215" s="365">
        <v>12378.09</v>
      </c>
      <c r="U215" s="365">
        <v>1421813.5</v>
      </c>
      <c r="V215" s="365">
        <v>31796433.329999998</v>
      </c>
      <c r="W215" s="365">
        <v>0</v>
      </c>
      <c r="X215" s="365">
        <v>7590033.9100000001</v>
      </c>
      <c r="Y215" s="365">
        <v>37162528.659999996</v>
      </c>
      <c r="Z215" s="365">
        <v>0</v>
      </c>
      <c r="AA215" s="365">
        <v>75000</v>
      </c>
      <c r="AB215" s="365">
        <v>75000</v>
      </c>
      <c r="AC215" s="365">
        <v>0</v>
      </c>
      <c r="AD215" s="365">
        <v>0</v>
      </c>
      <c r="AE215" s="233">
        <v>0</v>
      </c>
      <c r="AF215" s="790">
        <v>0</v>
      </c>
      <c r="AG215" s="365">
        <v>381131.63</v>
      </c>
      <c r="AI215" s="365">
        <f t="shared" si="30"/>
        <v>140011324.16999999</v>
      </c>
    </row>
    <row r="216" spans="1:35" x14ac:dyDescent="0.2">
      <c r="A216" s="191">
        <v>2540</v>
      </c>
      <c r="B216" s="2881" t="s">
        <v>2784</v>
      </c>
      <c r="C216" s="2881"/>
      <c r="D216" s="1382" t="str">
        <f t="shared" si="33"/>
        <v>prob</v>
      </c>
      <c r="E216" s="365">
        <v>5353545</v>
      </c>
      <c r="F216" s="365">
        <v>0</v>
      </c>
      <c r="G216" s="365">
        <v>0</v>
      </c>
      <c r="H216" s="365">
        <v>6888151</v>
      </c>
      <c r="I216" s="365">
        <v>0</v>
      </c>
      <c r="J216" s="365">
        <v>0</v>
      </c>
      <c r="K216" s="365">
        <v>0</v>
      </c>
      <c r="L216" s="365"/>
      <c r="M216" s="365">
        <v>0</v>
      </c>
      <c r="N216" s="365">
        <v>0</v>
      </c>
      <c r="O216" s="233">
        <v>0</v>
      </c>
      <c r="P216" s="789">
        <v>133182.09</v>
      </c>
      <c r="Q216" s="365">
        <v>91168.2</v>
      </c>
      <c r="R216" s="365">
        <v>162421.47</v>
      </c>
      <c r="S216" s="365">
        <v>16734.240000000002</v>
      </c>
      <c r="T216" s="365">
        <v>3827.88</v>
      </c>
      <c r="U216" s="365">
        <v>101386.03</v>
      </c>
      <c r="V216" s="365">
        <v>37458.239999999998</v>
      </c>
      <c r="W216" s="365">
        <v>54063.360000000001</v>
      </c>
      <c r="X216" s="365">
        <v>55163.4</v>
      </c>
      <c r="Y216" s="365">
        <v>57903.27</v>
      </c>
      <c r="Z216" s="365">
        <v>0</v>
      </c>
      <c r="AA216" s="365">
        <v>23044.12</v>
      </c>
      <c r="AB216" s="365">
        <v>30970.68</v>
      </c>
      <c r="AC216" s="365">
        <v>0</v>
      </c>
      <c r="AD216" s="365">
        <v>0</v>
      </c>
      <c r="AE216" s="365">
        <v>26394.71</v>
      </c>
      <c r="AF216" s="790">
        <v>0</v>
      </c>
      <c r="AG216" s="365">
        <v>0</v>
      </c>
      <c r="AI216" s="365">
        <f t="shared" si="30"/>
        <v>7681868.6900000004</v>
      </c>
    </row>
    <row r="217" spans="1:35" x14ac:dyDescent="0.2">
      <c r="A217" s="191">
        <v>2560</v>
      </c>
      <c r="B217" s="2881" t="s">
        <v>676</v>
      </c>
      <c r="C217" s="2881"/>
      <c r="D217" t="str">
        <f t="shared" si="33"/>
        <v>OK</v>
      </c>
      <c r="E217" s="365">
        <v>268263248.49000001</v>
      </c>
      <c r="F217" s="365">
        <v>98655540</v>
      </c>
      <c r="G217" s="365">
        <v>60369038.68</v>
      </c>
      <c r="H217" s="365">
        <v>0</v>
      </c>
      <c r="I217" s="365">
        <v>72293752.650000006</v>
      </c>
      <c r="J217" s="365">
        <v>2433523.39</v>
      </c>
      <c r="K217" s="365">
        <v>21853923</v>
      </c>
      <c r="L217" s="365"/>
      <c r="M217" s="365">
        <v>2544863.2999999998</v>
      </c>
      <c r="N217" s="365">
        <v>10112607.470000001</v>
      </c>
      <c r="O217" s="233">
        <v>4879822.5599999996</v>
      </c>
      <c r="P217" s="789">
        <v>186182852.97</v>
      </c>
      <c r="Q217" s="365">
        <v>132433925.86</v>
      </c>
      <c r="R217" s="365">
        <v>27400550.390000001</v>
      </c>
      <c r="S217" s="365">
        <v>36921035.229999997</v>
      </c>
      <c r="T217" s="365">
        <v>7644622.8399999999</v>
      </c>
      <c r="U217" s="365">
        <v>16644614.199999999</v>
      </c>
      <c r="V217" s="365">
        <v>41821418.130000003</v>
      </c>
      <c r="W217" s="365">
        <v>16621441.109999999</v>
      </c>
      <c r="X217" s="365">
        <v>11616696.359999999</v>
      </c>
      <c r="Y217" s="365">
        <v>28989534.800000001</v>
      </c>
      <c r="Z217" s="365">
        <v>9274268.6699999999</v>
      </c>
      <c r="AA217" s="365">
        <v>9637796.7899999991</v>
      </c>
      <c r="AB217" s="365">
        <v>4748306.38</v>
      </c>
      <c r="AC217" s="365">
        <v>4698401.79</v>
      </c>
      <c r="AD217" s="365">
        <v>9069940.4800000004</v>
      </c>
      <c r="AE217" s="365">
        <v>4699370.9800000004</v>
      </c>
      <c r="AF217" s="790">
        <v>2439731.23</v>
      </c>
      <c r="AG217" s="365">
        <v>190832.29</v>
      </c>
      <c r="AI217" s="365">
        <f t="shared" si="30"/>
        <v>823987579.25999999</v>
      </c>
    </row>
    <row r="218" spans="1:35" x14ac:dyDescent="0.2">
      <c r="A218" s="191">
        <v>2570</v>
      </c>
      <c r="B218" s="2881" t="s">
        <v>2785</v>
      </c>
      <c r="C218" s="2881"/>
      <c r="D218" t="str">
        <f t="shared" si="33"/>
        <v>OK</v>
      </c>
      <c r="E218" s="365">
        <v>10149951.26</v>
      </c>
      <c r="F218" s="365">
        <v>0</v>
      </c>
      <c r="G218" s="365">
        <v>0</v>
      </c>
      <c r="H218" s="365">
        <v>0</v>
      </c>
      <c r="I218" s="365">
        <v>7327574.0999999996</v>
      </c>
      <c r="J218" s="365">
        <v>0</v>
      </c>
      <c r="K218" s="365">
        <v>1594880</v>
      </c>
      <c r="L218" s="365"/>
      <c r="M218" s="365">
        <v>443400.28</v>
      </c>
      <c r="N218" s="365">
        <v>784096.88</v>
      </c>
      <c r="O218" s="233">
        <v>528145.28</v>
      </c>
      <c r="P218" s="789">
        <v>14338807.85</v>
      </c>
      <c r="Q218" s="365">
        <v>5352338.43</v>
      </c>
      <c r="R218" s="365">
        <v>1929108.19</v>
      </c>
      <c r="S218" s="365">
        <v>11125308.92</v>
      </c>
      <c r="T218" s="365">
        <v>602068.61</v>
      </c>
      <c r="U218" s="365">
        <v>4397209.05</v>
      </c>
      <c r="V218" s="365">
        <v>7153941.46</v>
      </c>
      <c r="W218" s="365">
        <v>1315272.17</v>
      </c>
      <c r="X218" s="365">
        <v>1317745.9099999999</v>
      </c>
      <c r="Y218" s="365">
        <v>2390271.63</v>
      </c>
      <c r="Z218" s="365">
        <v>2403606.96</v>
      </c>
      <c r="AA218" s="365">
        <v>1866608.21</v>
      </c>
      <c r="AB218" s="365">
        <v>1623038.12</v>
      </c>
      <c r="AC218" s="365">
        <v>0</v>
      </c>
      <c r="AD218" s="365">
        <v>873517.61</v>
      </c>
      <c r="AE218" s="365">
        <v>553206.11</v>
      </c>
      <c r="AF218" s="790">
        <v>112811.05</v>
      </c>
      <c r="AG218" s="365">
        <v>23897.919999999998</v>
      </c>
      <c r="AI218" s="365">
        <f t="shared" si="30"/>
        <v>68032956.819999993</v>
      </c>
    </row>
    <row r="219" spans="1:35" x14ac:dyDescent="0.2">
      <c r="A219" s="191">
        <v>2590</v>
      </c>
      <c r="B219" s="2881" t="s">
        <v>2786</v>
      </c>
      <c r="C219" s="2881"/>
      <c r="D219" t="str">
        <f t="shared" si="33"/>
        <v>OK</v>
      </c>
      <c r="E219" s="365">
        <v>0</v>
      </c>
      <c r="F219" s="365">
        <v>0</v>
      </c>
      <c r="G219" s="365">
        <v>0</v>
      </c>
      <c r="H219" s="365">
        <v>0</v>
      </c>
      <c r="I219" s="365">
        <v>0</v>
      </c>
      <c r="J219" s="365">
        <v>0</v>
      </c>
      <c r="K219" s="365">
        <v>0</v>
      </c>
      <c r="L219" s="365"/>
      <c r="M219" s="365">
        <v>0</v>
      </c>
      <c r="N219" s="365">
        <v>0</v>
      </c>
      <c r="O219" s="233">
        <v>0</v>
      </c>
      <c r="P219" s="789">
        <v>132926511.45999999</v>
      </c>
      <c r="Q219" s="365">
        <v>79015638.75</v>
      </c>
      <c r="R219" s="365">
        <v>51257344.979999997</v>
      </c>
      <c r="S219" s="365">
        <v>75441676.769999996</v>
      </c>
      <c r="T219" s="365">
        <v>7480472.4900000002</v>
      </c>
      <c r="U219" s="365">
        <v>30781405.25</v>
      </c>
      <c r="V219" s="365">
        <v>69777378.400000006</v>
      </c>
      <c r="W219" s="365">
        <v>43929545.079999998</v>
      </c>
      <c r="X219" s="365">
        <v>28853252.16</v>
      </c>
      <c r="Y219" s="365">
        <v>40406521.890000001</v>
      </c>
      <c r="Z219" s="365">
        <v>24615467.59</v>
      </c>
      <c r="AA219" s="365">
        <v>32041422.260000002</v>
      </c>
      <c r="AB219" s="365">
        <v>13581865.52</v>
      </c>
      <c r="AC219" s="365">
        <v>23320168.629999999</v>
      </c>
      <c r="AD219" s="365">
        <v>46950821.450000003</v>
      </c>
      <c r="AE219" s="365">
        <v>3080239.29</v>
      </c>
      <c r="AF219" s="790">
        <v>0</v>
      </c>
      <c r="AG219" s="365">
        <v>0</v>
      </c>
      <c r="AI219" s="365">
        <f t="shared" si="30"/>
        <v>703459731.97000003</v>
      </c>
    </row>
    <row r="220" spans="1:35" x14ac:dyDescent="0.2">
      <c r="A220" s="191"/>
      <c r="B220" s="191" t="s">
        <v>1361</v>
      </c>
      <c r="C220" s="191"/>
      <c r="E220" s="365"/>
      <c r="F220" s="365"/>
      <c r="G220" s="365"/>
      <c r="H220" s="365"/>
      <c r="I220" s="365"/>
      <c r="J220" s="365"/>
      <c r="K220" s="365"/>
      <c r="L220" s="365"/>
      <c r="M220" s="365"/>
      <c r="N220" s="365"/>
      <c r="O220" s="233"/>
      <c r="P220" s="789"/>
      <c r="Q220" s="365"/>
      <c r="R220" s="365"/>
      <c r="S220" s="365"/>
      <c r="T220" s="365"/>
      <c r="U220" s="365"/>
      <c r="V220" s="365"/>
      <c r="W220" s="365"/>
      <c r="X220" s="365"/>
      <c r="Y220" s="365"/>
      <c r="Z220" s="365"/>
      <c r="AA220" s="365"/>
      <c r="AB220" s="365"/>
      <c r="AC220" s="365"/>
      <c r="AD220" s="365"/>
      <c r="AE220" s="365"/>
      <c r="AF220" s="790"/>
      <c r="AG220" s="365"/>
      <c r="AI220" s="365">
        <f t="shared" si="30"/>
        <v>0</v>
      </c>
    </row>
    <row r="221" spans="1:35" x14ac:dyDescent="0.2">
      <c r="A221" s="191">
        <v>2610</v>
      </c>
      <c r="B221" s="2987" t="s">
        <v>2787</v>
      </c>
      <c r="C221" s="2987"/>
      <c r="D221" t="str">
        <f>IF(SUM(F221:N221)-E221=0,"OK","prob")</f>
        <v>OK</v>
      </c>
      <c r="E221" s="365">
        <v>1382477</v>
      </c>
      <c r="F221" s="365">
        <v>1382477</v>
      </c>
      <c r="G221" s="365">
        <v>0</v>
      </c>
      <c r="H221" s="365">
        <v>0</v>
      </c>
      <c r="I221" s="365">
        <v>0</v>
      </c>
      <c r="J221" s="365">
        <v>0</v>
      </c>
      <c r="K221" s="365">
        <v>0</v>
      </c>
      <c r="L221" s="365"/>
      <c r="M221" s="365">
        <v>0</v>
      </c>
      <c r="N221" s="365">
        <v>0</v>
      </c>
      <c r="O221" s="233">
        <v>3502446.92</v>
      </c>
      <c r="P221" s="789">
        <v>26599420.460000001</v>
      </c>
      <c r="Q221" s="365">
        <v>24983474.84</v>
      </c>
      <c r="R221" s="365">
        <v>5983640.5700000003</v>
      </c>
      <c r="S221" s="365">
        <v>9683123.8100000005</v>
      </c>
      <c r="T221" s="365">
        <v>1405782.4</v>
      </c>
      <c r="U221" s="365">
        <v>3684472.38</v>
      </c>
      <c r="V221" s="365">
        <v>13512127.93</v>
      </c>
      <c r="W221" s="365">
        <v>5875812.2199999997</v>
      </c>
      <c r="X221" s="365">
        <v>3452480.73</v>
      </c>
      <c r="Y221" s="365">
        <v>4980554.1500000004</v>
      </c>
      <c r="Z221" s="365">
        <v>3286289.85</v>
      </c>
      <c r="AA221" s="365">
        <v>5720305.9199999999</v>
      </c>
      <c r="AB221" s="365">
        <v>3375992.78</v>
      </c>
      <c r="AC221" s="365">
        <v>3150144.87</v>
      </c>
      <c r="AD221" s="365">
        <v>4396155.05</v>
      </c>
      <c r="AE221" s="365">
        <v>1835479.54</v>
      </c>
      <c r="AF221" s="790">
        <v>236250</v>
      </c>
      <c r="AG221" s="365">
        <v>0</v>
      </c>
      <c r="AI221" s="365">
        <f t="shared" si="30"/>
        <v>127046431.42</v>
      </c>
    </row>
    <row r="222" spans="1:35" x14ac:dyDescent="0.2">
      <c r="A222" s="191">
        <v>2625</v>
      </c>
      <c r="B222" s="2987" t="s">
        <v>2788</v>
      </c>
      <c r="C222" s="2987"/>
      <c r="D222" t="str">
        <f>IF(SUM(F222:N222)-E222=0,"OK","prob")</f>
        <v>OK</v>
      </c>
      <c r="E222" s="365">
        <v>0</v>
      </c>
      <c r="F222" s="365">
        <v>0</v>
      </c>
      <c r="G222" s="365">
        <v>0</v>
      </c>
      <c r="H222" s="365">
        <v>0</v>
      </c>
      <c r="I222" s="365">
        <v>0</v>
      </c>
      <c r="J222" s="365">
        <v>0</v>
      </c>
      <c r="K222" s="365">
        <v>0</v>
      </c>
      <c r="L222" s="365"/>
      <c r="M222" s="365">
        <v>0</v>
      </c>
      <c r="N222" s="365">
        <v>0</v>
      </c>
      <c r="O222" s="233">
        <v>0</v>
      </c>
      <c r="P222" s="789">
        <v>100000</v>
      </c>
      <c r="Q222" s="365">
        <v>0</v>
      </c>
      <c r="R222" s="365">
        <v>5822321.2699999996</v>
      </c>
      <c r="S222" s="365">
        <v>3991736.65</v>
      </c>
      <c r="T222" s="365">
        <v>76414.3</v>
      </c>
      <c r="U222" s="365">
        <v>366304.7</v>
      </c>
      <c r="V222" s="365">
        <v>0</v>
      </c>
      <c r="W222" s="365">
        <v>267052.44</v>
      </c>
      <c r="X222" s="365">
        <v>42641.01</v>
      </c>
      <c r="Y222" s="365">
        <v>0</v>
      </c>
      <c r="Z222" s="365">
        <v>0</v>
      </c>
      <c r="AA222" s="365">
        <v>333511.78999999998</v>
      </c>
      <c r="AB222" s="365">
        <v>0</v>
      </c>
      <c r="AC222" s="365">
        <v>0</v>
      </c>
      <c r="AD222" s="365">
        <v>2168267.77</v>
      </c>
      <c r="AE222" s="365">
        <v>0</v>
      </c>
      <c r="AF222" s="790">
        <v>0</v>
      </c>
      <c r="AG222" s="365">
        <v>0</v>
      </c>
      <c r="AI222" s="365">
        <f t="shared" si="30"/>
        <v>13168249.93</v>
      </c>
    </row>
    <row r="223" spans="1:35" x14ac:dyDescent="0.2">
      <c r="A223" s="191">
        <v>2630</v>
      </c>
      <c r="B223" s="2987" t="s">
        <v>2789</v>
      </c>
      <c r="C223" s="2987"/>
      <c r="D223" t="str">
        <f>IF(SUM(F223:N223)-E223=0,"OK","prob")</f>
        <v>OK</v>
      </c>
      <c r="E223" s="367">
        <v>50556729.159999996</v>
      </c>
      <c r="F223" s="367">
        <v>0</v>
      </c>
      <c r="G223" s="367">
        <v>45318747.75</v>
      </c>
      <c r="H223" s="367">
        <v>0</v>
      </c>
      <c r="I223" s="367">
        <v>0</v>
      </c>
      <c r="J223" s="367">
        <v>2279239.41</v>
      </c>
      <c r="K223" s="367">
        <v>2958742</v>
      </c>
      <c r="L223" s="367"/>
      <c r="M223" s="367">
        <v>0</v>
      </c>
      <c r="N223" s="367">
        <v>0</v>
      </c>
      <c r="O223" s="233">
        <v>681480.4</v>
      </c>
      <c r="P223" s="789">
        <v>18988376.52</v>
      </c>
      <c r="Q223" s="365">
        <v>32686839.789999999</v>
      </c>
      <c r="R223" s="365">
        <v>1506826.79</v>
      </c>
      <c r="S223" s="365">
        <v>4719758.0999999996</v>
      </c>
      <c r="T223" s="365">
        <v>1120575.19</v>
      </c>
      <c r="U223" s="367">
        <v>1486301.27</v>
      </c>
      <c r="V223" s="367">
        <v>3347628.15</v>
      </c>
      <c r="W223" s="367">
        <v>2430970.86</v>
      </c>
      <c r="X223" s="367">
        <v>2441706.0699999998</v>
      </c>
      <c r="Y223" s="367">
        <v>3904305.19</v>
      </c>
      <c r="Z223" s="367">
        <v>0</v>
      </c>
      <c r="AA223" s="367">
        <v>1374517.19</v>
      </c>
      <c r="AB223" s="367">
        <v>255088.96</v>
      </c>
      <c r="AC223" s="367">
        <v>4680262.17</v>
      </c>
      <c r="AD223" s="367">
        <v>632951.93999999994</v>
      </c>
      <c r="AE223" s="367">
        <v>771615.58</v>
      </c>
      <c r="AF223" s="1212">
        <v>1514525.46</v>
      </c>
      <c r="AG223" s="367">
        <v>84280.56</v>
      </c>
      <c r="AI223" s="365">
        <f t="shared" si="30"/>
        <v>133100458.79000001</v>
      </c>
    </row>
    <row r="224" spans="1:35" x14ac:dyDescent="0.2">
      <c r="B224" s="2881" t="s">
        <v>4894</v>
      </c>
      <c r="C224" s="2881"/>
      <c r="D224" s="1382" t="str">
        <f>IF(SUM(F224:N224)-E224=0,"OK","prob")</f>
        <v>prob</v>
      </c>
      <c r="E224" s="403">
        <f t="shared" ref="E224:AG224" si="34">SUM(E212:E223)</f>
        <v>4334085787.4799995</v>
      </c>
      <c r="F224" s="403">
        <f t="shared" si="34"/>
        <v>2275712350.46</v>
      </c>
      <c r="G224" s="403">
        <f t="shared" si="34"/>
        <v>204017560.09</v>
      </c>
      <c r="H224" s="403">
        <f t="shared" si="34"/>
        <v>7055910</v>
      </c>
      <c r="I224" s="403">
        <f t="shared" si="34"/>
        <v>1393613071.3800001</v>
      </c>
      <c r="J224" s="403">
        <f t="shared" si="34"/>
        <v>44663248.859999999</v>
      </c>
      <c r="K224" s="403">
        <f t="shared" si="34"/>
        <v>368168836</v>
      </c>
      <c r="L224" s="403">
        <f>SUM(L212:L223)</f>
        <v>0</v>
      </c>
      <c r="M224" s="403">
        <f>SUM(M212:M223)</f>
        <v>68700836.620000005</v>
      </c>
      <c r="N224" s="403">
        <f>SUM(N212:N223)</f>
        <v>158785718.97</v>
      </c>
      <c r="O224" s="403">
        <f t="shared" si="34"/>
        <v>92919472.280000001</v>
      </c>
      <c r="P224" s="403">
        <f t="shared" si="34"/>
        <v>3316486369.5799999</v>
      </c>
      <c r="Q224" s="403">
        <f t="shared" si="34"/>
        <v>1611571625.47</v>
      </c>
      <c r="R224" s="403">
        <f t="shared" si="34"/>
        <v>448758475.13999999</v>
      </c>
      <c r="S224" s="403">
        <f t="shared" si="34"/>
        <v>668996746.88</v>
      </c>
      <c r="T224" s="403">
        <f t="shared" si="34"/>
        <v>92864098.200000003</v>
      </c>
      <c r="U224" s="403">
        <f t="shared" si="34"/>
        <v>371132197.81999999</v>
      </c>
      <c r="V224" s="403">
        <f t="shared" si="34"/>
        <v>891771647.41999996</v>
      </c>
      <c r="W224" s="403">
        <f t="shared" si="34"/>
        <v>341535726.56</v>
      </c>
      <c r="X224" s="403">
        <f t="shared" si="34"/>
        <v>259506649.75</v>
      </c>
      <c r="Y224" s="403">
        <f t="shared" si="34"/>
        <v>465144930.27999997</v>
      </c>
      <c r="Z224" s="403">
        <f t="shared" si="34"/>
        <v>155010716.25</v>
      </c>
      <c r="AA224" s="403">
        <f t="shared" si="34"/>
        <v>160824473.80000001</v>
      </c>
      <c r="AB224" s="403">
        <f t="shared" si="34"/>
        <v>89695411.700000003</v>
      </c>
      <c r="AC224" s="403">
        <f t="shared" si="34"/>
        <v>146373009.63999999</v>
      </c>
      <c r="AD224" s="403">
        <f t="shared" si="34"/>
        <v>270931711.62</v>
      </c>
      <c r="AE224" s="403">
        <f t="shared" si="34"/>
        <v>70579444.409999996</v>
      </c>
      <c r="AF224" s="403">
        <f t="shared" si="34"/>
        <v>6835242.71</v>
      </c>
      <c r="AG224" s="403">
        <f t="shared" si="34"/>
        <v>4805268.47</v>
      </c>
      <c r="AI224" s="365">
        <f t="shared" si="30"/>
        <v>13981655481.889999</v>
      </c>
    </row>
    <row r="225" spans="1:35" x14ac:dyDescent="0.2">
      <c r="B225" s="2881" t="s">
        <v>4895</v>
      </c>
      <c r="C225" s="2881"/>
      <c r="D225" t="str">
        <f>IF(SUM(F225:N225)-E225=0,"OK","prob")</f>
        <v>OK</v>
      </c>
      <c r="E225" s="403">
        <f t="shared" ref="E225:AG225" si="35">E209-E224</f>
        <v>333008096.70999998</v>
      </c>
      <c r="F225" s="403">
        <f t="shared" si="35"/>
        <v>272000738.54000002</v>
      </c>
      <c r="G225" s="403">
        <f t="shared" si="35"/>
        <v>111508773.84</v>
      </c>
      <c r="H225" s="403">
        <f t="shared" si="35"/>
        <v>-3105910</v>
      </c>
      <c r="I225" s="403">
        <f t="shared" si="35"/>
        <v>21031153</v>
      </c>
      <c r="J225" s="403">
        <f t="shared" si="35"/>
        <v>-1362344.51</v>
      </c>
      <c r="K225" s="403">
        <f t="shared" si="35"/>
        <v>-54266911</v>
      </c>
      <c r="L225" s="403">
        <f>L209-L224</f>
        <v>0</v>
      </c>
      <c r="M225" s="403">
        <f>M209-M224</f>
        <v>-9900144.2899999991</v>
      </c>
      <c r="N225" s="403">
        <f>N209-N224</f>
        <v>-2897258.87</v>
      </c>
      <c r="O225" s="403">
        <f t="shared" si="35"/>
        <v>-81130386.370000005</v>
      </c>
      <c r="P225" s="403">
        <f t="shared" si="35"/>
        <v>-743531180.64999998</v>
      </c>
      <c r="Q225" s="403">
        <f t="shared" si="35"/>
        <v>-601213857.24000001</v>
      </c>
      <c r="R225" s="403">
        <f t="shared" si="35"/>
        <v>-252981899.56</v>
      </c>
      <c r="S225" s="403">
        <f t="shared" si="35"/>
        <v>-288287755.81999999</v>
      </c>
      <c r="T225" s="403">
        <f t="shared" si="35"/>
        <v>-54919620.439999998</v>
      </c>
      <c r="U225" s="403">
        <f t="shared" si="35"/>
        <v>-175036404.44999999</v>
      </c>
      <c r="V225" s="403">
        <f t="shared" si="35"/>
        <v>-305601757.44999999</v>
      </c>
      <c r="W225" s="403">
        <f t="shared" si="35"/>
        <v>-184684352.94</v>
      </c>
      <c r="X225" s="403">
        <f t="shared" si="35"/>
        <v>-165870826.22</v>
      </c>
      <c r="Y225" s="403">
        <f t="shared" si="35"/>
        <v>-206273174.61000001</v>
      </c>
      <c r="Z225" s="403">
        <f t="shared" si="35"/>
        <v>-118190364.69</v>
      </c>
      <c r="AA225" s="403">
        <f t="shared" si="35"/>
        <v>-110811748.90000001</v>
      </c>
      <c r="AB225" s="403">
        <f t="shared" si="35"/>
        <v>-74588552.739999995</v>
      </c>
      <c r="AC225" s="403">
        <f t="shared" si="35"/>
        <v>-118002068.97</v>
      </c>
      <c r="AD225" s="403">
        <f t="shared" si="35"/>
        <v>-178163224.81</v>
      </c>
      <c r="AE225" s="403">
        <f t="shared" si="35"/>
        <v>-44536641.380000003</v>
      </c>
      <c r="AF225" s="403">
        <f t="shared" si="35"/>
        <v>-1423615.51</v>
      </c>
      <c r="AG225" s="403">
        <f t="shared" si="35"/>
        <v>-1254572.1499999999</v>
      </c>
      <c r="AI225" s="365">
        <f t="shared" si="30"/>
        <v>-3372239336.04</v>
      </c>
    </row>
    <row r="226" spans="1:35" x14ac:dyDescent="0.2">
      <c r="B226" s="2347"/>
      <c r="C226" s="2347"/>
      <c r="E226" s="365"/>
      <c r="F226" s="365"/>
      <c r="G226" s="365"/>
      <c r="H226" s="365"/>
      <c r="I226" s="365"/>
      <c r="J226" s="365"/>
      <c r="K226" s="365"/>
      <c r="L226" s="365"/>
      <c r="M226" s="365"/>
      <c r="N226" s="365"/>
      <c r="O226" s="233"/>
      <c r="P226" s="365"/>
      <c r="Q226" s="365"/>
      <c r="R226" s="365"/>
      <c r="S226" s="365"/>
      <c r="T226" s="365"/>
      <c r="U226" s="365"/>
      <c r="V226" s="365"/>
      <c r="W226" s="365"/>
      <c r="X226" s="365"/>
      <c r="Y226" s="365"/>
      <c r="Z226" s="365"/>
      <c r="AA226" s="365"/>
      <c r="AB226" s="365"/>
      <c r="AC226" s="365"/>
      <c r="AD226" s="365"/>
      <c r="AE226" s="365"/>
      <c r="AF226" s="365"/>
      <c r="AG226" s="365"/>
      <c r="AI226" s="365">
        <f t="shared" si="30"/>
        <v>0</v>
      </c>
    </row>
    <row r="227" spans="1:35" x14ac:dyDescent="0.2">
      <c r="B227" s="234" t="s">
        <v>2792</v>
      </c>
      <c r="E227" s="365"/>
      <c r="F227" s="365"/>
      <c r="G227" s="365"/>
      <c r="H227" s="365"/>
      <c r="I227" s="365"/>
      <c r="J227" s="365"/>
      <c r="K227" s="365"/>
      <c r="L227" s="365"/>
      <c r="M227" s="365"/>
      <c r="N227" s="365"/>
      <c r="O227" s="233"/>
      <c r="P227" s="365"/>
      <c r="Q227" s="365"/>
      <c r="R227" s="365"/>
      <c r="S227" s="2013"/>
      <c r="T227" s="365"/>
      <c r="U227" s="365"/>
      <c r="V227" s="365"/>
      <c r="W227" s="365"/>
      <c r="X227" s="365"/>
      <c r="Y227" s="365"/>
      <c r="Z227" s="365"/>
      <c r="AA227" s="365"/>
      <c r="AB227" s="365"/>
      <c r="AC227" s="2013"/>
      <c r="AD227" s="365"/>
      <c r="AE227" s="365"/>
      <c r="AF227" s="365"/>
      <c r="AG227" s="365"/>
      <c r="AI227" s="365">
        <f t="shared" si="30"/>
        <v>0</v>
      </c>
    </row>
    <row r="228" spans="1:35" x14ac:dyDescent="0.2">
      <c r="A228" s="191">
        <v>2690</v>
      </c>
      <c r="B228" s="2881" t="s">
        <v>2793</v>
      </c>
      <c r="C228" s="2881"/>
      <c r="D228" t="str">
        <f t="shared" ref="D228:D246" si="36">IF(SUM(F228:N228)-E228=0,"OK","prob")</f>
        <v>OK</v>
      </c>
      <c r="E228" s="365">
        <v>0</v>
      </c>
      <c r="F228" s="365">
        <v>0</v>
      </c>
      <c r="G228" s="365">
        <v>0</v>
      </c>
      <c r="H228" s="365">
        <v>0</v>
      </c>
      <c r="I228" s="365">
        <v>0</v>
      </c>
      <c r="J228" s="365">
        <v>0</v>
      </c>
      <c r="K228" s="365">
        <v>0</v>
      </c>
      <c r="L228" s="365"/>
      <c r="M228" s="365">
        <v>0</v>
      </c>
      <c r="N228" s="365">
        <v>0</v>
      </c>
      <c r="O228" s="233">
        <v>389547871.36000001</v>
      </c>
      <c r="P228" s="789">
        <v>587593407</v>
      </c>
      <c r="Q228" s="365">
        <v>578015894</v>
      </c>
      <c r="R228" s="365">
        <v>189186045</v>
      </c>
      <c r="S228" s="365">
        <v>292421671</v>
      </c>
      <c r="T228" s="365">
        <v>52182648</v>
      </c>
      <c r="U228" s="365">
        <v>181222251</v>
      </c>
      <c r="V228" s="365">
        <v>329264474.63</v>
      </c>
      <c r="W228" s="365">
        <v>114318189.12</v>
      </c>
      <c r="X228" s="365">
        <v>150894110</v>
      </c>
      <c r="Y228" s="365">
        <v>167255437</v>
      </c>
      <c r="Z228" s="365">
        <v>96532488.370000005</v>
      </c>
      <c r="AA228" s="365">
        <v>66938698</v>
      </c>
      <c r="AB228" s="1213">
        <v>42557796</v>
      </c>
      <c r="AC228" s="365">
        <v>63937019</v>
      </c>
      <c r="AD228" s="365">
        <v>90650121</v>
      </c>
      <c r="AE228" s="365">
        <v>37216503</v>
      </c>
      <c r="AF228" s="790">
        <v>0</v>
      </c>
      <c r="AG228" s="365">
        <v>0</v>
      </c>
      <c r="AI228" s="365">
        <f t="shared" si="30"/>
        <v>3429734623.48</v>
      </c>
    </row>
    <row r="229" spans="1:35" x14ac:dyDescent="0.2">
      <c r="A229" s="191">
        <v>2691</v>
      </c>
      <c r="B229" s="2881" t="s">
        <v>4896</v>
      </c>
      <c r="C229" s="2881"/>
      <c r="D229" t="str">
        <f t="shared" si="36"/>
        <v>OK</v>
      </c>
      <c r="E229" s="365">
        <v>0</v>
      </c>
      <c r="F229" s="365">
        <v>0</v>
      </c>
      <c r="G229" s="365">
        <v>0</v>
      </c>
      <c r="H229" s="365">
        <v>0</v>
      </c>
      <c r="I229" s="365">
        <v>0</v>
      </c>
      <c r="J229" s="365">
        <v>0</v>
      </c>
      <c r="K229" s="365">
        <v>0</v>
      </c>
      <c r="L229" s="365"/>
      <c r="M229" s="365">
        <v>0</v>
      </c>
      <c r="N229" s="365">
        <v>0</v>
      </c>
      <c r="O229" s="233">
        <v>0</v>
      </c>
      <c r="P229" s="789">
        <v>0</v>
      </c>
      <c r="Q229" s="365">
        <v>0</v>
      </c>
      <c r="R229" s="365">
        <v>0</v>
      </c>
      <c r="S229" s="365">
        <v>0</v>
      </c>
      <c r="T229" s="365">
        <v>0</v>
      </c>
      <c r="U229" s="365">
        <v>0</v>
      </c>
      <c r="V229" s="365">
        <v>0</v>
      </c>
      <c r="W229" s="365">
        <v>0</v>
      </c>
      <c r="X229" s="365">
        <v>0</v>
      </c>
      <c r="Y229" s="365">
        <v>0</v>
      </c>
      <c r="Z229" s="365">
        <v>0</v>
      </c>
      <c r="AA229" s="365">
        <v>0</v>
      </c>
      <c r="AB229" s="365">
        <v>0</v>
      </c>
      <c r="AC229" s="365">
        <v>0</v>
      </c>
      <c r="AD229" s="365">
        <v>0</v>
      </c>
      <c r="AE229" s="365">
        <v>0</v>
      </c>
      <c r="AF229" s="790">
        <v>0</v>
      </c>
      <c r="AG229" s="365">
        <v>0</v>
      </c>
      <c r="AI229" s="365">
        <f t="shared" ref="AI229:AI259" si="37">SUM(F229:AF229)</f>
        <v>0</v>
      </c>
    </row>
    <row r="230" spans="1:35" x14ac:dyDescent="0.2">
      <c r="A230" s="191">
        <v>2692</v>
      </c>
      <c r="B230" s="2881" t="s">
        <v>2795</v>
      </c>
      <c r="C230" s="2881"/>
      <c r="D230" t="str">
        <f t="shared" si="36"/>
        <v>OK</v>
      </c>
      <c r="E230" s="365">
        <v>0</v>
      </c>
      <c r="F230" s="365">
        <v>0</v>
      </c>
      <c r="G230" s="365">
        <v>0</v>
      </c>
      <c r="H230" s="365">
        <v>0</v>
      </c>
      <c r="I230" s="365">
        <v>0</v>
      </c>
      <c r="J230" s="365">
        <v>0</v>
      </c>
      <c r="K230" s="365">
        <v>0</v>
      </c>
      <c r="L230" s="365"/>
      <c r="M230" s="365">
        <v>0</v>
      </c>
      <c r="N230" s="365">
        <v>0</v>
      </c>
      <c r="O230" s="233">
        <v>0</v>
      </c>
      <c r="P230" s="789">
        <v>0</v>
      </c>
      <c r="Q230" s="365">
        <v>0</v>
      </c>
      <c r="R230" s="365">
        <v>0</v>
      </c>
      <c r="S230" s="365">
        <v>0</v>
      </c>
      <c r="T230" s="365">
        <v>0</v>
      </c>
      <c r="U230" s="365">
        <v>0</v>
      </c>
      <c r="V230" s="365">
        <v>0</v>
      </c>
      <c r="W230" s="365">
        <v>0</v>
      </c>
      <c r="X230" s="365">
        <v>0</v>
      </c>
      <c r="Y230" s="365">
        <v>0</v>
      </c>
      <c r="Z230" s="365">
        <v>0</v>
      </c>
      <c r="AA230" s="365">
        <v>0</v>
      </c>
      <c r="AB230" s="365">
        <v>0</v>
      </c>
      <c r="AC230" s="365">
        <v>0</v>
      </c>
      <c r="AD230" s="365">
        <v>0</v>
      </c>
      <c r="AE230" s="365">
        <v>0</v>
      </c>
      <c r="AF230" s="790">
        <v>0</v>
      </c>
      <c r="AG230" s="365">
        <v>0</v>
      </c>
      <c r="AI230" s="365">
        <f t="shared" si="37"/>
        <v>0</v>
      </c>
    </row>
    <row r="231" spans="1:35" x14ac:dyDescent="0.2">
      <c r="A231" s="191">
        <v>2693</v>
      </c>
      <c r="B231" s="2881" t="s">
        <v>5383</v>
      </c>
      <c r="C231" s="2881"/>
      <c r="D231" t="str">
        <f t="shared" si="36"/>
        <v>OK</v>
      </c>
      <c r="E231" s="365">
        <v>12947066.5</v>
      </c>
      <c r="F231" s="365">
        <v>12881400</v>
      </c>
      <c r="G231" s="365">
        <v>0</v>
      </c>
      <c r="H231" s="365">
        <v>0</v>
      </c>
      <c r="I231" s="365">
        <v>0</v>
      </c>
      <c r="J231" s="365">
        <v>19377</v>
      </c>
      <c r="K231" s="365">
        <v>46289.5</v>
      </c>
      <c r="L231" s="365"/>
      <c r="M231" s="365">
        <v>0</v>
      </c>
      <c r="N231" s="365">
        <v>0</v>
      </c>
      <c r="O231" s="233">
        <v>6438952.96</v>
      </c>
      <c r="P231" s="789">
        <v>17481402.079999998</v>
      </c>
      <c r="Q231" s="365">
        <v>12337585</v>
      </c>
      <c r="R231" s="365">
        <v>3856004.3</v>
      </c>
      <c r="S231" s="365">
        <v>4939923.88</v>
      </c>
      <c r="T231" s="365">
        <v>1078725.3799999999</v>
      </c>
      <c r="U231" s="365">
        <v>3209460.84</v>
      </c>
      <c r="V231" s="365">
        <v>7345180.8099999996</v>
      </c>
      <c r="W231" s="365">
        <v>2364532</v>
      </c>
      <c r="X231" s="365">
        <v>2383106.2599999998</v>
      </c>
      <c r="Y231" s="365">
        <v>4236407.0199999996</v>
      </c>
      <c r="Z231" s="365">
        <v>2253774.66</v>
      </c>
      <c r="AA231" s="365">
        <v>1128442</v>
      </c>
      <c r="AB231" s="365">
        <v>520980</v>
      </c>
      <c r="AC231" s="365">
        <v>1107928</v>
      </c>
      <c r="AD231" s="365">
        <v>1765347.17</v>
      </c>
      <c r="AE231" s="365">
        <v>694692.34</v>
      </c>
      <c r="AF231" s="790">
        <v>0</v>
      </c>
      <c r="AG231" s="365">
        <v>0</v>
      </c>
      <c r="AI231" s="365">
        <f t="shared" si="37"/>
        <v>86089511.200000003</v>
      </c>
    </row>
    <row r="232" spans="1:35" x14ac:dyDescent="0.2">
      <c r="A232" s="191">
        <v>2700</v>
      </c>
      <c r="B232" s="2881" t="s">
        <v>2798</v>
      </c>
      <c r="C232" s="2881"/>
      <c r="D232" t="str">
        <f t="shared" si="36"/>
        <v>OK</v>
      </c>
      <c r="E232" s="365">
        <v>0</v>
      </c>
      <c r="F232" s="365">
        <v>0</v>
      </c>
      <c r="G232" s="365">
        <v>0</v>
      </c>
      <c r="H232" s="365">
        <v>0</v>
      </c>
      <c r="I232" s="365">
        <v>0</v>
      </c>
      <c r="J232" s="365">
        <v>0</v>
      </c>
      <c r="K232" s="365">
        <v>0</v>
      </c>
      <c r="L232" s="365"/>
      <c r="M232" s="365">
        <v>0</v>
      </c>
      <c r="N232" s="365">
        <v>0</v>
      </c>
      <c r="O232" s="233">
        <v>78285305.859999999</v>
      </c>
      <c r="P232" s="789">
        <v>45813367</v>
      </c>
      <c r="Q232" s="365">
        <v>52665619.93</v>
      </c>
      <c r="R232" s="365">
        <v>58746198.600000001</v>
      </c>
      <c r="S232" s="365">
        <v>66694745.740000002</v>
      </c>
      <c r="T232" s="365">
        <v>8809943.0700000003</v>
      </c>
      <c r="U232" s="365">
        <v>26564451.649999999</v>
      </c>
      <c r="V232" s="365">
        <v>54791665.549999997</v>
      </c>
      <c r="W232" s="365">
        <v>63978248.990000002</v>
      </c>
      <c r="X232" s="365">
        <v>24464974.75</v>
      </c>
      <c r="Y232" s="365">
        <v>54546278.299999997</v>
      </c>
      <c r="Z232" s="365">
        <v>18352651.98</v>
      </c>
      <c r="AA232" s="365">
        <v>30822162.629999999</v>
      </c>
      <c r="AB232" s="365">
        <v>16381697.9</v>
      </c>
      <c r="AC232" s="365">
        <v>32031686.390000001</v>
      </c>
      <c r="AD232" s="365">
        <v>52116682.530000001</v>
      </c>
      <c r="AE232" s="365">
        <v>2247427.98</v>
      </c>
      <c r="AF232" s="790">
        <v>0</v>
      </c>
      <c r="AG232" s="365">
        <v>0</v>
      </c>
      <c r="AI232" s="365">
        <f t="shared" si="37"/>
        <v>687313108.85000002</v>
      </c>
    </row>
    <row r="233" spans="1:35" x14ac:dyDescent="0.2">
      <c r="A233" s="191">
        <v>2701</v>
      </c>
      <c r="B233" s="2881" t="s">
        <v>2800</v>
      </c>
      <c r="C233" s="2881"/>
      <c r="D233" t="str">
        <f t="shared" si="36"/>
        <v>OK</v>
      </c>
      <c r="E233" s="365">
        <v>166083165.81999999</v>
      </c>
      <c r="F233" s="365">
        <v>90399239</v>
      </c>
      <c r="G233" s="365">
        <v>0</v>
      </c>
      <c r="H233" s="365">
        <v>0</v>
      </c>
      <c r="I233" s="365">
        <v>41672806.329999998</v>
      </c>
      <c r="J233" s="365">
        <v>1669986.63</v>
      </c>
      <c r="K233" s="365">
        <v>20673344.289999999</v>
      </c>
      <c r="L233" s="365"/>
      <c r="M233" s="365">
        <v>3516308</v>
      </c>
      <c r="N233" s="365">
        <v>8151481.5700000003</v>
      </c>
      <c r="O233" s="233">
        <v>0</v>
      </c>
      <c r="P233" s="789">
        <v>91506975.670000002</v>
      </c>
      <c r="Q233" s="365">
        <v>42275455.509999998</v>
      </c>
      <c r="R233" s="365">
        <v>44765756.409999996</v>
      </c>
      <c r="S233" s="365">
        <v>54819951</v>
      </c>
      <c r="T233" s="365">
        <v>7432984.8799999999</v>
      </c>
      <c r="U233" s="365">
        <v>13676372.029999999</v>
      </c>
      <c r="V233" s="365">
        <v>45347024.340000004</v>
      </c>
      <c r="W233" s="365">
        <v>60594273.25</v>
      </c>
      <c r="X233" s="365">
        <v>23598803.77</v>
      </c>
      <c r="Y233" s="365">
        <v>36404273.509999998</v>
      </c>
      <c r="Z233" s="365">
        <v>24097673.16</v>
      </c>
      <c r="AA233" s="365">
        <v>41863440.82</v>
      </c>
      <c r="AB233" s="365">
        <v>11826752.460000001</v>
      </c>
      <c r="AC233" s="365">
        <v>28157128.989999998</v>
      </c>
      <c r="AD233" s="365">
        <v>37766080.07</v>
      </c>
      <c r="AE233" s="365">
        <v>1678051.89</v>
      </c>
      <c r="AF233" s="790">
        <v>0</v>
      </c>
      <c r="AG233" s="365">
        <v>0</v>
      </c>
      <c r="AI233" s="365">
        <f t="shared" si="37"/>
        <v>731894163.58000004</v>
      </c>
    </row>
    <row r="234" spans="1:35" x14ac:dyDescent="0.2">
      <c r="A234" s="191">
        <v>2710</v>
      </c>
      <c r="B234" s="2881" t="s">
        <v>2802</v>
      </c>
      <c r="C234" s="2881"/>
      <c r="D234" t="str">
        <f t="shared" si="36"/>
        <v>OK</v>
      </c>
      <c r="E234" s="365">
        <v>1328612.26</v>
      </c>
      <c r="F234" s="365">
        <v>600180</v>
      </c>
      <c r="G234" s="365">
        <v>0</v>
      </c>
      <c r="H234" s="365">
        <v>0</v>
      </c>
      <c r="I234" s="365">
        <v>699050.92</v>
      </c>
      <c r="J234" s="365">
        <v>0</v>
      </c>
      <c r="K234" s="365">
        <v>0</v>
      </c>
      <c r="L234" s="365"/>
      <c r="M234" s="365">
        <v>0</v>
      </c>
      <c r="N234" s="365">
        <v>29381.34</v>
      </c>
      <c r="O234" s="233">
        <v>22694468.469999999</v>
      </c>
      <c r="P234" s="789">
        <v>180314672.78</v>
      </c>
      <c r="Q234" s="365">
        <v>88033502.090000004</v>
      </c>
      <c r="R234" s="365">
        <v>11607382.16</v>
      </c>
      <c r="S234" s="365">
        <v>12826525.130000001</v>
      </c>
      <c r="T234" s="365">
        <v>3364685.5</v>
      </c>
      <c r="U234" s="365">
        <v>880808.9</v>
      </c>
      <c r="V234" s="365">
        <v>13897746.109999999</v>
      </c>
      <c r="W234" s="365">
        <v>11794485.48</v>
      </c>
      <c r="X234" s="365">
        <v>8248091.46</v>
      </c>
      <c r="Y234" s="365">
        <v>17332180.93</v>
      </c>
      <c r="Z234" s="365">
        <v>6337760.5099999998</v>
      </c>
      <c r="AA234" s="365">
        <v>45137</v>
      </c>
      <c r="AB234" s="365">
        <v>1286207.77</v>
      </c>
      <c r="AC234" s="365">
        <v>2421876.3199999998</v>
      </c>
      <c r="AD234" s="365">
        <v>670780.27</v>
      </c>
      <c r="AE234" s="365">
        <v>5792121.8200000003</v>
      </c>
      <c r="AF234" s="790">
        <v>0</v>
      </c>
      <c r="AG234" s="365">
        <v>212706.29</v>
      </c>
      <c r="AI234" s="365">
        <f t="shared" si="37"/>
        <v>388877044.95999998</v>
      </c>
    </row>
    <row r="235" spans="1:35" x14ac:dyDescent="0.2">
      <c r="A235" s="191">
        <v>2711</v>
      </c>
      <c r="B235" s="2881" t="s">
        <v>5384</v>
      </c>
      <c r="C235" s="2881"/>
      <c r="D235" t="str">
        <f t="shared" si="36"/>
        <v>OK</v>
      </c>
      <c r="E235" s="365">
        <v>8450997.6400000006</v>
      </c>
      <c r="F235" s="365">
        <v>6523325</v>
      </c>
      <c r="G235" s="365">
        <v>1927672.64</v>
      </c>
      <c r="H235" s="365">
        <v>0</v>
      </c>
      <c r="I235" s="365">
        <v>0</v>
      </c>
      <c r="J235" s="365">
        <v>0</v>
      </c>
      <c r="K235" s="365">
        <v>0</v>
      </c>
      <c r="L235" s="365"/>
      <c r="M235" s="365">
        <v>0</v>
      </c>
      <c r="N235" s="365">
        <v>0</v>
      </c>
      <c r="O235" s="233">
        <v>341799</v>
      </c>
      <c r="P235" s="789">
        <v>13384263</v>
      </c>
      <c r="Q235" s="365">
        <v>7156041</v>
      </c>
      <c r="R235" s="365">
        <v>1930326</v>
      </c>
      <c r="S235" s="365">
        <v>2902053</v>
      </c>
      <c r="T235" s="365">
        <v>444836</v>
      </c>
      <c r="U235" s="365">
        <v>1597298</v>
      </c>
      <c r="V235" s="365">
        <v>4383149</v>
      </c>
      <c r="W235" s="365">
        <v>1139952</v>
      </c>
      <c r="X235" s="365">
        <v>1099167</v>
      </c>
      <c r="Y235" s="365">
        <v>1938890</v>
      </c>
      <c r="Z235" s="365">
        <v>585011.01</v>
      </c>
      <c r="AA235" s="365">
        <v>514718</v>
      </c>
      <c r="AB235" s="365">
        <v>223147</v>
      </c>
      <c r="AC235" s="365">
        <v>481675</v>
      </c>
      <c r="AD235" s="365">
        <v>806531</v>
      </c>
      <c r="AE235" s="365">
        <v>284408</v>
      </c>
      <c r="AF235" s="790">
        <v>0</v>
      </c>
      <c r="AG235" s="365">
        <v>0</v>
      </c>
      <c r="AI235" s="365"/>
    </row>
    <row r="236" spans="1:35" x14ac:dyDescent="0.2">
      <c r="A236" s="191">
        <v>2720</v>
      </c>
      <c r="B236" s="2881" t="s">
        <v>2804</v>
      </c>
      <c r="C236" s="2881"/>
      <c r="D236" t="str">
        <f t="shared" si="36"/>
        <v>OK</v>
      </c>
      <c r="E236" s="233">
        <v>-33264709.66</v>
      </c>
      <c r="F236" s="233">
        <v>-15911270.43</v>
      </c>
      <c r="G236" s="233">
        <v>-2874023.74</v>
      </c>
      <c r="H236" s="233">
        <v>0</v>
      </c>
      <c r="I236" s="365">
        <v>-13486554.970000001</v>
      </c>
      <c r="J236" s="365">
        <v>-476702.71999999997</v>
      </c>
      <c r="K236" s="233">
        <v>0</v>
      </c>
      <c r="L236" s="233"/>
      <c r="M236" s="233">
        <v>0</v>
      </c>
      <c r="N236" s="233">
        <v>-516157.8</v>
      </c>
      <c r="O236" s="233">
        <v>-3904.33</v>
      </c>
      <c r="P236" s="789">
        <v>-50914930.909999996</v>
      </c>
      <c r="Q236" s="233">
        <v>-19072416.5</v>
      </c>
      <c r="R236" s="365">
        <v>-10148611.35</v>
      </c>
      <c r="S236" s="365">
        <v>-18197150.190000001</v>
      </c>
      <c r="T236" s="365">
        <v>-3064799.92</v>
      </c>
      <c r="U236" s="1270">
        <v>-7624149.5499999998</v>
      </c>
      <c r="V236" s="1270">
        <v>-12159628.91</v>
      </c>
      <c r="W236" s="1270">
        <v>-3573035.83</v>
      </c>
      <c r="X236" s="1270">
        <v>-8898474.9800000004</v>
      </c>
      <c r="Y236" s="1270">
        <v>-11828190.73</v>
      </c>
      <c r="Z236" s="1270">
        <v>-2367933.9</v>
      </c>
      <c r="AA236" s="1270">
        <v>-3882953.81</v>
      </c>
      <c r="AB236" s="1270">
        <v>-1219258.92</v>
      </c>
      <c r="AC236" s="1270">
        <v>-3190440.21</v>
      </c>
      <c r="AD236" s="1270">
        <v>-3658733.83</v>
      </c>
      <c r="AE236" s="1270">
        <v>-1651799.49</v>
      </c>
      <c r="AF236" s="1984">
        <v>-765732.75</v>
      </c>
      <c r="AG236" s="233">
        <v>0</v>
      </c>
      <c r="AI236" s="365">
        <f t="shared" si="37"/>
        <v>-195486855.77000001</v>
      </c>
    </row>
    <row r="237" spans="1:35" x14ac:dyDescent="0.2">
      <c r="A237" s="191">
        <v>2740</v>
      </c>
      <c r="B237" s="2881" t="s">
        <v>4897</v>
      </c>
      <c r="C237" s="2881"/>
      <c r="D237" s="1382" t="str">
        <f t="shared" si="36"/>
        <v>prob</v>
      </c>
      <c r="E237" s="233">
        <v>277706.78000000003</v>
      </c>
      <c r="F237" s="233">
        <v>0</v>
      </c>
      <c r="G237" s="233">
        <v>0</v>
      </c>
      <c r="H237" s="233">
        <v>0</v>
      </c>
      <c r="I237" s="233">
        <v>37875.32</v>
      </c>
      <c r="J237" s="233">
        <v>0</v>
      </c>
      <c r="K237" s="233">
        <v>239831.46</v>
      </c>
      <c r="L237" s="233"/>
      <c r="M237" s="233">
        <v>0</v>
      </c>
      <c r="N237" s="233">
        <v>0</v>
      </c>
      <c r="O237" s="233">
        <v>0</v>
      </c>
      <c r="P237" s="789">
        <v>0</v>
      </c>
      <c r="Q237" s="365">
        <v>11361995.039999999</v>
      </c>
      <c r="R237" s="365">
        <v>0</v>
      </c>
      <c r="S237" s="365">
        <v>0</v>
      </c>
      <c r="T237" s="365">
        <v>0</v>
      </c>
      <c r="U237" s="1270">
        <v>304684.44</v>
      </c>
      <c r="V237" s="1270">
        <v>1310878.2</v>
      </c>
      <c r="W237" s="1270">
        <v>0</v>
      </c>
      <c r="X237" s="1270">
        <v>0</v>
      </c>
      <c r="Y237" s="1270">
        <v>6000</v>
      </c>
      <c r="Z237" s="1270">
        <v>0</v>
      </c>
      <c r="AA237" s="1270">
        <v>0</v>
      </c>
      <c r="AB237" s="1270">
        <v>0</v>
      </c>
      <c r="AC237" s="1270">
        <v>0</v>
      </c>
      <c r="AD237" s="1270">
        <v>0</v>
      </c>
      <c r="AE237" s="1270">
        <v>0</v>
      </c>
      <c r="AF237" s="1984">
        <v>0</v>
      </c>
      <c r="AG237" s="233">
        <v>0</v>
      </c>
      <c r="AI237" s="365">
        <f t="shared" si="37"/>
        <v>13261264.460000001</v>
      </c>
    </row>
    <row r="238" spans="1:35" x14ac:dyDescent="0.2">
      <c r="A238" s="191">
        <v>2750</v>
      </c>
      <c r="B238" s="2881" t="s">
        <v>4898</v>
      </c>
      <c r="C238" s="2881"/>
      <c r="D238" s="1382" t="str">
        <f t="shared" si="36"/>
        <v>prob</v>
      </c>
      <c r="E238" s="233">
        <v>-24561.01</v>
      </c>
      <c r="F238" s="233">
        <v>-21599</v>
      </c>
      <c r="G238" s="233">
        <v>0</v>
      </c>
      <c r="H238" s="233">
        <v>0</v>
      </c>
      <c r="I238" s="233">
        <v>0</v>
      </c>
      <c r="J238" s="233">
        <v>0</v>
      </c>
      <c r="K238" s="233">
        <v>0</v>
      </c>
      <c r="L238" s="233"/>
      <c r="M238" s="233">
        <v>0</v>
      </c>
      <c r="N238" s="233">
        <v>-2962.01</v>
      </c>
      <c r="O238" s="233">
        <v>-629411</v>
      </c>
      <c r="P238" s="789">
        <v>-1185845.23</v>
      </c>
      <c r="Q238" s="365">
        <v>-2176768.7400000002</v>
      </c>
      <c r="R238" s="365">
        <v>-596550.31999999995</v>
      </c>
      <c r="S238" s="365">
        <v>-1561187.17</v>
      </c>
      <c r="T238" s="365">
        <v>0</v>
      </c>
      <c r="U238" s="1270">
        <v>0</v>
      </c>
      <c r="V238" s="1270">
        <v>-785821.24</v>
      </c>
      <c r="W238" s="1270">
        <v>-546909.43000000005</v>
      </c>
      <c r="X238" s="1270">
        <v>-4346921.66</v>
      </c>
      <c r="Y238" s="1270">
        <v>-1448077.74</v>
      </c>
      <c r="Z238" s="365">
        <v>-85584.03</v>
      </c>
      <c r="AA238" s="1270">
        <v>0</v>
      </c>
      <c r="AB238" s="1270">
        <v>-80066.13</v>
      </c>
      <c r="AC238" s="1270">
        <v>0</v>
      </c>
      <c r="AD238" s="1270">
        <v>0</v>
      </c>
      <c r="AE238" s="1270">
        <v>-45642.67</v>
      </c>
      <c r="AF238" s="1984">
        <v>0</v>
      </c>
      <c r="AG238" s="233">
        <v>0</v>
      </c>
      <c r="AI238" s="365">
        <f t="shared" si="37"/>
        <v>-13513346.369999999</v>
      </c>
    </row>
    <row r="239" spans="1:35" x14ac:dyDescent="0.2">
      <c r="A239" s="191">
        <v>2755</v>
      </c>
      <c r="B239" s="2881" t="s">
        <v>5385</v>
      </c>
      <c r="C239" s="2881"/>
      <c r="D239" t="str">
        <f t="shared" si="36"/>
        <v>OK</v>
      </c>
      <c r="E239" s="233">
        <v>0</v>
      </c>
      <c r="F239" s="233">
        <v>0</v>
      </c>
      <c r="G239" s="233">
        <v>0</v>
      </c>
      <c r="H239" s="233">
        <v>0</v>
      </c>
      <c r="I239" s="233">
        <v>0</v>
      </c>
      <c r="J239" s="233">
        <v>0</v>
      </c>
      <c r="K239" s="233">
        <v>0</v>
      </c>
      <c r="L239" s="233"/>
      <c r="M239" s="233">
        <v>0</v>
      </c>
      <c r="N239" s="233">
        <v>0</v>
      </c>
      <c r="O239" s="233">
        <v>0</v>
      </c>
      <c r="P239" s="789">
        <v>0</v>
      </c>
      <c r="Q239" s="365">
        <v>0</v>
      </c>
      <c r="R239" s="365">
        <v>0</v>
      </c>
      <c r="S239" s="365">
        <v>0</v>
      </c>
      <c r="T239" s="365">
        <v>0</v>
      </c>
      <c r="U239" s="1270">
        <v>0</v>
      </c>
      <c r="V239" s="1270">
        <v>0</v>
      </c>
      <c r="W239" s="1270">
        <v>0</v>
      </c>
      <c r="X239" s="1270">
        <v>0</v>
      </c>
      <c r="Y239" s="1270">
        <v>0</v>
      </c>
      <c r="Z239" s="1270">
        <v>0</v>
      </c>
      <c r="AA239" s="1270">
        <v>0</v>
      </c>
      <c r="AB239" s="1270">
        <v>0</v>
      </c>
      <c r="AC239" s="1270">
        <v>0</v>
      </c>
      <c r="AD239" s="1270">
        <v>0</v>
      </c>
      <c r="AE239" s="1270">
        <v>0</v>
      </c>
      <c r="AF239" s="1984">
        <v>0</v>
      </c>
      <c r="AG239" s="233">
        <v>0</v>
      </c>
      <c r="AI239" s="365">
        <f t="shared" si="37"/>
        <v>0</v>
      </c>
    </row>
    <row r="240" spans="1:35" x14ac:dyDescent="0.2">
      <c r="A240" s="191">
        <v>2760</v>
      </c>
      <c r="B240" s="2881" t="s">
        <v>1228</v>
      </c>
      <c r="C240" s="2881"/>
      <c r="D240" s="1382" t="str">
        <f t="shared" si="36"/>
        <v>prob</v>
      </c>
      <c r="E240" s="365">
        <v>65364634.409999996</v>
      </c>
      <c r="F240" s="365">
        <v>47706949.200000003</v>
      </c>
      <c r="G240" s="365">
        <v>-14419939.050000001</v>
      </c>
      <c r="H240" s="365">
        <v>-1510023</v>
      </c>
      <c r="I240" s="365">
        <v>30062085.57</v>
      </c>
      <c r="J240" s="365">
        <v>-43431.44</v>
      </c>
      <c r="K240" s="365">
        <v>74264</v>
      </c>
      <c r="L240" s="365"/>
      <c r="M240" s="365">
        <v>3235641.84</v>
      </c>
      <c r="N240" s="365">
        <v>259087.29</v>
      </c>
      <c r="O240" s="233">
        <v>5521894.5800000001</v>
      </c>
      <c r="P240" s="1377">
        <v>-63588367.020000003</v>
      </c>
      <c r="Q240" s="365">
        <v>-15727.06</v>
      </c>
      <c r="R240" s="365">
        <v>-20732280.100000001</v>
      </c>
      <c r="S240" s="365">
        <v>9630735.2899999991</v>
      </c>
      <c r="T240" s="365">
        <v>654878.77</v>
      </c>
      <c r="U240" s="365">
        <v>5966518.8300000001</v>
      </c>
      <c r="V240" s="365">
        <v>-7005370.6699999999</v>
      </c>
      <c r="W240" s="365">
        <v>-151917.01</v>
      </c>
      <c r="X240" s="365">
        <v>5422166.7599999998</v>
      </c>
      <c r="Y240" s="365">
        <v>8209099.0899999999</v>
      </c>
      <c r="Z240" s="365">
        <v>-589623.56000000006</v>
      </c>
      <c r="AA240" s="365">
        <v>2368811.66</v>
      </c>
      <c r="AB240" s="365">
        <v>-520179.14</v>
      </c>
      <c r="AC240" s="365">
        <v>1234832.3500000001</v>
      </c>
      <c r="AD240" s="365">
        <v>1360455.74</v>
      </c>
      <c r="AE240" s="365">
        <v>1989319.22</v>
      </c>
      <c r="AF240" s="790">
        <v>0</v>
      </c>
      <c r="AG240" s="365">
        <v>10425.44</v>
      </c>
      <c r="AI240" s="365">
        <f t="shared" si="37"/>
        <v>15119882.140000001</v>
      </c>
    </row>
    <row r="241" spans="1:35" x14ac:dyDescent="0.2">
      <c r="A241" s="191">
        <v>2770</v>
      </c>
      <c r="B241" s="2881" t="s">
        <v>2808</v>
      </c>
      <c r="C241" s="2881"/>
      <c r="D241" t="str">
        <f t="shared" si="36"/>
        <v>OK</v>
      </c>
      <c r="E241" s="365">
        <v>0</v>
      </c>
      <c r="F241" s="365">
        <v>0</v>
      </c>
      <c r="G241" s="365">
        <v>0</v>
      </c>
      <c r="H241" s="365">
        <v>0</v>
      </c>
      <c r="I241" s="365">
        <v>0</v>
      </c>
      <c r="J241" s="365">
        <v>0</v>
      </c>
      <c r="K241" s="365">
        <v>0</v>
      </c>
      <c r="L241" s="365"/>
      <c r="M241" s="365">
        <v>0</v>
      </c>
      <c r="N241" s="365">
        <v>0</v>
      </c>
      <c r="O241" s="233">
        <v>0</v>
      </c>
      <c r="P241" s="789">
        <v>0</v>
      </c>
      <c r="Q241" s="365">
        <v>384219.33</v>
      </c>
      <c r="R241" s="365">
        <v>0</v>
      </c>
      <c r="S241" s="365">
        <v>8800.42</v>
      </c>
      <c r="T241" s="365">
        <v>0</v>
      </c>
      <c r="U241" s="365">
        <v>0</v>
      </c>
      <c r="V241" s="365">
        <v>3409.88</v>
      </c>
      <c r="W241" s="365">
        <v>0</v>
      </c>
      <c r="X241" s="365">
        <v>0</v>
      </c>
      <c r="Y241" s="365">
        <v>0</v>
      </c>
      <c r="Z241" s="365">
        <v>0</v>
      </c>
      <c r="AA241" s="365">
        <v>0</v>
      </c>
      <c r="AB241" s="365">
        <v>0</v>
      </c>
      <c r="AC241" s="365">
        <v>0</v>
      </c>
      <c r="AD241" s="365">
        <v>0</v>
      </c>
      <c r="AE241" s="365">
        <v>0</v>
      </c>
      <c r="AF241" s="790">
        <v>0</v>
      </c>
      <c r="AG241" s="365">
        <v>0</v>
      </c>
      <c r="AI241" s="365">
        <f t="shared" si="37"/>
        <v>396429.63</v>
      </c>
    </row>
    <row r="242" spans="1:35" x14ac:dyDescent="0.2">
      <c r="A242" s="191">
        <v>2780</v>
      </c>
      <c r="B242" s="2881" t="s">
        <v>2809</v>
      </c>
      <c r="C242" s="2881"/>
      <c r="D242" t="str">
        <f t="shared" si="36"/>
        <v>OK</v>
      </c>
      <c r="E242" s="233">
        <v>0</v>
      </c>
      <c r="F242" s="233">
        <v>0</v>
      </c>
      <c r="G242" s="233">
        <v>0</v>
      </c>
      <c r="H242" s="233">
        <v>0</v>
      </c>
      <c r="I242" s="233">
        <v>0</v>
      </c>
      <c r="J242" s="233">
        <v>0</v>
      </c>
      <c r="K242" s="233">
        <v>0</v>
      </c>
      <c r="L242" s="233"/>
      <c r="M242" s="233">
        <v>0</v>
      </c>
      <c r="N242" s="233">
        <v>0</v>
      </c>
      <c r="O242" s="233">
        <v>-337407923.29000002</v>
      </c>
      <c r="P242" s="789">
        <v>0</v>
      </c>
      <c r="Q242" s="365">
        <v>0</v>
      </c>
      <c r="R242" s="365">
        <v>0</v>
      </c>
      <c r="S242" s="365">
        <v>0</v>
      </c>
      <c r="T242" s="365">
        <v>-362873.76</v>
      </c>
      <c r="U242" s="1270">
        <v>0</v>
      </c>
      <c r="V242" s="1270">
        <v>0</v>
      </c>
      <c r="W242" s="1270">
        <v>0</v>
      </c>
      <c r="X242" s="1270">
        <v>0</v>
      </c>
      <c r="Y242">
        <v>0</v>
      </c>
      <c r="Z242">
        <v>0</v>
      </c>
      <c r="AA242" s="1270">
        <v>0</v>
      </c>
      <c r="AB242" s="1270">
        <v>0</v>
      </c>
      <c r="AC242" s="1270">
        <v>0</v>
      </c>
      <c r="AD242" s="1270">
        <v>0</v>
      </c>
      <c r="AE242" s="1270">
        <v>0</v>
      </c>
      <c r="AF242" s="1984">
        <v>0</v>
      </c>
      <c r="AG242" s="233">
        <v>0</v>
      </c>
      <c r="AI242" s="365">
        <f t="shared" si="37"/>
        <v>-337770797.05000001</v>
      </c>
    </row>
    <row r="243" spans="1:35" x14ac:dyDescent="0.2">
      <c r="A243" s="191">
        <v>2785</v>
      </c>
      <c r="B243" s="2881" t="s">
        <v>4899</v>
      </c>
      <c r="C243" s="2881"/>
      <c r="D243" t="str">
        <f t="shared" si="36"/>
        <v>OK</v>
      </c>
      <c r="E243" s="365">
        <v>0</v>
      </c>
      <c r="F243" s="365">
        <v>0</v>
      </c>
      <c r="G243" s="365">
        <v>0</v>
      </c>
      <c r="H243" s="365">
        <v>0</v>
      </c>
      <c r="I243" s="365">
        <v>0</v>
      </c>
      <c r="J243" s="365">
        <v>0</v>
      </c>
      <c r="K243" s="365">
        <v>0</v>
      </c>
      <c r="L243" s="365"/>
      <c r="M243" s="365">
        <v>0</v>
      </c>
      <c r="N243" s="365">
        <v>0</v>
      </c>
      <c r="O243" s="233">
        <v>0</v>
      </c>
      <c r="P243" s="789">
        <v>95262.46</v>
      </c>
      <c r="Q243" s="365">
        <v>0</v>
      </c>
      <c r="R243" s="365">
        <v>0</v>
      </c>
      <c r="S243" s="365">
        <v>1095207.94</v>
      </c>
      <c r="T243" s="365">
        <v>0</v>
      </c>
      <c r="U243" s="365">
        <v>0</v>
      </c>
      <c r="V243" s="365">
        <v>0</v>
      </c>
      <c r="W243" s="365">
        <v>0</v>
      </c>
      <c r="X243" s="365">
        <v>0</v>
      </c>
      <c r="Y243" s="365">
        <v>0</v>
      </c>
      <c r="Z243" s="365">
        <v>0</v>
      </c>
      <c r="AA243" s="365">
        <v>0</v>
      </c>
      <c r="AB243" s="365">
        <v>0</v>
      </c>
      <c r="AC243" s="365">
        <v>0</v>
      </c>
      <c r="AD243" s="365">
        <v>0</v>
      </c>
      <c r="AE243" s="365">
        <v>0</v>
      </c>
      <c r="AF243" s="790">
        <v>0</v>
      </c>
      <c r="AG243" s="365">
        <v>0</v>
      </c>
      <c r="AI243" s="365">
        <f t="shared" si="37"/>
        <v>1190470.3999999999</v>
      </c>
    </row>
    <row r="244" spans="1:35" x14ac:dyDescent="0.2">
      <c r="A244" s="191">
        <v>2786</v>
      </c>
      <c r="B244" s="2881" t="s">
        <v>2811</v>
      </c>
      <c r="C244" s="2881"/>
      <c r="D244" t="str">
        <f t="shared" si="36"/>
        <v>OK</v>
      </c>
      <c r="E244" s="365">
        <v>1678208.97</v>
      </c>
      <c r="F244" s="365">
        <v>0</v>
      </c>
      <c r="G244" s="365">
        <v>1675054.38</v>
      </c>
      <c r="H244" s="365">
        <v>0</v>
      </c>
      <c r="I244" s="365">
        <v>0</v>
      </c>
      <c r="J244" s="365">
        <v>0</v>
      </c>
      <c r="K244" s="365">
        <v>0</v>
      </c>
      <c r="L244" s="365"/>
      <c r="M244" s="365">
        <v>0</v>
      </c>
      <c r="N244" s="365">
        <v>3154.59</v>
      </c>
      <c r="O244" s="233">
        <v>0</v>
      </c>
      <c r="P244" s="789">
        <v>683211.18</v>
      </c>
      <c r="Q244" s="365">
        <v>2183600.84</v>
      </c>
      <c r="R244" s="365">
        <v>395584.17</v>
      </c>
      <c r="S244" s="365">
        <v>39437.269999999997</v>
      </c>
      <c r="T244" s="365">
        <v>23152.23</v>
      </c>
      <c r="U244" s="365">
        <v>6921.21</v>
      </c>
      <c r="V244" s="365">
        <v>22065.75</v>
      </c>
      <c r="W244" s="365">
        <v>0</v>
      </c>
      <c r="X244" s="365">
        <v>75865.11</v>
      </c>
      <c r="Y244" s="365">
        <v>67040.58</v>
      </c>
      <c r="Z244" s="365">
        <v>0</v>
      </c>
      <c r="AA244" s="365">
        <v>4789.83</v>
      </c>
      <c r="AB244" s="365">
        <v>0</v>
      </c>
      <c r="AC244" s="365">
        <v>0</v>
      </c>
      <c r="AD244" s="365">
        <v>0</v>
      </c>
      <c r="AE244" s="365">
        <v>0</v>
      </c>
      <c r="AF244" s="790">
        <v>328936.69</v>
      </c>
      <c r="AG244" s="365">
        <v>0</v>
      </c>
      <c r="AI244" s="365"/>
    </row>
    <row r="245" spans="1:35" x14ac:dyDescent="0.2">
      <c r="A245" s="191">
        <v>2800</v>
      </c>
      <c r="B245" s="2881" t="s">
        <v>2812</v>
      </c>
      <c r="C245" s="2881"/>
      <c r="D245" s="1382" t="str">
        <f t="shared" si="36"/>
        <v>prob</v>
      </c>
      <c r="E245" s="233">
        <v>255297911.71000001</v>
      </c>
      <c r="F245" s="233">
        <v>39912.720000000001</v>
      </c>
      <c r="G245" s="233">
        <v>708892276.94000006</v>
      </c>
      <c r="H245" s="233">
        <v>0</v>
      </c>
      <c r="I245" s="233">
        <v>0</v>
      </c>
      <c r="J245" s="233">
        <v>354843.56</v>
      </c>
      <c r="K245" s="233">
        <v>0</v>
      </c>
      <c r="L245" s="233"/>
      <c r="M245" s="233">
        <v>2448645.4900000002</v>
      </c>
      <c r="N245" s="233">
        <v>0</v>
      </c>
      <c r="O245" s="233">
        <v>20417.009999999998</v>
      </c>
      <c r="P245" s="789">
        <v>1616875.3</v>
      </c>
      <c r="Q245" s="365">
        <v>3522969.17</v>
      </c>
      <c r="R245" s="365">
        <v>1305181.6299999999</v>
      </c>
      <c r="S245" s="365">
        <v>53265.279999999999</v>
      </c>
      <c r="T245" s="365">
        <v>13493.68</v>
      </c>
      <c r="U245" s="1270">
        <v>171856.92</v>
      </c>
      <c r="V245" s="1270">
        <v>486305.69</v>
      </c>
      <c r="W245" s="1270">
        <v>0</v>
      </c>
      <c r="X245" s="1270">
        <v>245952.9</v>
      </c>
      <c r="Y245" s="315">
        <v>550654.32999999996</v>
      </c>
      <c r="Z245" s="315">
        <v>148120.01</v>
      </c>
      <c r="AA245" s="1270">
        <v>0</v>
      </c>
      <c r="AB245" s="315">
        <v>20433.240000000002</v>
      </c>
      <c r="AC245" s="1270">
        <v>944743.67</v>
      </c>
      <c r="AD245" s="1270">
        <v>0</v>
      </c>
      <c r="AE245" s="1270">
        <v>71997.83</v>
      </c>
      <c r="AF245" s="1984">
        <v>0</v>
      </c>
      <c r="AG245" s="233">
        <v>113071.43</v>
      </c>
      <c r="AI245" s="365">
        <f t="shared" si="37"/>
        <v>720907945.37</v>
      </c>
    </row>
    <row r="246" spans="1:35" x14ac:dyDescent="0.2">
      <c r="A246" s="191">
        <v>2810</v>
      </c>
      <c r="B246" s="2881" t="s">
        <v>2813</v>
      </c>
      <c r="C246" s="2881"/>
      <c r="D246" s="1382" t="str">
        <f t="shared" si="36"/>
        <v>prob</v>
      </c>
      <c r="E246" s="233">
        <v>-317853048.89999998</v>
      </c>
      <c r="F246" s="233">
        <v>0</v>
      </c>
      <c r="G246" s="233">
        <v>-770250355.39999998</v>
      </c>
      <c r="H246" s="233">
        <v>0</v>
      </c>
      <c r="I246" s="233">
        <v>-4039539.49</v>
      </c>
      <c r="J246" s="233">
        <v>0</v>
      </c>
      <c r="K246" s="233">
        <v>0</v>
      </c>
      <c r="L246" s="233"/>
      <c r="M246" s="233">
        <v>-921.01</v>
      </c>
      <c r="N246" s="233">
        <v>0</v>
      </c>
      <c r="O246" s="233">
        <v>-229301.08</v>
      </c>
      <c r="P246" s="789">
        <v>0</v>
      </c>
      <c r="Q246" s="365">
        <v>-1300</v>
      </c>
      <c r="R246" s="365">
        <v>-138000</v>
      </c>
      <c r="S246" s="365">
        <v>-1280926.06</v>
      </c>
      <c r="T246" s="365">
        <v>0</v>
      </c>
      <c r="U246" s="1270">
        <v>-197149.66</v>
      </c>
      <c r="V246" s="1270">
        <v>-101853.74</v>
      </c>
      <c r="W246" s="1270">
        <v>0</v>
      </c>
      <c r="X246" s="1270">
        <v>-26369.05</v>
      </c>
      <c r="Y246" s="315">
        <v>-259738.85</v>
      </c>
      <c r="Z246" s="315">
        <v>-583917.48</v>
      </c>
      <c r="AA246" s="1270">
        <v>-221925.33</v>
      </c>
      <c r="AB246" s="1213">
        <v>0</v>
      </c>
      <c r="AC246" s="1270">
        <v>0</v>
      </c>
      <c r="AD246" s="1270">
        <v>0</v>
      </c>
      <c r="AE246" s="1270">
        <v>-407565.41</v>
      </c>
      <c r="AF246" s="1984">
        <v>0</v>
      </c>
      <c r="AG246" s="233">
        <v>0</v>
      </c>
      <c r="AI246" s="365">
        <f t="shared" si="37"/>
        <v>-777738862.55999994</v>
      </c>
    </row>
    <row r="247" spans="1:35" x14ac:dyDescent="0.2">
      <c r="B247" s="2881" t="s">
        <v>4900</v>
      </c>
      <c r="C247" s="2881"/>
      <c r="D247" t="str">
        <f>IF(ROUND(SUM(F247:N247),2)-ROUND(E247,2)=0,"OK","prob")</f>
        <v>OK</v>
      </c>
      <c r="E247" s="374">
        <f t="shared" ref="E247:AG247" si="38">SUM(E228:E246)</f>
        <v>160285984.52000001</v>
      </c>
      <c r="F247" s="374">
        <f t="shared" si="38"/>
        <v>142218136.49000001</v>
      </c>
      <c r="G247" s="374">
        <f t="shared" si="38"/>
        <v>-75049314.230000004</v>
      </c>
      <c r="H247" s="374">
        <f t="shared" si="38"/>
        <v>-1510023</v>
      </c>
      <c r="I247" s="374">
        <f t="shared" si="38"/>
        <v>54945723.68</v>
      </c>
      <c r="J247" s="374">
        <f t="shared" si="38"/>
        <v>1524073.03</v>
      </c>
      <c r="K247" s="374">
        <f t="shared" si="38"/>
        <v>21033729.25</v>
      </c>
      <c r="L247" s="374">
        <f t="shared" si="38"/>
        <v>0</v>
      </c>
      <c r="M247" s="374">
        <f t="shared" si="38"/>
        <v>9199674.3200000003</v>
      </c>
      <c r="N247" s="374">
        <f t="shared" si="38"/>
        <v>7923984.9800000004</v>
      </c>
      <c r="O247" s="403">
        <f t="shared" si="38"/>
        <v>164580169.53999999</v>
      </c>
      <c r="P247" s="374">
        <f t="shared" si="38"/>
        <v>822800293.30999994</v>
      </c>
      <c r="Q247" s="374">
        <f t="shared" si="38"/>
        <v>776670669.61000001</v>
      </c>
      <c r="R247" s="374">
        <f t="shared" si="38"/>
        <v>280177036.5</v>
      </c>
      <c r="S247" s="374">
        <f t="shared" si="38"/>
        <v>424393052.52999997</v>
      </c>
      <c r="T247" s="374">
        <f t="shared" si="38"/>
        <v>70577673.829999998</v>
      </c>
      <c r="U247" s="374">
        <f t="shared" si="38"/>
        <v>225779324.61000001</v>
      </c>
      <c r="V247" s="374">
        <f t="shared" si="38"/>
        <v>436799225.39999998</v>
      </c>
      <c r="W247" s="374">
        <f t="shared" si="38"/>
        <v>249917818.56999999</v>
      </c>
      <c r="X247" s="374">
        <f t="shared" si="38"/>
        <v>203160472.31999999</v>
      </c>
      <c r="Y247" s="374">
        <f t="shared" si="38"/>
        <v>277010253.44</v>
      </c>
      <c r="Z247" s="374">
        <f t="shared" si="38"/>
        <v>144680420.72999999</v>
      </c>
      <c r="AA247" s="374">
        <f t="shared" si="38"/>
        <v>139581320.80000001</v>
      </c>
      <c r="AB247" s="374">
        <f t="shared" si="38"/>
        <v>70997510.180000007</v>
      </c>
      <c r="AC247" s="374">
        <f t="shared" si="38"/>
        <v>127126449.51000001</v>
      </c>
      <c r="AD247" s="374">
        <f t="shared" si="38"/>
        <v>181477263.94999999</v>
      </c>
      <c r="AE247" s="374">
        <f t="shared" si="38"/>
        <v>47869514.509999998</v>
      </c>
      <c r="AF247" s="374">
        <f t="shared" si="38"/>
        <v>-436796.06</v>
      </c>
      <c r="AG247" s="374">
        <f t="shared" si="38"/>
        <v>336203.16</v>
      </c>
      <c r="AI247" s="365">
        <f t="shared" si="37"/>
        <v>4803447657.8000002</v>
      </c>
    </row>
    <row r="248" spans="1:35" x14ac:dyDescent="0.2">
      <c r="B248" s="2881" t="s">
        <v>4901</v>
      </c>
      <c r="C248" s="2881"/>
      <c r="D248" t="str">
        <f>IF(ROUND(SUM(F248:N248),2)-ROUND(E248,2)=0,"OK","prob")</f>
        <v>OK</v>
      </c>
      <c r="E248" s="374">
        <f t="shared" ref="E248:AG248" si="39">E225+E247</f>
        <v>493294081.23000002</v>
      </c>
      <c r="F248" s="374">
        <f t="shared" si="39"/>
        <v>414218875.02999997</v>
      </c>
      <c r="G248" s="374">
        <f t="shared" si="39"/>
        <v>36459459.609999999</v>
      </c>
      <c r="H248" s="374">
        <f t="shared" si="39"/>
        <v>-4615933</v>
      </c>
      <c r="I248" s="374">
        <f t="shared" si="39"/>
        <v>75976876.680000007</v>
      </c>
      <c r="J248" s="374">
        <f t="shared" si="39"/>
        <v>161728.51999999999</v>
      </c>
      <c r="K248" s="374">
        <f t="shared" si="39"/>
        <v>-33233181.75</v>
      </c>
      <c r="L248" s="374">
        <f t="shared" si="39"/>
        <v>0</v>
      </c>
      <c r="M248" s="374">
        <f t="shared" si="39"/>
        <v>-700469.97</v>
      </c>
      <c r="N248" s="374">
        <f t="shared" si="39"/>
        <v>5026726.1100000003</v>
      </c>
      <c r="O248" s="403">
        <f t="shared" si="39"/>
        <v>83449783.170000002</v>
      </c>
      <c r="P248" s="374">
        <f t="shared" si="39"/>
        <v>79269112.659999996</v>
      </c>
      <c r="Q248" s="374">
        <f t="shared" si="39"/>
        <v>175456812.37</v>
      </c>
      <c r="R248" s="374">
        <f t="shared" si="39"/>
        <v>27195136.940000001</v>
      </c>
      <c r="S248" s="374">
        <f t="shared" si="39"/>
        <v>136105296.71000001</v>
      </c>
      <c r="T248" s="374">
        <f t="shared" si="39"/>
        <v>15658053.390000001</v>
      </c>
      <c r="U248" s="374">
        <f t="shared" si="39"/>
        <v>50742920.159999996</v>
      </c>
      <c r="V248" s="374">
        <f t="shared" si="39"/>
        <v>131197467.95</v>
      </c>
      <c r="W248" s="374">
        <f t="shared" si="39"/>
        <v>65233465.630000003</v>
      </c>
      <c r="X248" s="374">
        <f t="shared" si="39"/>
        <v>37289646.100000001</v>
      </c>
      <c r="Y248" s="374">
        <f t="shared" si="39"/>
        <v>70737078.829999998</v>
      </c>
      <c r="Z248" s="374">
        <f t="shared" si="39"/>
        <v>26490056.039999999</v>
      </c>
      <c r="AA248" s="374">
        <f t="shared" si="39"/>
        <v>28769571.899999999</v>
      </c>
      <c r="AB248" s="374">
        <f t="shared" si="39"/>
        <v>-3591042.56</v>
      </c>
      <c r="AC248" s="374">
        <f t="shared" si="39"/>
        <v>9124380.5399999991</v>
      </c>
      <c r="AD248" s="374">
        <f t="shared" si="39"/>
        <v>3314039.14</v>
      </c>
      <c r="AE248" s="374">
        <f t="shared" si="39"/>
        <v>3332873.13</v>
      </c>
      <c r="AF248" s="374">
        <f t="shared" si="39"/>
        <v>-1860411.57</v>
      </c>
      <c r="AG248" s="374">
        <f t="shared" si="39"/>
        <v>-918368.99</v>
      </c>
      <c r="AI248" s="365">
        <f t="shared" si="37"/>
        <v>1431208321.76</v>
      </c>
    </row>
    <row r="249" spans="1:35" x14ac:dyDescent="0.2">
      <c r="A249" s="527">
        <v>2870</v>
      </c>
      <c r="B249" s="2881" t="s">
        <v>4902</v>
      </c>
      <c r="C249" s="2881"/>
      <c r="D249" t="str">
        <f t="shared" ref="D249:D259" si="40">IF(SUM(F249:N249)-E249=0,"OK","prob")</f>
        <v>OK</v>
      </c>
      <c r="E249" s="365">
        <v>0</v>
      </c>
      <c r="F249" s="365">
        <v>0</v>
      </c>
      <c r="G249" s="365">
        <v>0</v>
      </c>
      <c r="H249" s="365">
        <v>0</v>
      </c>
      <c r="I249" s="365">
        <v>0</v>
      </c>
      <c r="J249" s="365">
        <v>0</v>
      </c>
      <c r="K249" s="365">
        <v>0</v>
      </c>
      <c r="L249" s="365"/>
      <c r="M249" s="365">
        <v>0</v>
      </c>
      <c r="N249" s="365">
        <v>0</v>
      </c>
      <c r="O249" s="789">
        <v>0</v>
      </c>
      <c r="P249" s="789">
        <v>0</v>
      </c>
      <c r="Q249" s="365">
        <f>41539626.8-12337585</f>
        <v>29202041.800000001</v>
      </c>
      <c r="R249" s="365">
        <v>6862302.9500000002</v>
      </c>
      <c r="S249" s="365">
        <v>5512994.9199999999</v>
      </c>
      <c r="T249" s="365">
        <v>396871.36</v>
      </c>
      <c r="U249" s="365">
        <v>579390.42000000004</v>
      </c>
      <c r="V249" s="365">
        <v>22672699.300000001</v>
      </c>
      <c r="W249" s="365">
        <v>0</v>
      </c>
      <c r="X249" s="365">
        <v>10542222.779999999</v>
      </c>
      <c r="Y249" s="365">
        <v>0</v>
      </c>
      <c r="Z249" s="365">
        <v>13858993.73</v>
      </c>
      <c r="AA249" s="365">
        <v>694990.33</v>
      </c>
      <c r="AB249" s="365">
        <v>370930.73</v>
      </c>
      <c r="AC249" s="365">
        <v>0</v>
      </c>
      <c r="AD249" s="365">
        <v>11058488.08</v>
      </c>
      <c r="AE249" s="365">
        <v>5949638.2599999998</v>
      </c>
      <c r="AF249" s="365">
        <v>0</v>
      </c>
      <c r="AG249" s="365">
        <v>0</v>
      </c>
      <c r="AI249" s="365">
        <f t="shared" si="37"/>
        <v>107701564.66</v>
      </c>
    </row>
    <row r="250" spans="1:35" x14ac:dyDescent="0.2">
      <c r="A250" s="191">
        <v>2880</v>
      </c>
      <c r="B250" s="2881" t="s">
        <v>2817</v>
      </c>
      <c r="C250" s="2881"/>
      <c r="D250" t="str">
        <f t="shared" si="40"/>
        <v>OK</v>
      </c>
      <c r="E250" s="365">
        <v>0</v>
      </c>
      <c r="F250" s="365">
        <v>0</v>
      </c>
      <c r="G250" s="365">
        <v>0</v>
      </c>
      <c r="H250" s="365">
        <v>0</v>
      </c>
      <c r="I250" s="365">
        <v>0</v>
      </c>
      <c r="J250" s="365">
        <v>0</v>
      </c>
      <c r="K250" s="365">
        <v>0</v>
      </c>
      <c r="L250" s="365"/>
      <c r="M250" s="365">
        <v>0</v>
      </c>
      <c r="N250" s="365">
        <v>0</v>
      </c>
      <c r="O250" s="789">
        <v>1723268.49</v>
      </c>
      <c r="P250" s="789">
        <v>29664197.199999999</v>
      </c>
      <c r="Q250" s="365">
        <v>1536827.1</v>
      </c>
      <c r="R250" s="365">
        <v>0</v>
      </c>
      <c r="S250" s="365">
        <v>14790661</v>
      </c>
      <c r="T250" s="365">
        <v>1675000</v>
      </c>
      <c r="U250" s="365">
        <v>9418000</v>
      </c>
      <c r="V250" s="365">
        <v>12431295</v>
      </c>
      <c r="W250" s="365">
        <v>21760717.710000001</v>
      </c>
      <c r="X250" s="365">
        <v>0</v>
      </c>
      <c r="Y250" s="365">
        <v>2000000</v>
      </c>
      <c r="Z250" s="365">
        <v>230802.64</v>
      </c>
      <c r="AA250" s="365">
        <v>0</v>
      </c>
      <c r="AB250" s="365">
        <v>0</v>
      </c>
      <c r="AC250" s="365">
        <v>1513059.9</v>
      </c>
      <c r="AD250" s="365">
        <v>12352932.699999999</v>
      </c>
      <c r="AE250" s="365">
        <v>0</v>
      </c>
      <c r="AF250" s="365">
        <v>0</v>
      </c>
      <c r="AG250" s="365">
        <v>0</v>
      </c>
      <c r="AI250" s="365">
        <f t="shared" si="37"/>
        <v>109096761.73999999</v>
      </c>
    </row>
    <row r="251" spans="1:35" x14ac:dyDescent="0.2">
      <c r="A251" s="191">
        <v>2890</v>
      </c>
      <c r="B251" s="2881" t="s">
        <v>2819</v>
      </c>
      <c r="C251" s="2881"/>
      <c r="D251" t="str">
        <f t="shared" si="40"/>
        <v>OK</v>
      </c>
      <c r="E251" s="365">
        <v>265374.21999999997</v>
      </c>
      <c r="F251" s="365">
        <v>0</v>
      </c>
      <c r="G251" s="365">
        <v>0</v>
      </c>
      <c r="H251" s="365">
        <v>0</v>
      </c>
      <c r="I251" s="365">
        <v>0</v>
      </c>
      <c r="J251" s="365">
        <v>0</v>
      </c>
      <c r="K251" s="365">
        <v>0</v>
      </c>
      <c r="L251" s="365"/>
      <c r="M251" s="365">
        <v>0</v>
      </c>
      <c r="N251" s="365">
        <v>265374.21999999997</v>
      </c>
      <c r="O251" s="789">
        <v>0</v>
      </c>
      <c r="P251" s="789">
        <v>10769105.09</v>
      </c>
      <c r="Q251" s="365">
        <v>9922253.5999999996</v>
      </c>
      <c r="R251" s="365">
        <v>233389.17</v>
      </c>
      <c r="S251" s="365">
        <v>1028213.79</v>
      </c>
      <c r="T251" s="365">
        <v>2507019.98</v>
      </c>
      <c r="U251" s="365">
        <v>127727</v>
      </c>
      <c r="V251" s="365">
        <v>1151994.52</v>
      </c>
      <c r="W251" s="365">
        <v>2452700</v>
      </c>
      <c r="X251" s="365">
        <v>792093</v>
      </c>
      <c r="Y251" s="365">
        <v>1293430.05</v>
      </c>
      <c r="Z251" s="365">
        <v>359715.96</v>
      </c>
      <c r="AA251" s="365">
        <v>0</v>
      </c>
      <c r="AB251" s="365">
        <v>1000000</v>
      </c>
      <c r="AC251" s="365">
        <v>0</v>
      </c>
      <c r="AD251" s="365">
        <v>0</v>
      </c>
      <c r="AE251" s="365">
        <v>508127.3</v>
      </c>
      <c r="AF251" s="365">
        <v>0</v>
      </c>
      <c r="AG251" s="365">
        <v>150552.79999999999</v>
      </c>
      <c r="AI251" s="365">
        <f t="shared" si="37"/>
        <v>32411143.68</v>
      </c>
    </row>
    <row r="252" spans="1:35" x14ac:dyDescent="0.2">
      <c r="A252" s="191">
        <v>2900</v>
      </c>
      <c r="B252" s="2881" t="s">
        <v>2820</v>
      </c>
      <c r="C252" s="2881"/>
      <c r="D252" t="str">
        <f t="shared" si="40"/>
        <v>OK</v>
      </c>
      <c r="E252" s="365">
        <v>0</v>
      </c>
      <c r="F252" s="365">
        <v>0</v>
      </c>
      <c r="G252" s="365">
        <v>0</v>
      </c>
      <c r="H252" s="365">
        <v>0</v>
      </c>
      <c r="I252" s="365">
        <v>0</v>
      </c>
      <c r="J252" s="365">
        <v>0</v>
      </c>
      <c r="K252" s="365">
        <v>0</v>
      </c>
      <c r="L252" s="365"/>
      <c r="M252" s="365">
        <v>0</v>
      </c>
      <c r="N252" s="365">
        <v>0</v>
      </c>
      <c r="O252" s="789">
        <v>20466</v>
      </c>
      <c r="P252" s="789">
        <v>36610483.710000001</v>
      </c>
      <c r="Q252" s="365">
        <v>7541550.7300000004</v>
      </c>
      <c r="R252" s="365">
        <v>6357907.7199999997</v>
      </c>
      <c r="S252" s="365">
        <v>3553042.26</v>
      </c>
      <c r="T252" s="365">
        <v>67131.19</v>
      </c>
      <c r="U252" s="365">
        <v>3299052.11</v>
      </c>
      <c r="V252" s="365">
        <v>2825315.68</v>
      </c>
      <c r="W252" s="365">
        <v>12483977.84</v>
      </c>
      <c r="X252" s="365">
        <v>2420039.2400000002</v>
      </c>
      <c r="Y252" s="365">
        <v>10530173.119999999</v>
      </c>
      <c r="Z252" s="365">
        <v>673903.09</v>
      </c>
      <c r="AA252" s="365">
        <v>50000</v>
      </c>
      <c r="AB252" s="1213">
        <v>484671.99</v>
      </c>
      <c r="AC252" s="365">
        <v>537789.72</v>
      </c>
      <c r="AD252" s="365">
        <v>0</v>
      </c>
      <c r="AE252" s="365">
        <v>3400000</v>
      </c>
      <c r="AF252" s="365">
        <v>0</v>
      </c>
      <c r="AG252" s="365">
        <v>0</v>
      </c>
      <c r="AI252" s="365">
        <f t="shared" si="37"/>
        <v>90855504.400000006</v>
      </c>
    </row>
    <row r="253" spans="1:35" x14ac:dyDescent="0.2">
      <c r="A253" s="666">
        <v>2940</v>
      </c>
      <c r="B253" s="2881" t="s">
        <v>4569</v>
      </c>
      <c r="C253" s="2881"/>
      <c r="D253" s="1382" t="str">
        <f t="shared" si="40"/>
        <v>prob</v>
      </c>
      <c r="E253" s="587">
        <v>-87171247.230000004</v>
      </c>
      <c r="F253" s="587">
        <v>-86698196.650000006</v>
      </c>
      <c r="G253" s="587">
        <v>-5215666.76</v>
      </c>
      <c r="H253" s="587">
        <v>0</v>
      </c>
      <c r="I253" s="587">
        <v>-21709793.82</v>
      </c>
      <c r="J253" s="587">
        <v>-1763813.82</v>
      </c>
      <c r="K253" s="587">
        <v>32423749.469999999</v>
      </c>
      <c r="L253" s="587"/>
      <c r="M253" s="587">
        <v>-2373329.79</v>
      </c>
      <c r="N253" s="587">
        <v>-1834195.86</v>
      </c>
      <c r="O253" s="1375">
        <v>-76169972.239999995</v>
      </c>
      <c r="P253" s="1375">
        <v>150745409.68000001</v>
      </c>
      <c r="Q253" s="1378">
        <v>4807616.33</v>
      </c>
      <c r="R253" s="1378">
        <v>1425821.3</v>
      </c>
      <c r="S253" s="1378">
        <v>921315.85</v>
      </c>
      <c r="T253" s="1378">
        <v>109950.96</v>
      </c>
      <c r="U253" s="587">
        <v>400131.25</v>
      </c>
      <c r="V253" s="587">
        <v>-1087765.97</v>
      </c>
      <c r="W253" s="587">
        <v>1269553.99</v>
      </c>
      <c r="X253" s="1213">
        <v>416698.91</v>
      </c>
      <c r="Y253" s="1213">
        <v>596143.92000000004</v>
      </c>
      <c r="Z253" s="1213">
        <v>275211.53000000003</v>
      </c>
      <c r="AA253" s="587">
        <v>442745.75</v>
      </c>
      <c r="AB253" s="587">
        <v>863626.75</v>
      </c>
      <c r="AC253" s="587">
        <v>394312.87</v>
      </c>
      <c r="AD253" s="587">
        <v>1443607.52</v>
      </c>
      <c r="AE253" s="587">
        <v>921748.13</v>
      </c>
      <c r="AF253" s="587">
        <v>0</v>
      </c>
      <c r="AG253" s="587">
        <v>0</v>
      </c>
      <c r="AI253" s="365">
        <f t="shared" si="37"/>
        <v>604909.30000000005</v>
      </c>
    </row>
    <row r="254" spans="1:35" x14ac:dyDescent="0.2">
      <c r="A254" s="191">
        <v>2950</v>
      </c>
      <c r="B254" s="2881" t="s">
        <v>2822</v>
      </c>
      <c r="C254" s="2881"/>
      <c r="D254" t="str">
        <f t="shared" si="40"/>
        <v>OK</v>
      </c>
      <c r="E254" s="233">
        <v>0</v>
      </c>
      <c r="F254" s="233">
        <v>0</v>
      </c>
      <c r="G254" s="233">
        <v>0</v>
      </c>
      <c r="H254" s="233">
        <v>0</v>
      </c>
      <c r="I254" s="233">
        <v>0</v>
      </c>
      <c r="J254" s="233">
        <v>0</v>
      </c>
      <c r="K254" s="233">
        <v>0</v>
      </c>
      <c r="L254" s="233"/>
      <c r="M254" s="233">
        <v>0</v>
      </c>
      <c r="N254" s="233">
        <v>0</v>
      </c>
      <c r="O254" s="789">
        <v>0</v>
      </c>
      <c r="P254" s="789">
        <v>0</v>
      </c>
      <c r="Q254" s="365">
        <v>0</v>
      </c>
      <c r="R254" s="365">
        <v>0</v>
      </c>
      <c r="S254" s="365">
        <v>0</v>
      </c>
      <c r="T254" s="365">
        <v>0</v>
      </c>
      <c r="U254" s="1270">
        <v>0</v>
      </c>
      <c r="V254" s="233">
        <v>0</v>
      </c>
      <c r="W254" s="1270">
        <v>0</v>
      </c>
      <c r="X254" s="233">
        <v>0</v>
      </c>
      <c r="Y254" s="233">
        <v>0</v>
      </c>
      <c r="Z254" s="233">
        <v>0</v>
      </c>
      <c r="AA254" s="233">
        <v>0</v>
      </c>
      <c r="AB254" s="233">
        <v>0</v>
      </c>
      <c r="AC254" s="233">
        <v>0</v>
      </c>
      <c r="AD254" s="233">
        <v>0</v>
      </c>
      <c r="AE254" s="233">
        <v>0</v>
      </c>
      <c r="AF254" s="233">
        <v>0</v>
      </c>
      <c r="AG254" s="233">
        <v>0</v>
      </c>
      <c r="AI254" s="365">
        <f t="shared" si="37"/>
        <v>0</v>
      </c>
    </row>
    <row r="255" spans="1:35" x14ac:dyDescent="0.2">
      <c r="A255" s="191">
        <v>2960</v>
      </c>
      <c r="B255" s="2881" t="s">
        <v>2823</v>
      </c>
      <c r="C255" s="2881"/>
      <c r="D255" t="str">
        <f t="shared" si="40"/>
        <v>OK</v>
      </c>
      <c r="E255" s="476">
        <v>0</v>
      </c>
      <c r="F255" s="476">
        <v>0</v>
      </c>
      <c r="G255" s="476">
        <v>0</v>
      </c>
      <c r="H255" s="476">
        <v>0</v>
      </c>
      <c r="I255" s="476">
        <v>0</v>
      </c>
      <c r="J255" s="476">
        <v>0</v>
      </c>
      <c r="K255" s="476">
        <v>0</v>
      </c>
      <c r="L255" s="476"/>
      <c r="M255" s="476">
        <v>0</v>
      </c>
      <c r="N255" s="476">
        <v>0</v>
      </c>
      <c r="O255" s="1208">
        <v>0</v>
      </c>
      <c r="P255" s="1208">
        <v>0</v>
      </c>
      <c r="Q255" s="367">
        <v>0</v>
      </c>
      <c r="R255" s="367">
        <v>0</v>
      </c>
      <c r="S255" s="367">
        <v>0</v>
      </c>
      <c r="T255" s="367">
        <v>0</v>
      </c>
      <c r="U255" s="1985">
        <v>0</v>
      </c>
      <c r="V255" s="476">
        <v>0</v>
      </c>
      <c r="W255" s="1985">
        <v>0</v>
      </c>
      <c r="X255" s="476">
        <v>0</v>
      </c>
      <c r="Y255" s="476">
        <v>0</v>
      </c>
      <c r="Z255" s="476">
        <v>0</v>
      </c>
      <c r="AA255" s="476">
        <v>0</v>
      </c>
      <c r="AB255" s="476">
        <v>0</v>
      </c>
      <c r="AC255" s="476">
        <v>0</v>
      </c>
      <c r="AD255" s="476">
        <v>0</v>
      </c>
      <c r="AE255" s="476">
        <v>0</v>
      </c>
      <c r="AF255" s="476">
        <v>0</v>
      </c>
      <c r="AG255" s="476">
        <v>0</v>
      </c>
      <c r="AI255" s="365">
        <f t="shared" si="37"/>
        <v>0</v>
      </c>
    </row>
    <row r="256" spans="1:35" x14ac:dyDescent="0.2">
      <c r="B256" s="2881" t="s">
        <v>4903</v>
      </c>
      <c r="C256" s="2881"/>
      <c r="D256" s="1382" t="str">
        <f t="shared" si="40"/>
        <v>prob</v>
      </c>
      <c r="E256" s="2022">
        <f t="shared" ref="E256:U256" si="41">SUM(E248:E255)</f>
        <v>406388208.22000003</v>
      </c>
      <c r="F256" s="365">
        <f t="shared" si="41"/>
        <v>327520678.38</v>
      </c>
      <c r="G256" s="365">
        <f t="shared" si="41"/>
        <v>31243792.850000001</v>
      </c>
      <c r="H256" s="365">
        <f t="shared" si="41"/>
        <v>-4615933</v>
      </c>
      <c r="I256" s="365">
        <f t="shared" si="41"/>
        <v>54267082.859999999</v>
      </c>
      <c r="J256" s="365">
        <f t="shared" si="41"/>
        <v>-1602085.3</v>
      </c>
      <c r="K256" s="365">
        <f>SUM(K248:K255)</f>
        <v>-809432.28</v>
      </c>
      <c r="L256" s="365">
        <f>SUM(L248:L255)</f>
        <v>0</v>
      </c>
      <c r="M256" s="365">
        <f>SUM(M248:M255)</f>
        <v>-3073799.76</v>
      </c>
      <c r="N256" s="365">
        <f>SUM(N248:N255)</f>
        <v>3457904.47</v>
      </c>
      <c r="O256" s="2021">
        <f t="shared" si="41"/>
        <v>9023545.4199999999</v>
      </c>
      <c r="P256" s="2022">
        <f t="shared" si="41"/>
        <v>307058308.33999997</v>
      </c>
      <c r="Q256" s="2022">
        <f t="shared" si="41"/>
        <v>228467101.93000001</v>
      </c>
      <c r="R256" s="2022">
        <f t="shared" si="41"/>
        <v>42074558.079999998</v>
      </c>
      <c r="S256" s="2022">
        <f t="shared" si="41"/>
        <v>161911524.53</v>
      </c>
      <c r="T256" s="2021">
        <f t="shared" si="41"/>
        <v>20414026.879999999</v>
      </c>
      <c r="U256" s="2022">
        <f t="shared" si="41"/>
        <v>64567220.939999998</v>
      </c>
      <c r="V256" s="2022">
        <f>SUM(V248:V255)</f>
        <v>169191006.47999999</v>
      </c>
      <c r="W256" s="2022">
        <f t="shared" ref="W256:AG256" si="42">SUM(W248:W255)</f>
        <v>103200415.17</v>
      </c>
      <c r="X256" s="2022">
        <f t="shared" si="42"/>
        <v>51460700.030000001</v>
      </c>
      <c r="Y256" s="2022">
        <f t="shared" si="42"/>
        <v>85156825.920000002</v>
      </c>
      <c r="Z256" s="2022">
        <f t="shared" si="42"/>
        <v>41888682.990000002</v>
      </c>
      <c r="AA256" s="2022">
        <f t="shared" si="42"/>
        <v>29957307.98</v>
      </c>
      <c r="AB256" s="2022">
        <f t="shared" si="42"/>
        <v>-871813.09</v>
      </c>
      <c r="AC256" s="2022">
        <f t="shared" si="42"/>
        <v>11569543.029999999</v>
      </c>
      <c r="AD256" s="2022">
        <f t="shared" si="42"/>
        <v>28169067.440000001</v>
      </c>
      <c r="AE256" s="2022">
        <f>SUM(AE248:AE255)</f>
        <v>14112386.82</v>
      </c>
      <c r="AF256" s="2022">
        <f t="shared" si="42"/>
        <v>-1860411.57</v>
      </c>
      <c r="AG256" s="365">
        <f t="shared" si="42"/>
        <v>-767816.19</v>
      </c>
      <c r="AI256" s="365">
        <f t="shared" si="37"/>
        <v>1771878205.54</v>
      </c>
    </row>
    <row r="257" spans="1:35" x14ac:dyDescent="0.2">
      <c r="A257" s="191">
        <v>2980</v>
      </c>
      <c r="B257" s="2881" t="s">
        <v>4905</v>
      </c>
      <c r="C257" s="2881"/>
      <c r="D257" t="str">
        <f t="shared" si="40"/>
        <v>OK</v>
      </c>
      <c r="E257" s="587">
        <v>2194239572.1999998</v>
      </c>
      <c r="F257" s="587">
        <v>965313253.44000006</v>
      </c>
      <c r="G257" s="587">
        <v>129352347.98999999</v>
      </c>
      <c r="H257" s="587">
        <v>31789089</v>
      </c>
      <c r="I257" s="587">
        <v>944825557.21000004</v>
      </c>
      <c r="J257" s="587">
        <v>-882532.79</v>
      </c>
      <c r="K257" s="587">
        <v>37257576.869999997</v>
      </c>
      <c r="L257" s="587"/>
      <c r="M257" s="587">
        <v>14154557.119999999</v>
      </c>
      <c r="N257" s="587">
        <v>72429723.359999999</v>
      </c>
      <c r="O257" s="788">
        <v>173202299.74000001</v>
      </c>
      <c r="P257" s="788">
        <v>3649932301.9200001</v>
      </c>
      <c r="Q257" s="587">
        <v>1061545624.92</v>
      </c>
      <c r="R257" s="587">
        <v>669910957.38999999</v>
      </c>
      <c r="S257" s="587">
        <v>796165342.10000002</v>
      </c>
      <c r="T257" s="587">
        <v>104151342.52</v>
      </c>
      <c r="U257" s="587">
        <v>437395921.66000003</v>
      </c>
      <c r="V257" s="587">
        <v>226019103.31</v>
      </c>
      <c r="W257" s="587">
        <v>401717872.48000002</v>
      </c>
      <c r="X257" s="587">
        <v>465406821.81</v>
      </c>
      <c r="Y257" s="587">
        <v>377408368.13</v>
      </c>
      <c r="Z257" s="587">
        <v>92361512.469999999</v>
      </c>
      <c r="AA257" s="587">
        <v>107970245.63</v>
      </c>
      <c r="AB257" s="587">
        <v>126811235.59</v>
      </c>
      <c r="AC257" s="587">
        <v>65704689.509999998</v>
      </c>
      <c r="AD257" s="587">
        <v>90397312.549999997</v>
      </c>
      <c r="AE257" s="587">
        <v>132255439.87</v>
      </c>
      <c r="AF257" s="587">
        <v>53943742.270000003</v>
      </c>
      <c r="AG257" s="587">
        <v>9646312.3399999999</v>
      </c>
      <c r="AI257" s="365">
        <f t="shared" si="37"/>
        <v>11226539706.07</v>
      </c>
    </row>
    <row r="258" spans="1:35" x14ac:dyDescent="0.2">
      <c r="A258" s="191">
        <v>2990</v>
      </c>
      <c r="B258" s="2881" t="s">
        <v>1737</v>
      </c>
      <c r="C258" s="2881"/>
      <c r="D258" s="1382" t="str">
        <f t="shared" si="40"/>
        <v>prob</v>
      </c>
      <c r="E258" s="367">
        <v>-13698291.609999999</v>
      </c>
      <c r="F258" s="367">
        <v>-40956911.990000002</v>
      </c>
      <c r="G258" s="367">
        <v>4499005.8099999996</v>
      </c>
      <c r="H258" s="367">
        <v>0</v>
      </c>
      <c r="I258" s="367">
        <v>5900375.9199999999</v>
      </c>
      <c r="J258" s="367">
        <v>179513.91</v>
      </c>
      <c r="K258" s="367">
        <v>15498352.15</v>
      </c>
      <c r="L258" s="367">
        <v>0</v>
      </c>
      <c r="M258" s="367">
        <v>46612.55</v>
      </c>
      <c r="N258" s="367">
        <v>1134760.04</v>
      </c>
      <c r="O258" s="789">
        <v>622076.36</v>
      </c>
      <c r="P258" s="1208">
        <v>0</v>
      </c>
      <c r="Q258" s="367">
        <v>0</v>
      </c>
      <c r="R258" s="367">
        <v>344444</v>
      </c>
      <c r="S258" s="367">
        <v>144448.94</v>
      </c>
      <c r="T258" s="367">
        <v>0</v>
      </c>
      <c r="U258" s="367">
        <v>-1899.3</v>
      </c>
      <c r="V258" s="367">
        <v>29692.06</v>
      </c>
      <c r="W258" s="367">
        <v>-603467.66</v>
      </c>
      <c r="X258" s="367">
        <v>271383.69</v>
      </c>
      <c r="Y258" s="367">
        <v>0</v>
      </c>
      <c r="Z258" s="367">
        <v>0</v>
      </c>
      <c r="AA258" s="367">
        <v>386250</v>
      </c>
      <c r="AB258" s="367">
        <v>-717145</v>
      </c>
      <c r="AC258" s="367">
        <v>525471.86</v>
      </c>
      <c r="AD258" s="367">
        <v>5354392.22</v>
      </c>
      <c r="AE258" s="367">
        <v>0</v>
      </c>
      <c r="AF258" s="367">
        <v>8455.1200000000008</v>
      </c>
      <c r="AG258" s="367">
        <v>266241.15000000002</v>
      </c>
      <c r="AI258" s="365">
        <f t="shared" si="37"/>
        <v>-7334189.3200000003</v>
      </c>
    </row>
    <row r="259" spans="1:35" ht="13.5" thickBot="1" x14ac:dyDescent="0.25">
      <c r="B259" s="2881" t="s">
        <v>4908</v>
      </c>
      <c r="C259" s="2881"/>
      <c r="D259" t="str">
        <f t="shared" si="40"/>
        <v>OK</v>
      </c>
      <c r="E259" s="453">
        <f t="shared" ref="E259:U259" si="43">SUM(E256:E258)</f>
        <v>2586929488.8099999</v>
      </c>
      <c r="F259" s="453">
        <f t="shared" si="43"/>
        <v>1251877019.8299999</v>
      </c>
      <c r="G259" s="453">
        <f t="shared" si="43"/>
        <v>165095146.65000001</v>
      </c>
      <c r="H259" s="453">
        <f t="shared" si="43"/>
        <v>27173156</v>
      </c>
      <c r="I259" s="453">
        <f t="shared" si="43"/>
        <v>1004993015.99</v>
      </c>
      <c r="J259" s="453">
        <f t="shared" si="43"/>
        <v>-2305104.1800000002</v>
      </c>
      <c r="K259" s="453">
        <f t="shared" si="43"/>
        <v>51946496.740000002</v>
      </c>
      <c r="L259" s="453">
        <f>SUM(L256:L258)</f>
        <v>0</v>
      </c>
      <c r="M259" s="453">
        <f>SUM(M256:M258)</f>
        <v>11127369.91</v>
      </c>
      <c r="N259" s="453">
        <f>SUM(N256:N258)</f>
        <v>77022387.870000005</v>
      </c>
      <c r="O259" s="404">
        <f t="shared" si="43"/>
        <v>182847921.52000001</v>
      </c>
      <c r="P259" s="453">
        <f>SUM(P256:P258)</f>
        <v>3956990610.2600002</v>
      </c>
      <c r="Q259" s="453">
        <f t="shared" si="43"/>
        <v>1290012726.8499999</v>
      </c>
      <c r="R259" s="453">
        <f t="shared" si="43"/>
        <v>712329959.47000003</v>
      </c>
      <c r="S259" s="453">
        <f t="shared" si="43"/>
        <v>958221315.57000005</v>
      </c>
      <c r="T259" s="453">
        <f t="shared" si="43"/>
        <v>124565369.40000001</v>
      </c>
      <c r="U259" s="453">
        <f t="shared" si="43"/>
        <v>501961243.30000001</v>
      </c>
      <c r="V259" s="453">
        <f>SUM(V256:V258)</f>
        <v>395239801.85000002</v>
      </c>
      <c r="W259" s="453">
        <f t="shared" ref="W259:AG259" si="44">SUM(W256:W258)</f>
        <v>504314819.99000001</v>
      </c>
      <c r="X259" s="453">
        <f t="shared" si="44"/>
        <v>517138905.52999997</v>
      </c>
      <c r="Y259" s="453">
        <f t="shared" si="44"/>
        <v>462565194.05000001</v>
      </c>
      <c r="Z259" s="453">
        <f t="shared" si="44"/>
        <v>134250195.46000001</v>
      </c>
      <c r="AA259" s="453">
        <f t="shared" si="44"/>
        <v>138313803.61000001</v>
      </c>
      <c r="AB259" s="453">
        <f t="shared" si="44"/>
        <v>125222277.5</v>
      </c>
      <c r="AC259" s="453">
        <f t="shared" si="44"/>
        <v>77799704.400000006</v>
      </c>
      <c r="AD259" s="453">
        <f t="shared" si="44"/>
        <v>123920772.20999999</v>
      </c>
      <c r="AE259" s="453">
        <f t="shared" si="44"/>
        <v>146367826.69</v>
      </c>
      <c r="AF259" s="453">
        <f t="shared" si="44"/>
        <v>52091785.82</v>
      </c>
      <c r="AG259" s="453">
        <f t="shared" si="44"/>
        <v>9144737.3000000007</v>
      </c>
      <c r="AI259" s="365">
        <f t="shared" si="37"/>
        <v>12991083722.290001</v>
      </c>
    </row>
    <row r="260" spans="1:35" ht="13.5" thickTop="1" x14ac:dyDescent="0.2"/>
    <row r="261" spans="1:35" x14ac:dyDescent="0.2">
      <c r="B261" s="191" t="s">
        <v>5386</v>
      </c>
      <c r="C261" s="203"/>
      <c r="E261" s="454" t="str">
        <f t="shared" ref="E261:AG261" si="45">IF(ROUND(E192-E259,2)=0,"OK", "Error")</f>
        <v>OK</v>
      </c>
      <c r="F261" s="454" t="str">
        <f t="shared" si="45"/>
        <v>OK</v>
      </c>
      <c r="G261" s="454" t="str">
        <f t="shared" si="45"/>
        <v>OK</v>
      </c>
      <c r="H261" s="454" t="str">
        <f t="shared" si="45"/>
        <v>OK</v>
      </c>
      <c r="I261" s="454" t="str">
        <f t="shared" si="45"/>
        <v>OK</v>
      </c>
      <c r="J261" s="454" t="str">
        <f t="shared" si="45"/>
        <v>OK</v>
      </c>
      <c r="K261" s="454" t="str">
        <f t="shared" si="45"/>
        <v>OK</v>
      </c>
      <c r="L261" s="454" t="str">
        <f t="shared" si="45"/>
        <v>OK</v>
      </c>
      <c r="M261" s="454" t="str">
        <f t="shared" si="45"/>
        <v>OK</v>
      </c>
      <c r="N261" s="454" t="str">
        <f t="shared" si="45"/>
        <v>OK</v>
      </c>
      <c r="O261" s="1376" t="str">
        <f t="shared" si="45"/>
        <v>OK</v>
      </c>
      <c r="P261" s="454" t="str">
        <f t="shared" si="45"/>
        <v>OK</v>
      </c>
      <c r="Q261" s="454" t="str">
        <f t="shared" si="45"/>
        <v>OK</v>
      </c>
      <c r="R261" s="454" t="str">
        <f t="shared" si="45"/>
        <v>OK</v>
      </c>
      <c r="S261" s="454" t="str">
        <f t="shared" si="45"/>
        <v>OK</v>
      </c>
      <c r="T261" s="454" t="str">
        <f t="shared" si="45"/>
        <v>OK</v>
      </c>
      <c r="U261" s="454" t="str">
        <f t="shared" si="45"/>
        <v>OK</v>
      </c>
      <c r="V261" s="454" t="str">
        <f t="shared" si="45"/>
        <v>OK</v>
      </c>
      <c r="W261" s="454" t="str">
        <f t="shared" si="45"/>
        <v>OK</v>
      </c>
      <c r="X261" s="454" t="str">
        <f t="shared" si="45"/>
        <v>OK</v>
      </c>
      <c r="Y261" s="454" t="str">
        <f t="shared" si="45"/>
        <v>OK</v>
      </c>
      <c r="Z261" s="454" t="str">
        <f t="shared" si="45"/>
        <v>OK</v>
      </c>
      <c r="AA261" s="454" t="str">
        <f t="shared" si="45"/>
        <v>OK</v>
      </c>
      <c r="AB261" s="454" t="str">
        <f t="shared" si="45"/>
        <v>OK</v>
      </c>
      <c r="AC261" s="454" t="str">
        <f t="shared" si="45"/>
        <v>OK</v>
      </c>
      <c r="AD261" s="454" t="str">
        <f t="shared" si="45"/>
        <v>OK</v>
      </c>
      <c r="AE261" s="454" t="str">
        <f t="shared" si="45"/>
        <v>OK</v>
      </c>
      <c r="AF261" s="454" t="str">
        <f t="shared" si="45"/>
        <v>OK</v>
      </c>
      <c r="AG261" s="454" t="str">
        <f t="shared" si="45"/>
        <v>OK</v>
      </c>
    </row>
    <row r="262" spans="1:35" x14ac:dyDescent="0.2">
      <c r="B262" s="2347"/>
      <c r="C262" s="2347"/>
    </row>
    <row r="263" spans="1:35" x14ac:dyDescent="0.2">
      <c r="B263" s="746" t="s">
        <v>5387</v>
      </c>
      <c r="C263" s="747"/>
    </row>
    <row r="264" spans="1:35" x14ac:dyDescent="0.2">
      <c r="B264" s="748" t="s">
        <v>5388</v>
      </c>
      <c r="C264" s="746"/>
    </row>
    <row r="265" spans="1:35" x14ac:dyDescent="0.2">
      <c r="C265" s="27" t="s">
        <v>5324</v>
      </c>
      <c r="E265" s="735" t="s">
        <v>4588</v>
      </c>
      <c r="F265" s="744" t="s">
        <v>4590</v>
      </c>
      <c r="G265" s="735" t="s">
        <v>4591</v>
      </c>
      <c r="H265" s="735" t="s">
        <v>4592</v>
      </c>
      <c r="I265" s="735" t="s">
        <v>4593</v>
      </c>
      <c r="J265" s="735" t="s">
        <v>4594</v>
      </c>
      <c r="K265" s="735" t="s">
        <v>4595</v>
      </c>
      <c r="L265" s="735" t="s">
        <v>4598</v>
      </c>
      <c r="M265" s="1330" t="s">
        <v>4596</v>
      </c>
      <c r="N265" s="735" t="s">
        <v>4597</v>
      </c>
      <c r="O265" s="1330" t="s">
        <v>5040</v>
      </c>
      <c r="P265" s="735" t="s">
        <v>5042</v>
      </c>
      <c r="Q265" s="735" t="s">
        <v>5044</v>
      </c>
      <c r="R265" s="735" t="s">
        <v>5046</v>
      </c>
      <c r="S265" s="735" t="s">
        <v>5048</v>
      </c>
      <c r="T265" s="735" t="s">
        <v>5050</v>
      </c>
      <c r="U265" s="735" t="s">
        <v>5052</v>
      </c>
      <c r="V265" s="735" t="s">
        <v>5054</v>
      </c>
      <c r="W265" s="735" t="s">
        <v>5056</v>
      </c>
      <c r="X265" s="735" t="s">
        <v>5058</v>
      </c>
      <c r="Y265" s="735" t="s">
        <v>5060</v>
      </c>
      <c r="Z265" s="735" t="s">
        <v>5062</v>
      </c>
      <c r="AA265" s="735" t="s">
        <v>5064</v>
      </c>
      <c r="AB265" s="735" t="s">
        <v>5066</v>
      </c>
      <c r="AC265" s="735" t="s">
        <v>5068</v>
      </c>
      <c r="AD265" s="735" t="s">
        <v>5070</v>
      </c>
      <c r="AE265" s="735" t="s">
        <v>5072</v>
      </c>
      <c r="AF265" s="735" t="s">
        <v>5074</v>
      </c>
      <c r="AG265" s="745" t="s">
        <v>5029</v>
      </c>
    </row>
    <row r="266" spans="1:35" x14ac:dyDescent="0.2">
      <c r="C266" t="s">
        <v>5325</v>
      </c>
      <c r="E266" s="2246" t="s">
        <v>4604</v>
      </c>
      <c r="F266" s="2246" t="s">
        <v>4610</v>
      </c>
      <c r="G266" s="2246" t="s">
        <v>5326</v>
      </c>
      <c r="H266" s="2246" t="s">
        <v>5326</v>
      </c>
      <c r="I266" s="2246" t="s">
        <v>4608</v>
      </c>
      <c r="J266" s="2246" t="s">
        <v>5327</v>
      </c>
      <c r="K266" s="2246" t="s">
        <v>5328</v>
      </c>
      <c r="L266" s="2246" t="s">
        <v>4613</v>
      </c>
      <c r="M266" s="2246" t="s">
        <v>5329</v>
      </c>
      <c r="N266" s="2246" t="s">
        <v>4612</v>
      </c>
      <c r="O266" s="2246" t="s">
        <v>5330</v>
      </c>
      <c r="P266" s="2246" t="s">
        <v>5331</v>
      </c>
      <c r="Q266" s="2246" t="s">
        <v>5332</v>
      </c>
      <c r="R266" s="2246" t="s">
        <v>5331</v>
      </c>
      <c r="S266" s="2246" t="s">
        <v>5331</v>
      </c>
      <c r="T266" s="2246" t="s">
        <v>5331</v>
      </c>
      <c r="U266" s="2246" t="s">
        <v>5331</v>
      </c>
      <c r="V266" s="2246" t="s">
        <v>5333</v>
      </c>
      <c r="W266" s="2246" t="s">
        <v>5334</v>
      </c>
      <c r="X266" s="2246" t="s">
        <v>5335</v>
      </c>
      <c r="Y266" s="2246" t="s">
        <v>5336</v>
      </c>
      <c r="Z266" s="2246" t="s">
        <v>5331</v>
      </c>
      <c r="AA266" s="2246" t="s">
        <v>5337</v>
      </c>
      <c r="AB266" s="2246" t="s">
        <v>5338</v>
      </c>
      <c r="AC266" s="2246" t="s">
        <v>5339</v>
      </c>
      <c r="AD266" s="2246" t="s">
        <v>5340</v>
      </c>
      <c r="AE266" s="2246" t="s">
        <v>5341</v>
      </c>
      <c r="AF266" s="2246" t="s">
        <v>5342</v>
      </c>
      <c r="AG266" s="2246" t="s">
        <v>5343</v>
      </c>
    </row>
    <row r="267" spans="1:35" x14ac:dyDescent="0.2">
      <c r="B267" s="159"/>
      <c r="E267" s="2246" t="s">
        <v>5345</v>
      </c>
      <c r="F267" s="2246" t="s">
        <v>5346</v>
      </c>
      <c r="G267" s="2246" t="s">
        <v>5347</v>
      </c>
      <c r="H267" s="2246" t="s">
        <v>5348</v>
      </c>
      <c r="I267" s="2246" t="s">
        <v>4618</v>
      </c>
      <c r="J267" s="2246" t="s">
        <v>4619</v>
      </c>
      <c r="K267" s="2246" t="s">
        <v>5349</v>
      </c>
      <c r="L267" s="2246" t="s">
        <v>5350</v>
      </c>
      <c r="M267" s="2246" t="s">
        <v>4621</v>
      </c>
      <c r="N267" s="2246" t="s">
        <v>4622</v>
      </c>
      <c r="O267" s="2246" t="s">
        <v>5351</v>
      </c>
      <c r="P267" s="2246" t="s">
        <v>5352</v>
      </c>
      <c r="Q267" s="2246" t="s">
        <v>5353</v>
      </c>
      <c r="R267" s="2246" t="s">
        <v>5354</v>
      </c>
      <c r="S267" s="2246" t="s">
        <v>5355</v>
      </c>
      <c r="T267" s="2246" t="s">
        <v>5356</v>
      </c>
      <c r="U267" s="2246" t="s">
        <v>5357</v>
      </c>
      <c r="V267" s="2246" t="s">
        <v>5358</v>
      </c>
      <c r="W267" s="2246" t="s">
        <v>5359</v>
      </c>
      <c r="X267" s="2246" t="s">
        <v>5358</v>
      </c>
      <c r="Y267" s="2246" t="s">
        <v>5359</v>
      </c>
      <c r="Z267" s="2246" t="s">
        <v>5360</v>
      </c>
      <c r="AA267" s="2246" t="s">
        <v>5359</v>
      </c>
      <c r="AB267" s="2246" t="s">
        <v>5359</v>
      </c>
      <c r="AC267" s="2246" t="s">
        <v>5359</v>
      </c>
      <c r="AD267" s="2246" t="s">
        <v>5353</v>
      </c>
      <c r="AE267" s="2246" t="s">
        <v>5361</v>
      </c>
      <c r="AF267" s="2246" t="s">
        <v>5362</v>
      </c>
      <c r="AG267" s="2246" t="s">
        <v>5363</v>
      </c>
    </row>
    <row r="268" spans="1:35" x14ac:dyDescent="0.2">
      <c r="B268" s="159" t="s">
        <v>5389</v>
      </c>
      <c r="E268" s="636" t="str">
        <f>TEXT(Data!$A$4,"mmmm d,yyyy")</f>
        <v>June 30,2022</v>
      </c>
      <c r="F268" s="636" t="str">
        <f>TEXT(Data!$A$4,"mmmm d,yyyy")</f>
        <v>June 30,2022</v>
      </c>
      <c r="G268" s="636" t="str">
        <f>TEXT(Data!$A$4,"mmmm d,yyyy")</f>
        <v>June 30,2022</v>
      </c>
      <c r="H268" s="636" t="str">
        <f>TEXT(Data!$A$4,"mmmm d,yyyy")</f>
        <v>June 30,2022</v>
      </c>
      <c r="I268" s="636" t="str">
        <f>TEXT(Data!$A$4,"mmmm d,yyyy")</f>
        <v>June 30,2022</v>
      </c>
      <c r="J268" s="636" t="str">
        <f>TEXT(Data!$A$4,"mmmm d,yyyy")</f>
        <v>June 30,2022</v>
      </c>
      <c r="K268" s="636" t="str">
        <f>TEXT(Data!$A$4,"mmmm d,yyyy")</f>
        <v>June 30,2022</v>
      </c>
      <c r="L268" s="636" t="str">
        <f>TEXT(Data!$A$4,"mmmm d,yyyy")</f>
        <v>June 30,2022</v>
      </c>
      <c r="M268" s="636" t="str">
        <f>TEXT(Data!$A$4,"mmmm d,yyyy")</f>
        <v>June 30,2022</v>
      </c>
      <c r="N268" s="636" t="str">
        <f>TEXT(Data!$A$4,"mmmm d,yyyy")</f>
        <v>June 30,2022</v>
      </c>
      <c r="O268" s="636" t="str">
        <f>TEXT(Data!$A$4,"mmmm d,yyyy")</f>
        <v>June 30,2022</v>
      </c>
      <c r="P268" s="636" t="str">
        <f>TEXT(Data!$A$4,"mmmm d,yyyy")</f>
        <v>June 30,2022</v>
      </c>
      <c r="Q268" s="636" t="str">
        <f>TEXT(Data!$A$4,"mmmm d,yyyy")</f>
        <v>June 30,2022</v>
      </c>
      <c r="R268" s="636" t="str">
        <f>TEXT(Data!$A$4,"mmmm d,yyyy")</f>
        <v>June 30,2022</v>
      </c>
      <c r="S268" s="636" t="str">
        <f>TEXT(Data!$A$4,"mmmm d,yyyy")</f>
        <v>June 30,2022</v>
      </c>
      <c r="T268" s="636" t="str">
        <f>TEXT(Data!$A$4,"mmmm d,yyyy")</f>
        <v>June 30,2022</v>
      </c>
      <c r="U268" s="636" t="str">
        <f>TEXT(Data!$A$4,"mmmm d,yyyy")</f>
        <v>June 30,2022</v>
      </c>
      <c r="V268" s="636" t="str">
        <f>TEXT(Data!$A$4,"mmmm d,yyyy")</f>
        <v>June 30,2022</v>
      </c>
      <c r="W268" s="636" t="str">
        <f>TEXT(Data!$A$4,"mmmm d,yyyy")</f>
        <v>June 30,2022</v>
      </c>
      <c r="X268" s="636" t="str">
        <f>TEXT(Data!$A$4,"mmmm d,yyyy")</f>
        <v>June 30,2022</v>
      </c>
      <c r="Y268" s="636" t="str">
        <f>TEXT(Data!$A$4,"mmmm d,yyyy")</f>
        <v>June 30,2022</v>
      </c>
      <c r="Z268" s="636" t="str">
        <f>TEXT(Data!$A$4,"mmmm d,yyyy")</f>
        <v>June 30,2022</v>
      </c>
      <c r="AA268" s="636" t="str">
        <f>TEXT(Data!$A$4,"mmmm d,yyyy")</f>
        <v>June 30,2022</v>
      </c>
      <c r="AB268" s="636" t="str">
        <f>TEXT(Data!$A$4,"mmmm d,yyyy")</f>
        <v>June 30,2022</v>
      </c>
      <c r="AC268" s="636" t="str">
        <f>TEXT(Data!$A$4,"mmmm d,yyyy")</f>
        <v>June 30,2022</v>
      </c>
      <c r="AD268" s="636" t="str">
        <f>TEXT(Data!$A$4,"mmmm d,yyyy")</f>
        <v>June 30,2022</v>
      </c>
      <c r="AE268" s="636" t="str">
        <f>TEXT(Data!$A$4,"mmmm d,yyyy")</f>
        <v>June 30,2022</v>
      </c>
      <c r="AF268" s="636" t="str">
        <f>TEXT(Data!$A$4,"mmmm d,yyyy")</f>
        <v>June 30,2022</v>
      </c>
      <c r="AG268" s="636" t="str">
        <f>TEXT(Data!$A$4,"mmmm d,yyyy")</f>
        <v>June 30,2022</v>
      </c>
    </row>
    <row r="269" spans="1:35" x14ac:dyDescent="0.2">
      <c r="B269" s="2987" t="s">
        <v>3156</v>
      </c>
      <c r="C269" s="2987"/>
      <c r="D269" s="1382" t="str">
        <f>IF(ROUND(SUM(F269:N269),2)-ROUND(E269,2)=0,"OK","prob")</f>
        <v>prob</v>
      </c>
      <c r="E269" s="365">
        <v>854146718.88</v>
      </c>
      <c r="F269" s="365">
        <v>489250786</v>
      </c>
      <c r="G269" s="365">
        <v>36164123.170000002</v>
      </c>
      <c r="H269" s="365">
        <v>0</v>
      </c>
      <c r="I269" s="365">
        <v>269226538.00999999</v>
      </c>
      <c r="J269" s="365">
        <v>8587179</v>
      </c>
      <c r="K269" s="365">
        <v>2670267.2400000002</v>
      </c>
      <c r="L269" s="365"/>
      <c r="M269" s="365">
        <v>3057882.83</v>
      </c>
      <c r="N269" s="365">
        <v>46493239.630000003</v>
      </c>
      <c r="O269" s="233">
        <v>60064261.090000004</v>
      </c>
      <c r="P269" s="365">
        <v>1554680648.52</v>
      </c>
      <c r="Q269" s="365">
        <v>1024337994.2</v>
      </c>
      <c r="R269" s="365">
        <v>247541480.15000001</v>
      </c>
      <c r="S269" s="365">
        <v>286315586.25</v>
      </c>
      <c r="T269" s="365">
        <v>99191837.849999994</v>
      </c>
      <c r="U269" s="365">
        <v>205092361.47999999</v>
      </c>
      <c r="V269" s="365">
        <v>342175141.63999999</v>
      </c>
      <c r="W269" s="365">
        <v>170524547.63</v>
      </c>
      <c r="X269" s="365">
        <v>129661679.68000001</v>
      </c>
      <c r="Y269" s="365">
        <v>308722421.58999997</v>
      </c>
      <c r="Z269" s="365">
        <v>79742940.709999993</v>
      </c>
      <c r="AA269" s="365">
        <v>112263467.29000001</v>
      </c>
      <c r="AB269" s="365">
        <v>61102191.719999999</v>
      </c>
      <c r="AC269" s="365">
        <v>62725182.68</v>
      </c>
      <c r="AD269" s="365">
        <v>130413301.47</v>
      </c>
      <c r="AE269" s="365">
        <v>62343457.490000002</v>
      </c>
      <c r="AF269" s="365">
        <v>23180534.170000002</v>
      </c>
      <c r="AG269" s="365">
        <v>903260.19</v>
      </c>
    </row>
    <row r="270" spans="1:35" x14ac:dyDescent="0.2">
      <c r="B270" s="2987" t="s">
        <v>3160</v>
      </c>
      <c r="C270" s="2987"/>
      <c r="D270" t="str">
        <f>IF(ROUND(SUM(F270:N270),2)-ROUND(E270,2)=0,"OK","prob")</f>
        <v>OK</v>
      </c>
      <c r="E270" s="365">
        <v>879414395.61000001</v>
      </c>
      <c r="F270" s="365">
        <v>411919388</v>
      </c>
      <c r="G270" s="365">
        <v>110150450.81999999</v>
      </c>
      <c r="H270" s="365">
        <v>0</v>
      </c>
      <c r="I270" s="365">
        <v>278886601</v>
      </c>
      <c r="J270" s="365">
        <v>12503038</v>
      </c>
      <c r="K270" s="365">
        <v>2178061.21</v>
      </c>
      <c r="L270" s="365"/>
      <c r="M270" s="365">
        <v>3113890.83</v>
      </c>
      <c r="N270" s="365">
        <v>60662965.75</v>
      </c>
      <c r="O270" s="233">
        <v>15187160.029999999</v>
      </c>
      <c r="P270" s="365">
        <v>335978416.87</v>
      </c>
      <c r="Q270" s="365">
        <v>288516465.69</v>
      </c>
      <c r="R270" s="365">
        <v>40540432.719999999</v>
      </c>
      <c r="S270" s="365">
        <v>75735676.829999998</v>
      </c>
      <c r="T270" s="365">
        <v>6324384.1699999999</v>
      </c>
      <c r="U270" s="365">
        <v>41534655.32</v>
      </c>
      <c r="V270" s="365">
        <v>112471893.13</v>
      </c>
      <c r="W270" s="365">
        <v>49375189.479999997</v>
      </c>
      <c r="X270" s="365">
        <v>14614216.960000001</v>
      </c>
      <c r="Y270" s="365">
        <v>37188512.359999999</v>
      </c>
      <c r="Z270" s="365">
        <v>21227559.969999999</v>
      </c>
      <c r="AA270" s="365">
        <v>14981939.1</v>
      </c>
      <c r="AB270" s="365">
        <v>11148666.85</v>
      </c>
      <c r="AC270" s="365">
        <v>12502491.470000001</v>
      </c>
      <c r="AD270" s="365">
        <v>24951986.84</v>
      </c>
      <c r="AE270" s="365">
        <v>10982401.5</v>
      </c>
      <c r="AF270" s="365">
        <v>11121307.6</v>
      </c>
      <c r="AG270" s="365">
        <v>263122.13</v>
      </c>
    </row>
    <row r="271" spans="1:35" x14ac:dyDescent="0.2">
      <c r="B271" s="2987" t="s">
        <v>4846</v>
      </c>
      <c r="C271" s="2987"/>
      <c r="D271" t="str">
        <f>IF(SUM(F271:N271)-E271=0,"OK","prob")</f>
        <v>OK</v>
      </c>
      <c r="E271" s="365">
        <v>0</v>
      </c>
      <c r="F271" s="365">
        <v>0</v>
      </c>
      <c r="G271" s="365">
        <v>0</v>
      </c>
      <c r="H271" s="365">
        <v>0</v>
      </c>
      <c r="I271" s="365">
        <v>0</v>
      </c>
      <c r="J271" s="365">
        <v>0</v>
      </c>
      <c r="K271" s="365">
        <v>0</v>
      </c>
      <c r="L271" s="365"/>
      <c r="M271" s="365">
        <v>0</v>
      </c>
      <c r="N271" s="365">
        <v>0</v>
      </c>
      <c r="O271" s="1640">
        <v>0</v>
      </c>
      <c r="P271" s="365">
        <v>0</v>
      </c>
      <c r="Q271" s="365">
        <v>0</v>
      </c>
      <c r="R271" s="365">
        <v>0</v>
      </c>
      <c r="S271" s="365">
        <v>0</v>
      </c>
      <c r="T271" s="365">
        <v>195938.32</v>
      </c>
      <c r="U271" s="365">
        <v>0</v>
      </c>
      <c r="V271" s="365">
        <v>0</v>
      </c>
      <c r="W271" s="365">
        <v>0</v>
      </c>
      <c r="X271" s="365">
        <v>0</v>
      </c>
      <c r="Y271" s="365">
        <v>0</v>
      </c>
      <c r="Z271" s="365">
        <v>0</v>
      </c>
      <c r="AA271" s="365">
        <v>0</v>
      </c>
      <c r="AB271" s="365">
        <v>0</v>
      </c>
      <c r="AC271" s="365">
        <v>0</v>
      </c>
      <c r="AD271" s="365">
        <v>0</v>
      </c>
      <c r="AE271" s="365">
        <v>0</v>
      </c>
      <c r="AF271" s="365">
        <v>0</v>
      </c>
      <c r="AG271" s="365">
        <v>0</v>
      </c>
    </row>
    <row r="272" spans="1:35" x14ac:dyDescent="0.2">
      <c r="B272" s="2987" t="s">
        <v>4847</v>
      </c>
      <c r="C272" s="2987"/>
      <c r="D272" s="1382" t="str">
        <f>IF(ROUND(SUM(F272:N272),2)-ROUND(E272,2)=0,"OK","prob")</f>
        <v>prob</v>
      </c>
      <c r="E272" s="365">
        <v>27626780.09</v>
      </c>
      <c r="F272" s="365">
        <v>5224480</v>
      </c>
      <c r="G272" s="365">
        <v>0</v>
      </c>
      <c r="H272" s="365">
        <v>0</v>
      </c>
      <c r="I272" s="365">
        <v>20592807</v>
      </c>
      <c r="J272" s="365">
        <v>1782948</v>
      </c>
      <c r="K272" s="365">
        <v>0</v>
      </c>
      <c r="L272" s="365"/>
      <c r="M272" s="365">
        <v>26543.09</v>
      </c>
      <c r="N272" s="365">
        <v>0</v>
      </c>
      <c r="O272" s="233">
        <v>11136238.449999999</v>
      </c>
      <c r="P272" s="365">
        <v>568834497.12</v>
      </c>
      <c r="Q272" s="365">
        <v>97516042.209999993</v>
      </c>
      <c r="R272" s="365">
        <v>56740477.18</v>
      </c>
      <c r="S272" s="365">
        <v>68818699.989999995</v>
      </c>
      <c r="T272" s="365">
        <v>13469120.4</v>
      </c>
      <c r="U272" s="365">
        <v>20563260.23</v>
      </c>
      <c r="V272" s="365">
        <v>48086349.210000001</v>
      </c>
      <c r="W272" s="365">
        <v>11838227.689999999</v>
      </c>
      <c r="X272" s="365">
        <v>27512385.399999999</v>
      </c>
      <c r="Y272" s="365">
        <v>40839013.759999998</v>
      </c>
      <c r="Z272" s="365">
        <v>10811043.550000001</v>
      </c>
      <c r="AA272" s="365">
        <v>9874968.8200000003</v>
      </c>
      <c r="AB272" s="365">
        <v>11924214.57</v>
      </c>
      <c r="AC272" s="365">
        <v>7837066.9400000004</v>
      </c>
      <c r="AD272" s="365">
        <v>17668718.23</v>
      </c>
      <c r="AE272" s="365">
        <v>2370614.16</v>
      </c>
      <c r="AF272" s="365">
        <v>79944.649999999994</v>
      </c>
      <c r="AG272" s="365">
        <v>1726367.26</v>
      </c>
    </row>
    <row r="273" spans="2:33" x14ac:dyDescent="0.2">
      <c r="B273" s="2987" t="s">
        <v>5365</v>
      </c>
      <c r="C273" s="2987"/>
      <c r="D273" t="str">
        <f t="shared" ref="D273:D278" si="46">IF(ROUND(SUM(F273:N273),2)-ROUND(E273,2)=0,"OK","prob")</f>
        <v>OK</v>
      </c>
      <c r="E273" s="365"/>
      <c r="F273" s="365"/>
      <c r="G273" s="365"/>
      <c r="H273" s="365"/>
      <c r="I273" s="365"/>
      <c r="J273" s="365"/>
      <c r="K273" s="365"/>
      <c r="L273" s="365"/>
      <c r="M273" s="365"/>
      <c r="N273" s="365"/>
      <c r="O273" s="233">
        <v>9391.56</v>
      </c>
      <c r="P273" s="365">
        <v>5512.68</v>
      </c>
      <c r="Q273" s="365"/>
      <c r="R273" s="365">
        <v>72565.37</v>
      </c>
      <c r="S273" s="365"/>
      <c r="T273" s="365"/>
      <c r="U273" s="365"/>
      <c r="V273" s="365"/>
      <c r="W273" s="365"/>
      <c r="X273" s="365"/>
      <c r="Y273" s="365"/>
      <c r="Z273" s="365">
        <v>20794.830000000002</v>
      </c>
      <c r="AA273" s="365">
        <v>7979.69</v>
      </c>
      <c r="AB273" s="365"/>
      <c r="AC273" s="365"/>
      <c r="AD273" s="365"/>
      <c r="AE273" s="365"/>
      <c r="AF273" s="365"/>
      <c r="AG273" s="365"/>
    </row>
    <row r="274" spans="2:33" x14ac:dyDescent="0.2">
      <c r="B274" s="2987" t="s">
        <v>5366</v>
      </c>
      <c r="C274" s="2987"/>
      <c r="D274" t="str">
        <f t="shared" si="46"/>
        <v>OK</v>
      </c>
      <c r="E274" s="365">
        <v>57090256.670000002</v>
      </c>
      <c r="F274" s="365">
        <v>9308199.0199999996</v>
      </c>
      <c r="G274" s="365">
        <v>11341860.68</v>
      </c>
      <c r="H274" s="365"/>
      <c r="I274" s="365">
        <v>17022721.370000001</v>
      </c>
      <c r="J274" s="365">
        <v>312276.37</v>
      </c>
      <c r="K274" s="365">
        <v>16463016.34</v>
      </c>
      <c r="L274" s="365"/>
      <c r="M274" s="365">
        <v>50272.09</v>
      </c>
      <c r="N274" s="365">
        <v>2591910.7999999998</v>
      </c>
      <c r="O274" s="233"/>
      <c r="P274" s="365">
        <v>23649254.940000001</v>
      </c>
      <c r="Q274" s="365">
        <v>12426012.560000001</v>
      </c>
      <c r="R274" s="365">
        <v>1176442.1100000001</v>
      </c>
      <c r="S274" s="365">
        <v>565876.92000000004</v>
      </c>
      <c r="T274" s="365">
        <v>185837.28</v>
      </c>
      <c r="U274" s="365">
        <v>70186.559999999998</v>
      </c>
      <c r="V274" s="365">
        <v>5088629.8899999997</v>
      </c>
      <c r="W274" s="365">
        <v>863951.47</v>
      </c>
      <c r="X274" s="365">
        <v>537435.06999999995</v>
      </c>
      <c r="Y274" s="365">
        <v>1281495.2</v>
      </c>
      <c r="Z274" s="365">
        <v>39989.47</v>
      </c>
      <c r="AA274" s="365">
        <v>101430.56</v>
      </c>
      <c r="AB274" s="365">
        <v>17384.11</v>
      </c>
      <c r="AC274" s="365"/>
      <c r="AD274" s="365">
        <v>24540.13</v>
      </c>
      <c r="AE274" s="365"/>
      <c r="AF274" s="365"/>
      <c r="AG274" s="365"/>
    </row>
    <row r="275" spans="2:33" x14ac:dyDescent="0.2">
      <c r="B275" s="2987" t="s">
        <v>5367</v>
      </c>
      <c r="C275" s="2987"/>
      <c r="D275" t="str">
        <f t="shared" si="46"/>
        <v>OK</v>
      </c>
      <c r="E275" s="365">
        <v>957157.42</v>
      </c>
      <c r="F275" s="365"/>
      <c r="G275" s="365"/>
      <c r="H275" s="365"/>
      <c r="I275" s="365">
        <v>335737.17</v>
      </c>
      <c r="J275" s="365"/>
      <c r="K275" s="365">
        <v>621420.25</v>
      </c>
      <c r="L275" s="365"/>
      <c r="M275" s="365"/>
      <c r="N275" s="365"/>
      <c r="O275" s="233"/>
      <c r="P275" s="365"/>
      <c r="Q275" s="365">
        <v>2563237.46</v>
      </c>
      <c r="R275" s="365">
        <v>127950.13</v>
      </c>
      <c r="S275" s="365">
        <v>438069.6</v>
      </c>
      <c r="T275" s="365">
        <v>534469.36</v>
      </c>
      <c r="U275" s="365">
        <v>107081.8</v>
      </c>
      <c r="V275" s="365">
        <v>398977.94</v>
      </c>
      <c r="W275" s="365"/>
      <c r="X275" s="365">
        <v>214929.49</v>
      </c>
      <c r="Y275" s="365">
        <v>461869.16</v>
      </c>
      <c r="Z275" s="365">
        <v>143924.14000000001</v>
      </c>
      <c r="AA275" s="365"/>
      <c r="AB275" s="365">
        <v>65967.02</v>
      </c>
      <c r="AC275" s="365"/>
      <c r="AD275" s="365">
        <v>330899.45</v>
      </c>
      <c r="AE275" s="365"/>
      <c r="AF275" s="365"/>
      <c r="AG275" s="365"/>
    </row>
    <row r="276" spans="2:33" x14ac:dyDescent="0.2">
      <c r="B276" s="2987" t="s">
        <v>5368</v>
      </c>
      <c r="C276" s="2987"/>
      <c r="D276" t="str">
        <f t="shared" si="46"/>
        <v>OK</v>
      </c>
      <c r="E276" s="365"/>
      <c r="F276" s="365"/>
      <c r="G276" s="365"/>
      <c r="H276" s="365"/>
      <c r="I276" s="365"/>
      <c r="J276" s="365"/>
      <c r="K276" s="365"/>
      <c r="L276" s="365"/>
      <c r="M276" s="365"/>
      <c r="N276" s="365"/>
      <c r="O276" s="233">
        <v>33399.46</v>
      </c>
      <c r="P276" s="365"/>
      <c r="Q276" s="365"/>
      <c r="R276" s="365"/>
      <c r="S276" s="365"/>
      <c r="T276" s="365"/>
      <c r="U276" s="365"/>
      <c r="V276" s="365"/>
      <c r="W276" s="365"/>
      <c r="X276" s="365"/>
      <c r="Y276" s="365">
        <v>670481.72</v>
      </c>
      <c r="Z276" s="365"/>
      <c r="AA276" s="365"/>
      <c r="AB276" s="365">
        <v>0</v>
      </c>
      <c r="AC276" s="365"/>
      <c r="AD276" s="365"/>
      <c r="AE276" s="365"/>
      <c r="AF276" s="365"/>
      <c r="AG276" s="365"/>
    </row>
    <row r="277" spans="2:33" x14ac:dyDescent="0.2">
      <c r="B277" s="3012" t="s">
        <v>5390</v>
      </c>
      <c r="C277" s="3012"/>
      <c r="D277" t="str">
        <f t="shared" si="46"/>
        <v>OK</v>
      </c>
      <c r="E277" s="365">
        <v>0</v>
      </c>
      <c r="F277" s="365">
        <v>0</v>
      </c>
      <c r="G277" s="365">
        <v>0</v>
      </c>
      <c r="H277" s="365">
        <v>0</v>
      </c>
      <c r="I277" s="365">
        <v>0</v>
      </c>
      <c r="J277" s="365">
        <v>0</v>
      </c>
      <c r="K277" s="365">
        <v>0</v>
      </c>
      <c r="L277" s="365"/>
      <c r="M277" s="365">
        <v>0</v>
      </c>
      <c r="N277" s="365">
        <v>0</v>
      </c>
      <c r="O277" s="233">
        <v>0</v>
      </c>
      <c r="P277" s="365">
        <v>0</v>
      </c>
      <c r="Q277" s="365">
        <v>0</v>
      </c>
      <c r="R277" s="365">
        <v>0</v>
      </c>
      <c r="S277" s="365">
        <v>0</v>
      </c>
      <c r="T277" s="365">
        <v>0</v>
      </c>
      <c r="U277" s="365">
        <v>0</v>
      </c>
      <c r="V277" s="365">
        <v>0</v>
      </c>
      <c r="W277" s="365">
        <v>0</v>
      </c>
      <c r="X277" s="365">
        <v>0</v>
      </c>
      <c r="Y277" s="365">
        <v>0</v>
      </c>
      <c r="Z277" s="365">
        <v>0</v>
      </c>
      <c r="AA277" s="365">
        <v>0</v>
      </c>
      <c r="AB277" s="365">
        <v>0</v>
      </c>
      <c r="AC277" s="365">
        <v>0</v>
      </c>
      <c r="AD277" s="365">
        <v>0</v>
      </c>
      <c r="AE277" s="365">
        <v>0</v>
      </c>
      <c r="AF277" s="365">
        <v>0</v>
      </c>
      <c r="AG277" s="365">
        <v>0</v>
      </c>
    </row>
    <row r="278" spans="2:33" x14ac:dyDescent="0.2">
      <c r="B278" s="3012" t="s">
        <v>5391</v>
      </c>
      <c r="C278" s="3012"/>
      <c r="D278" t="str">
        <f t="shared" si="46"/>
        <v>OK</v>
      </c>
      <c r="E278" s="365">
        <v>0</v>
      </c>
      <c r="F278" s="365">
        <v>0</v>
      </c>
      <c r="G278" s="365">
        <v>0</v>
      </c>
      <c r="H278" s="365">
        <v>0</v>
      </c>
      <c r="I278" s="365">
        <v>0</v>
      </c>
      <c r="J278" s="365">
        <v>0</v>
      </c>
      <c r="K278" s="365">
        <v>0</v>
      </c>
      <c r="L278" s="365"/>
      <c r="M278" s="365">
        <v>0</v>
      </c>
      <c r="N278" s="365">
        <v>0</v>
      </c>
      <c r="O278" s="233">
        <v>0</v>
      </c>
      <c r="P278" s="365">
        <v>0</v>
      </c>
      <c r="Q278" s="365">
        <v>0</v>
      </c>
      <c r="R278" s="365">
        <v>0</v>
      </c>
      <c r="S278" s="365">
        <v>0</v>
      </c>
      <c r="T278" s="365">
        <v>0</v>
      </c>
      <c r="U278" s="365">
        <v>0</v>
      </c>
      <c r="V278" s="365">
        <v>0</v>
      </c>
      <c r="W278" s="365">
        <v>0</v>
      </c>
      <c r="X278" s="365">
        <v>0</v>
      </c>
      <c r="Y278" s="365">
        <v>0</v>
      </c>
      <c r="Z278" s="365">
        <v>0</v>
      </c>
      <c r="AA278" s="365">
        <v>0</v>
      </c>
      <c r="AB278" s="365">
        <v>0</v>
      </c>
      <c r="AC278" s="365">
        <v>0</v>
      </c>
      <c r="AD278" s="365">
        <v>0</v>
      </c>
      <c r="AE278" s="365">
        <v>0</v>
      </c>
      <c r="AF278" s="365">
        <v>0</v>
      </c>
      <c r="AG278" s="365">
        <v>0</v>
      </c>
    </row>
    <row r="279" spans="2:33" x14ac:dyDescent="0.2">
      <c r="B279" s="2987" t="s">
        <v>3179</v>
      </c>
      <c r="C279" s="2987"/>
      <c r="D279" t="str">
        <f>IF(SUM(F279:N279)-E279=0,"OK","prob")</f>
        <v>OK</v>
      </c>
      <c r="E279" s="365">
        <v>0</v>
      </c>
      <c r="F279" s="365">
        <v>0</v>
      </c>
      <c r="G279" s="365">
        <v>0</v>
      </c>
      <c r="H279" s="365">
        <v>0</v>
      </c>
      <c r="I279" s="365">
        <v>0</v>
      </c>
      <c r="J279" s="365">
        <v>0</v>
      </c>
      <c r="K279" s="365">
        <v>0</v>
      </c>
      <c r="L279" s="365"/>
      <c r="M279" s="365">
        <v>0</v>
      </c>
      <c r="N279" s="365">
        <v>0</v>
      </c>
      <c r="O279" s="233">
        <v>0</v>
      </c>
      <c r="P279" s="365">
        <v>0</v>
      </c>
      <c r="Q279" s="365">
        <v>0</v>
      </c>
      <c r="R279" s="365">
        <v>0</v>
      </c>
      <c r="S279" s="365">
        <v>0</v>
      </c>
      <c r="T279" s="365">
        <v>0</v>
      </c>
      <c r="U279" s="365">
        <v>0</v>
      </c>
      <c r="V279" s="365">
        <v>0</v>
      </c>
      <c r="W279" s="365">
        <v>0</v>
      </c>
      <c r="X279" s="365">
        <v>0</v>
      </c>
      <c r="Y279" s="365">
        <v>0</v>
      </c>
      <c r="Z279" s="365">
        <v>0</v>
      </c>
      <c r="AA279" s="365">
        <v>0</v>
      </c>
      <c r="AB279" s="365">
        <v>0</v>
      </c>
      <c r="AC279" s="365">
        <v>0</v>
      </c>
      <c r="AD279" s="365">
        <v>0</v>
      </c>
      <c r="AE279" s="365">
        <v>0</v>
      </c>
      <c r="AF279" s="365">
        <v>0</v>
      </c>
      <c r="AG279" s="365">
        <v>0</v>
      </c>
    </row>
    <row r="280" spans="2:33" x14ac:dyDescent="0.2">
      <c r="B280" s="2987" t="s">
        <v>5392</v>
      </c>
      <c r="C280" s="2987"/>
      <c r="D280" t="str">
        <f>IF(SUM(F280:N280)-E280=0,"OK","prob")</f>
        <v>OK</v>
      </c>
      <c r="E280" s="365">
        <v>0</v>
      </c>
      <c r="F280" s="365">
        <v>0</v>
      </c>
      <c r="G280" s="365">
        <v>0</v>
      </c>
      <c r="H280" s="365">
        <v>0</v>
      </c>
      <c r="I280" s="365">
        <v>0</v>
      </c>
      <c r="J280" s="365">
        <v>0</v>
      </c>
      <c r="K280" s="365">
        <v>0</v>
      </c>
      <c r="L280" s="365"/>
      <c r="M280" s="365">
        <v>0</v>
      </c>
      <c r="N280" s="365">
        <v>0</v>
      </c>
      <c r="O280" s="233">
        <v>0</v>
      </c>
      <c r="P280" s="365">
        <v>0</v>
      </c>
      <c r="Q280" s="365">
        <v>0</v>
      </c>
      <c r="R280" s="365">
        <v>0</v>
      </c>
      <c r="S280" s="365">
        <v>0</v>
      </c>
      <c r="T280" s="365">
        <v>0</v>
      </c>
      <c r="U280" s="365">
        <v>0</v>
      </c>
      <c r="V280" s="365">
        <v>0</v>
      </c>
      <c r="W280" s="365">
        <v>0</v>
      </c>
      <c r="X280" s="365">
        <v>0</v>
      </c>
      <c r="Y280" s="365">
        <v>0</v>
      </c>
      <c r="Z280" s="365">
        <v>0</v>
      </c>
      <c r="AA280" s="365">
        <v>0</v>
      </c>
      <c r="AB280" s="365">
        <v>0</v>
      </c>
      <c r="AC280" s="365">
        <v>0</v>
      </c>
      <c r="AD280" s="365">
        <v>0</v>
      </c>
      <c r="AE280" s="365">
        <v>0</v>
      </c>
      <c r="AF280" s="365">
        <v>0</v>
      </c>
      <c r="AG280" s="365">
        <v>0</v>
      </c>
    </row>
    <row r="281" spans="2:33" x14ac:dyDescent="0.2">
      <c r="B281" s="2987" t="s">
        <v>4852</v>
      </c>
      <c r="C281" s="2987"/>
      <c r="D281" s="1382" t="str">
        <f>IF(ROUND(SUM(F281:N281),2)-ROUND(E281,2)=0,"OK","prob")</f>
        <v>prob</v>
      </c>
      <c r="E281" s="365">
        <v>185124771.86000001</v>
      </c>
      <c r="F281" s="365">
        <v>9765136</v>
      </c>
      <c r="G281" s="365">
        <v>175290403.86000001</v>
      </c>
      <c r="H281" s="365">
        <v>0</v>
      </c>
      <c r="I281" s="365">
        <v>0</v>
      </c>
      <c r="J281" s="365">
        <v>30655</v>
      </c>
      <c r="K281" s="365">
        <v>38578</v>
      </c>
      <c r="L281" s="365"/>
      <c r="M281" s="365">
        <v>0</v>
      </c>
      <c r="N281" s="365">
        <v>0</v>
      </c>
      <c r="O281" s="233">
        <v>0</v>
      </c>
      <c r="P281" s="365">
        <v>100532116.79000001</v>
      </c>
      <c r="Q281" s="365">
        <v>33161307.949999999</v>
      </c>
      <c r="R281" s="365">
        <v>0</v>
      </c>
      <c r="S281" s="365">
        <v>5600775.0599999996</v>
      </c>
      <c r="T281" s="365">
        <v>0</v>
      </c>
      <c r="U281" s="365">
        <v>0</v>
      </c>
      <c r="V281" s="365">
        <v>9953148.9299999997</v>
      </c>
      <c r="W281" s="365">
        <v>0</v>
      </c>
      <c r="X281" s="365">
        <v>126812.73</v>
      </c>
      <c r="Y281" s="365">
        <v>496406.42</v>
      </c>
      <c r="Z281" s="365">
        <v>0</v>
      </c>
      <c r="AA281" s="365">
        <v>316167.67</v>
      </c>
      <c r="AB281" s="365">
        <v>0</v>
      </c>
      <c r="AC281" s="365">
        <v>0</v>
      </c>
      <c r="AD281" s="365">
        <v>0</v>
      </c>
      <c r="AE281" s="365">
        <v>0</v>
      </c>
      <c r="AF281" s="365">
        <v>0</v>
      </c>
      <c r="AG281" s="365">
        <v>0</v>
      </c>
    </row>
    <row r="282" spans="2:33" x14ac:dyDescent="0.2">
      <c r="B282" s="2987" t="s">
        <v>3183</v>
      </c>
      <c r="C282" s="2987"/>
      <c r="D282" t="str">
        <f>IF(SUM(F282:N282)-E282=0,"OK","prob")</f>
        <v>OK</v>
      </c>
      <c r="E282" s="365">
        <v>0</v>
      </c>
      <c r="F282" s="365">
        <v>0</v>
      </c>
      <c r="G282" s="365">
        <v>0</v>
      </c>
      <c r="H282" s="365">
        <v>0</v>
      </c>
      <c r="I282" s="365">
        <v>0</v>
      </c>
      <c r="J282" s="365">
        <v>0</v>
      </c>
      <c r="K282" s="365">
        <v>0</v>
      </c>
      <c r="L282" s="365"/>
      <c r="M282" s="365">
        <v>0</v>
      </c>
      <c r="N282" s="365">
        <v>0</v>
      </c>
      <c r="O282" s="233">
        <v>0</v>
      </c>
      <c r="P282" s="365">
        <v>0</v>
      </c>
      <c r="Q282" s="365">
        <v>0</v>
      </c>
      <c r="R282" s="365">
        <v>0</v>
      </c>
      <c r="S282" s="365">
        <v>0</v>
      </c>
      <c r="T282" s="365">
        <v>0</v>
      </c>
      <c r="U282" s="365">
        <v>0</v>
      </c>
      <c r="V282" s="365">
        <v>0</v>
      </c>
      <c r="W282" s="365">
        <v>0</v>
      </c>
      <c r="X282" s="365">
        <v>0</v>
      </c>
      <c r="Y282" s="365">
        <v>0</v>
      </c>
      <c r="Z282" s="365">
        <v>0</v>
      </c>
      <c r="AA282" s="365">
        <v>0</v>
      </c>
      <c r="AB282" s="365">
        <v>0</v>
      </c>
      <c r="AC282" s="365">
        <v>0</v>
      </c>
      <c r="AD282" s="365">
        <v>0</v>
      </c>
      <c r="AE282" s="365">
        <v>0</v>
      </c>
      <c r="AF282" s="365">
        <v>0</v>
      </c>
      <c r="AG282" s="365">
        <v>0</v>
      </c>
    </row>
    <row r="283" spans="2:33" x14ac:dyDescent="0.2">
      <c r="B283" s="2987" t="s">
        <v>4853</v>
      </c>
      <c r="C283" s="2987"/>
      <c r="D283" s="1382" t="str">
        <f>IF(ROUND(SUM(F283:N283),2)-ROUND(E283,2)=0,"OK","prob")</f>
        <v>prob</v>
      </c>
      <c r="E283" s="367">
        <v>1303296</v>
      </c>
      <c r="F283" s="365">
        <v>0</v>
      </c>
      <c r="G283" s="367">
        <v>0</v>
      </c>
      <c r="H283" s="367">
        <v>0</v>
      </c>
      <c r="I283" s="365">
        <v>0</v>
      </c>
      <c r="J283" s="365">
        <v>0</v>
      </c>
      <c r="K283" s="365">
        <v>0</v>
      </c>
      <c r="L283" s="365"/>
      <c r="M283" s="365">
        <v>0</v>
      </c>
      <c r="N283" s="365">
        <v>0</v>
      </c>
      <c r="O283" s="476">
        <v>0</v>
      </c>
      <c r="P283" s="367">
        <v>0</v>
      </c>
      <c r="Q283" s="367">
        <v>0</v>
      </c>
      <c r="R283" s="367">
        <v>0</v>
      </c>
      <c r="S283" s="367">
        <v>0</v>
      </c>
      <c r="T283" s="367">
        <v>0</v>
      </c>
      <c r="U283" s="367">
        <v>0</v>
      </c>
      <c r="V283" s="367">
        <v>0</v>
      </c>
      <c r="W283" s="367">
        <v>0</v>
      </c>
      <c r="X283" s="367">
        <v>1021230.54</v>
      </c>
      <c r="Y283" s="367">
        <v>0</v>
      </c>
      <c r="Z283" s="367">
        <v>0</v>
      </c>
      <c r="AA283" s="367">
        <v>0</v>
      </c>
      <c r="AB283" s="367">
        <v>0</v>
      </c>
      <c r="AC283" s="367">
        <v>0</v>
      </c>
      <c r="AD283" s="367">
        <v>0</v>
      </c>
      <c r="AE283" s="367">
        <v>0</v>
      </c>
      <c r="AF283" s="367">
        <v>0</v>
      </c>
      <c r="AG283" s="367">
        <v>0</v>
      </c>
    </row>
    <row r="284" spans="2:33" ht="13.5" thickBot="1" x14ac:dyDescent="0.25">
      <c r="B284" s="159" t="s">
        <v>5393</v>
      </c>
      <c r="D284" t="str">
        <f>IF(ROUND(SUM(F284:N284),2)-ROUND(E284,2)=0,"OK","prob")</f>
        <v>OK</v>
      </c>
      <c r="E284" s="1019">
        <f>SUM(E269:E283)</f>
        <v>2005663376.53</v>
      </c>
      <c r="F284" s="1019">
        <f>SUM(F269:F283)</f>
        <v>925467989.01999998</v>
      </c>
      <c r="G284" s="1019">
        <f t="shared" ref="G284:AG284" si="47">SUM(G269:G283)</f>
        <v>332946838.52999997</v>
      </c>
      <c r="H284" s="1019">
        <f t="shared" si="47"/>
        <v>0</v>
      </c>
      <c r="I284" s="1019">
        <f t="shared" si="47"/>
        <v>586064404.54999995</v>
      </c>
      <c r="J284" s="1019">
        <f t="shared" si="47"/>
        <v>23216096.370000001</v>
      </c>
      <c r="K284" s="1019">
        <f t="shared" si="47"/>
        <v>21971343.039999999</v>
      </c>
      <c r="L284" s="1019">
        <f>SUM(L269:L283)</f>
        <v>0</v>
      </c>
      <c r="M284" s="1019">
        <f>SUM(M269:M283)</f>
        <v>6248588.8399999999</v>
      </c>
      <c r="N284" s="1019">
        <f>SUM(N269:N283)</f>
        <v>109748116.18000001</v>
      </c>
      <c r="O284" s="405">
        <f t="shared" si="47"/>
        <v>86430450.590000004</v>
      </c>
      <c r="P284" s="1019">
        <f t="shared" si="47"/>
        <v>2583680446.9200001</v>
      </c>
      <c r="Q284" s="1019">
        <f t="shared" si="47"/>
        <v>1458521060.0699999</v>
      </c>
      <c r="R284" s="1019">
        <f t="shared" si="47"/>
        <v>346199347.66000003</v>
      </c>
      <c r="S284" s="1019">
        <f t="shared" si="47"/>
        <v>437474684.64999998</v>
      </c>
      <c r="T284" s="1019">
        <f t="shared" si="47"/>
        <v>119901587.38</v>
      </c>
      <c r="U284" s="1019">
        <f t="shared" si="47"/>
        <v>267367545.38999999</v>
      </c>
      <c r="V284" s="1019">
        <f t="shared" si="47"/>
        <v>518174140.74000001</v>
      </c>
      <c r="W284" s="1019">
        <f t="shared" si="47"/>
        <v>232601916.27000001</v>
      </c>
      <c r="X284" s="1019">
        <f t="shared" si="47"/>
        <v>173688689.87</v>
      </c>
      <c r="Y284" s="1019">
        <f t="shared" si="47"/>
        <v>389660200.20999998</v>
      </c>
      <c r="Z284" s="1019">
        <f t="shared" si="47"/>
        <v>111986252.67</v>
      </c>
      <c r="AA284" s="1019">
        <f t="shared" si="47"/>
        <v>137545953.13</v>
      </c>
      <c r="AB284" s="1019">
        <f t="shared" si="47"/>
        <v>84258424.269999996</v>
      </c>
      <c r="AC284" s="1019">
        <f t="shared" si="47"/>
        <v>83064741.090000004</v>
      </c>
      <c r="AD284" s="1019">
        <f t="shared" si="47"/>
        <v>173389446.12</v>
      </c>
      <c r="AE284" s="1019">
        <f t="shared" si="47"/>
        <v>75696473.150000006</v>
      </c>
      <c r="AF284" s="1019">
        <f t="shared" si="47"/>
        <v>34381786.420000002</v>
      </c>
      <c r="AG284" s="1019">
        <f t="shared" si="47"/>
        <v>2892749.58</v>
      </c>
    </row>
    <row r="285" spans="2:33" ht="13.5" thickTop="1" x14ac:dyDescent="0.2"/>
    <row r="286" spans="2:33" x14ac:dyDescent="0.2">
      <c r="B286" s="749" t="s">
        <v>5394</v>
      </c>
      <c r="E286" s="454" t="str">
        <f t="shared" ref="E286:AG286" si="48">IF(ROUND(E84+E284,2)=0,"OK", "Error")</f>
        <v>OK</v>
      </c>
      <c r="F286" s="454" t="str">
        <f t="shared" si="48"/>
        <v>OK</v>
      </c>
      <c r="G286" s="454" t="str">
        <f t="shared" si="48"/>
        <v>OK</v>
      </c>
      <c r="H286" s="454" t="str">
        <f t="shared" si="48"/>
        <v>OK</v>
      </c>
      <c r="I286" s="454" t="str">
        <f t="shared" si="48"/>
        <v>OK</v>
      </c>
      <c r="J286" s="454" t="str">
        <f t="shared" si="48"/>
        <v>OK</v>
      </c>
      <c r="K286" s="454" t="str">
        <f t="shared" si="48"/>
        <v>OK</v>
      </c>
      <c r="L286" s="454" t="str">
        <f t="shared" si="48"/>
        <v>OK</v>
      </c>
      <c r="M286" s="454" t="str">
        <f t="shared" si="48"/>
        <v>OK</v>
      </c>
      <c r="N286" s="454" t="str">
        <f t="shared" si="48"/>
        <v>OK</v>
      </c>
      <c r="O286" s="1376" t="str">
        <f t="shared" si="48"/>
        <v>OK</v>
      </c>
      <c r="P286" s="454" t="str">
        <f t="shared" si="48"/>
        <v>OK</v>
      </c>
      <c r="Q286" s="454" t="str">
        <f t="shared" si="48"/>
        <v>OK</v>
      </c>
      <c r="R286" s="454" t="str">
        <f t="shared" si="48"/>
        <v>OK</v>
      </c>
      <c r="S286" s="454" t="str">
        <f t="shared" si="48"/>
        <v>OK</v>
      </c>
      <c r="T286" s="454" t="str">
        <f t="shared" si="48"/>
        <v>OK</v>
      </c>
      <c r="U286" s="454" t="str">
        <f t="shared" si="48"/>
        <v>OK</v>
      </c>
      <c r="V286" s="454" t="str">
        <f t="shared" si="48"/>
        <v>OK</v>
      </c>
      <c r="W286" s="454" t="str">
        <f t="shared" si="48"/>
        <v>OK</v>
      </c>
      <c r="X286" s="454" t="str">
        <f t="shared" si="48"/>
        <v>OK</v>
      </c>
      <c r="Y286" s="454" t="str">
        <f t="shared" si="48"/>
        <v>OK</v>
      </c>
      <c r="Z286" s="454" t="str">
        <f t="shared" si="48"/>
        <v>OK</v>
      </c>
      <c r="AA286" s="454" t="str">
        <f t="shared" si="48"/>
        <v>OK</v>
      </c>
      <c r="AB286" s="454" t="str">
        <f t="shared" si="48"/>
        <v>OK</v>
      </c>
      <c r="AC286" s="454" t="str">
        <f t="shared" si="48"/>
        <v>OK</v>
      </c>
      <c r="AD286" s="454" t="str">
        <f t="shared" si="48"/>
        <v>OK</v>
      </c>
      <c r="AE286" s="454" t="str">
        <f t="shared" si="48"/>
        <v>OK</v>
      </c>
      <c r="AF286" s="454" t="str">
        <f t="shared" si="48"/>
        <v>OK</v>
      </c>
      <c r="AG286" s="454" t="str">
        <f t="shared" si="48"/>
        <v>OK</v>
      </c>
    </row>
    <row r="287" spans="2:33" ht="5.25" customHeight="1" x14ac:dyDescent="0.2">
      <c r="B287" s="750"/>
      <c r="C287" s="750"/>
      <c r="E287" s="750"/>
      <c r="F287" s="750"/>
      <c r="G287" s="750"/>
      <c r="H287" s="750"/>
      <c r="I287" s="750"/>
      <c r="J287" s="750"/>
      <c r="K287" s="750"/>
      <c r="L287" s="750"/>
      <c r="M287" s="750"/>
      <c r="N287" s="750"/>
      <c r="O287" s="1372"/>
      <c r="P287" s="750"/>
      <c r="Q287" s="750"/>
      <c r="R287" s="750"/>
      <c r="S287" s="750"/>
      <c r="T287" s="750"/>
      <c r="U287" s="750"/>
      <c r="V287" s="750"/>
      <c r="W287" s="750"/>
      <c r="X287" s="750"/>
      <c r="Y287" s="750"/>
      <c r="Z287" s="750"/>
      <c r="AA287" s="750"/>
      <c r="AB287" s="750"/>
      <c r="AC287" s="750"/>
      <c r="AD287" s="750"/>
      <c r="AE287" s="750"/>
      <c r="AF287" s="750"/>
      <c r="AG287" s="750"/>
    </row>
    <row r="289" spans="1:33" x14ac:dyDescent="0.2">
      <c r="B289" s="746" t="s">
        <v>5395</v>
      </c>
      <c r="C289" s="747"/>
    </row>
    <row r="290" spans="1:33" x14ac:dyDescent="0.2">
      <c r="B290" s="748" t="s">
        <v>5396</v>
      </c>
      <c r="C290" s="746"/>
    </row>
    <row r="291" spans="1:33" x14ac:dyDescent="0.2">
      <c r="C291" s="27" t="s">
        <v>5324</v>
      </c>
      <c r="E291" s="735" t="s">
        <v>4588</v>
      </c>
      <c r="F291" s="744" t="s">
        <v>4590</v>
      </c>
      <c r="G291" s="735" t="s">
        <v>4591</v>
      </c>
      <c r="H291" s="735" t="s">
        <v>4592</v>
      </c>
      <c r="I291" s="735" t="s">
        <v>4593</v>
      </c>
      <c r="J291" s="735" t="s">
        <v>4594</v>
      </c>
      <c r="K291" s="735" t="s">
        <v>4595</v>
      </c>
      <c r="L291" s="735" t="s">
        <v>4598</v>
      </c>
      <c r="M291" s="1330" t="s">
        <v>4596</v>
      </c>
      <c r="N291" s="735" t="s">
        <v>4597</v>
      </c>
      <c r="O291" s="1330" t="s">
        <v>5040</v>
      </c>
      <c r="P291" s="735" t="s">
        <v>5042</v>
      </c>
      <c r="Q291" s="735" t="s">
        <v>5044</v>
      </c>
      <c r="R291" s="735" t="s">
        <v>5046</v>
      </c>
      <c r="S291" s="735" t="s">
        <v>5048</v>
      </c>
      <c r="T291" s="735" t="s">
        <v>5050</v>
      </c>
      <c r="U291" s="735" t="s">
        <v>5052</v>
      </c>
      <c r="V291" s="735" t="s">
        <v>5054</v>
      </c>
      <c r="W291" s="735" t="s">
        <v>5056</v>
      </c>
      <c r="X291" s="735" t="s">
        <v>5058</v>
      </c>
      <c r="Y291" s="735" t="s">
        <v>5060</v>
      </c>
      <c r="Z291" s="735" t="s">
        <v>5062</v>
      </c>
      <c r="AA291" s="735" t="s">
        <v>5064</v>
      </c>
      <c r="AB291" s="735" t="s">
        <v>5066</v>
      </c>
      <c r="AC291" s="735" t="s">
        <v>5068</v>
      </c>
      <c r="AD291" s="735" t="s">
        <v>5070</v>
      </c>
      <c r="AE291" s="735" t="s">
        <v>5072</v>
      </c>
      <c r="AF291" s="735" t="s">
        <v>5074</v>
      </c>
      <c r="AG291" s="745" t="s">
        <v>5029</v>
      </c>
    </row>
    <row r="292" spans="1:33" x14ac:dyDescent="0.2">
      <c r="C292" t="s">
        <v>5325</v>
      </c>
      <c r="E292" s="2246" t="s">
        <v>4604</v>
      </c>
      <c r="F292" s="2246" t="s">
        <v>4610</v>
      </c>
      <c r="G292" s="2246" t="s">
        <v>5326</v>
      </c>
      <c r="H292" s="2246" t="s">
        <v>5326</v>
      </c>
      <c r="I292" s="2246" t="s">
        <v>4608</v>
      </c>
      <c r="J292" s="2246" t="s">
        <v>5327</v>
      </c>
      <c r="K292" s="2246" t="s">
        <v>5328</v>
      </c>
      <c r="L292" s="2246" t="s">
        <v>4613</v>
      </c>
      <c r="M292" s="2246" t="s">
        <v>5329</v>
      </c>
      <c r="N292" s="2246" t="s">
        <v>4612</v>
      </c>
      <c r="O292" s="2246" t="s">
        <v>5330</v>
      </c>
      <c r="P292" s="2246" t="s">
        <v>5331</v>
      </c>
      <c r="Q292" s="2246" t="s">
        <v>5332</v>
      </c>
      <c r="R292" s="2246" t="s">
        <v>5331</v>
      </c>
      <c r="S292" s="2246" t="s">
        <v>5331</v>
      </c>
      <c r="T292" s="2246" t="s">
        <v>5331</v>
      </c>
      <c r="U292" s="2246" t="s">
        <v>5331</v>
      </c>
      <c r="V292" s="2246" t="s">
        <v>5333</v>
      </c>
      <c r="W292" s="2246" t="s">
        <v>5334</v>
      </c>
      <c r="X292" s="2246" t="s">
        <v>5335</v>
      </c>
      <c r="Y292" s="2246" t="s">
        <v>5336</v>
      </c>
      <c r="Z292" s="2246" t="s">
        <v>5331</v>
      </c>
      <c r="AA292" s="2246" t="s">
        <v>5337</v>
      </c>
      <c r="AB292" s="2246" t="s">
        <v>5338</v>
      </c>
      <c r="AC292" s="2246" t="s">
        <v>5339</v>
      </c>
      <c r="AD292" s="2246" t="s">
        <v>5340</v>
      </c>
      <c r="AE292" s="2246" t="s">
        <v>5341</v>
      </c>
      <c r="AF292" s="2246" t="s">
        <v>5342</v>
      </c>
      <c r="AG292" s="2246" t="s">
        <v>5343</v>
      </c>
    </row>
    <row r="293" spans="1:33" x14ac:dyDescent="0.2">
      <c r="B293" s="159"/>
      <c r="E293" s="2246" t="s">
        <v>5345</v>
      </c>
      <c r="F293" s="2246" t="s">
        <v>5346</v>
      </c>
      <c r="G293" s="2246" t="s">
        <v>5347</v>
      </c>
      <c r="H293" s="2246" t="s">
        <v>5348</v>
      </c>
      <c r="I293" s="2246" t="s">
        <v>4618</v>
      </c>
      <c r="J293" s="2246" t="s">
        <v>4619</v>
      </c>
      <c r="K293" s="2246" t="s">
        <v>5349</v>
      </c>
      <c r="L293" s="2246" t="s">
        <v>5350</v>
      </c>
      <c r="M293" s="2246" t="s">
        <v>4621</v>
      </c>
      <c r="N293" s="2246" t="s">
        <v>4622</v>
      </c>
      <c r="O293" s="2246" t="s">
        <v>5351</v>
      </c>
      <c r="P293" s="2246" t="s">
        <v>5352</v>
      </c>
      <c r="Q293" s="2246" t="s">
        <v>5353</v>
      </c>
      <c r="R293" s="2246" t="s">
        <v>5354</v>
      </c>
      <c r="S293" s="2246" t="s">
        <v>5355</v>
      </c>
      <c r="T293" s="2246" t="s">
        <v>5356</v>
      </c>
      <c r="U293" s="2246" t="s">
        <v>5357</v>
      </c>
      <c r="V293" s="2246" t="s">
        <v>5358</v>
      </c>
      <c r="W293" s="2246" t="s">
        <v>5359</v>
      </c>
      <c r="X293" s="2246" t="s">
        <v>5358</v>
      </c>
      <c r="Y293" s="2246" t="s">
        <v>5359</v>
      </c>
      <c r="Z293" s="2246" t="s">
        <v>5360</v>
      </c>
      <c r="AA293" s="2246" t="s">
        <v>5359</v>
      </c>
      <c r="AB293" s="2246" t="s">
        <v>5359</v>
      </c>
      <c r="AC293" s="2246" t="s">
        <v>5359</v>
      </c>
      <c r="AD293" s="2246" t="s">
        <v>5353</v>
      </c>
      <c r="AE293" s="2246" t="s">
        <v>5361</v>
      </c>
      <c r="AF293" s="2246" t="s">
        <v>5362</v>
      </c>
      <c r="AG293" s="2246" t="s">
        <v>5363</v>
      </c>
    </row>
    <row r="294" spans="1:33" x14ac:dyDescent="0.2">
      <c r="B294" s="751" t="s">
        <v>5397</v>
      </c>
      <c r="E294" s="636" t="str">
        <f>TEXT(Data!$A$4,"mmmm d,yyyy")</f>
        <v>June 30,2022</v>
      </c>
      <c r="F294" s="636" t="str">
        <f>TEXT(Data!$A$4,"mmmm d,yyyy")</f>
        <v>June 30,2022</v>
      </c>
      <c r="G294" s="636" t="str">
        <f>TEXT(Data!$A$4,"mmmm d,yyyy")</f>
        <v>June 30,2022</v>
      </c>
      <c r="H294" s="636" t="str">
        <f>TEXT(Data!$A$4,"mmmm d,yyyy")</f>
        <v>June 30,2022</v>
      </c>
      <c r="I294" s="636" t="str">
        <f>TEXT(Data!$A$4,"mmmm d,yyyy")</f>
        <v>June 30,2022</v>
      </c>
      <c r="J294" s="636" t="str">
        <f>TEXT(Data!$A$4,"mmmm d,yyyy")</f>
        <v>June 30,2022</v>
      </c>
      <c r="K294" s="636" t="str">
        <f>TEXT(Data!$A$4,"mmmm d,yyyy")</f>
        <v>June 30,2022</v>
      </c>
      <c r="L294" s="636" t="str">
        <f>TEXT(Data!$A$4,"mmmm d,yyyy")</f>
        <v>June 30,2022</v>
      </c>
      <c r="M294" s="636" t="str">
        <f>TEXT(Data!$A$4,"mmmm d,yyyy")</f>
        <v>June 30,2022</v>
      </c>
      <c r="N294" s="636" t="str">
        <f>TEXT(Data!$A$4,"mmmm d,yyyy")</f>
        <v>June 30,2022</v>
      </c>
      <c r="O294" s="636" t="str">
        <f>TEXT(Data!$A$4,"mmmm d,yyyy")</f>
        <v>June 30,2022</v>
      </c>
      <c r="P294" s="636" t="str">
        <f>TEXT(Data!$A$4,"mmmm d,yyyy")</f>
        <v>June 30,2022</v>
      </c>
      <c r="Q294" s="636" t="str">
        <f>TEXT(Data!$A$4,"mmmm d,yyyy")</f>
        <v>June 30,2022</v>
      </c>
      <c r="R294" s="636" t="str">
        <f>TEXT(Data!$A$4,"mmmm d,yyyy")</f>
        <v>June 30,2022</v>
      </c>
      <c r="S294" s="636" t="str">
        <f>TEXT(Data!$A$4,"mmmm d,yyyy")</f>
        <v>June 30,2022</v>
      </c>
      <c r="T294" s="636" t="str">
        <f>TEXT(Data!$A$4,"mmmm d,yyyy")</f>
        <v>June 30,2022</v>
      </c>
      <c r="U294" s="636" t="str">
        <f>TEXT(Data!$A$4,"mmmm d,yyyy")</f>
        <v>June 30,2022</v>
      </c>
      <c r="V294" s="636" t="str">
        <f>TEXT(Data!$A$4,"mmmm d,yyyy")</f>
        <v>June 30,2022</v>
      </c>
      <c r="W294" s="636" t="str">
        <f>TEXT(Data!$A$4,"mmmm d,yyyy")</f>
        <v>June 30,2022</v>
      </c>
      <c r="X294" s="636" t="str">
        <f>TEXT(Data!$A$4,"mmmm d,yyyy")</f>
        <v>June 30,2022</v>
      </c>
      <c r="Y294" s="636" t="str">
        <f>TEXT(Data!$A$4,"mmmm d,yyyy")</f>
        <v>June 30,2022</v>
      </c>
      <c r="Z294" s="636" t="str">
        <f>TEXT(Data!$A$4,"mmmm d,yyyy")</f>
        <v>June 30,2022</v>
      </c>
      <c r="AA294" s="636" t="str">
        <f>TEXT(Data!$A$4,"mmmm d,yyyy")</f>
        <v>June 30,2022</v>
      </c>
      <c r="AB294" s="636" t="str">
        <f>TEXT(Data!$A$4,"mmmm d,yyyy")</f>
        <v>June 30,2022</v>
      </c>
      <c r="AC294" s="636" t="str">
        <f>TEXT(Data!$A$4,"mmmm d,yyyy")</f>
        <v>June 30,2022</v>
      </c>
      <c r="AD294" s="636" t="str">
        <f>TEXT(Data!$A$4,"mmmm d,yyyy")</f>
        <v>June 30,2022</v>
      </c>
      <c r="AE294" s="636" t="str">
        <f>TEXT(Data!$A$4,"mmmm d,yyyy")</f>
        <v>June 30,2022</v>
      </c>
      <c r="AF294" s="636" t="str">
        <f>TEXT(Data!$A$4,"mmmm d,yyyy")</f>
        <v>June 30,2022</v>
      </c>
      <c r="AG294" s="636" t="str">
        <f>TEXT(Data!$A$4,"mmmm d,yyyy")</f>
        <v>June 30,2022</v>
      </c>
    </row>
    <row r="295" spans="1:33" x14ac:dyDescent="0.2">
      <c r="A295">
        <v>1</v>
      </c>
      <c r="B295" s="2240" t="s">
        <v>1046</v>
      </c>
      <c r="D295" t="str">
        <f t="shared" ref="D295:D314" si="49">IF(SUM(F295:N295)-E295=0,"OK","prob")</f>
        <v>OK</v>
      </c>
      <c r="E295" s="365">
        <v>824260000</v>
      </c>
      <c r="F295" s="365">
        <v>412785000</v>
      </c>
      <c r="G295" s="365">
        <v>0</v>
      </c>
      <c r="H295" s="365">
        <v>0</v>
      </c>
      <c r="I295" s="365">
        <v>411475000</v>
      </c>
      <c r="J295" s="365">
        <v>0</v>
      </c>
      <c r="K295" s="365">
        <v>0</v>
      </c>
      <c r="L295" s="365"/>
      <c r="M295" s="365">
        <v>0</v>
      </c>
      <c r="N295" s="365">
        <v>0</v>
      </c>
      <c r="O295" s="233">
        <v>0</v>
      </c>
      <c r="P295" s="787">
        <v>1209885000</v>
      </c>
      <c r="Q295" s="365">
        <v>455045000</v>
      </c>
      <c r="R295" s="365">
        <v>233895000</v>
      </c>
      <c r="S295" s="365">
        <v>530925000</v>
      </c>
      <c r="T295" s="365">
        <v>72103400</v>
      </c>
      <c r="U295" s="233">
        <v>76075000</v>
      </c>
      <c r="V295" s="365">
        <v>334175000</v>
      </c>
      <c r="W295" s="365">
        <v>87680000</v>
      </c>
      <c r="X295" s="365">
        <v>189920000</v>
      </c>
      <c r="Y295" s="365">
        <v>205100000</v>
      </c>
      <c r="Z295" s="365">
        <v>1275000</v>
      </c>
      <c r="AA295" s="365">
        <v>45835000</v>
      </c>
      <c r="AB295" s="365">
        <v>14270000</v>
      </c>
      <c r="AC295" s="365">
        <v>28337000</v>
      </c>
      <c r="AD295" s="365">
        <v>98608200</v>
      </c>
      <c r="AE295" s="365">
        <v>42485000</v>
      </c>
      <c r="AF295" s="365">
        <v>0</v>
      </c>
      <c r="AG295" s="365">
        <v>0</v>
      </c>
    </row>
    <row r="296" spans="1:33" x14ac:dyDescent="0.2">
      <c r="A296">
        <v>3</v>
      </c>
      <c r="B296" s="2240" t="s">
        <v>1017</v>
      </c>
      <c r="D296" t="str">
        <f t="shared" si="49"/>
        <v>OK</v>
      </c>
      <c r="E296" s="365">
        <v>0</v>
      </c>
      <c r="F296" s="365">
        <v>0</v>
      </c>
      <c r="G296" s="365">
        <v>0</v>
      </c>
      <c r="H296" s="365">
        <v>0</v>
      </c>
      <c r="I296" s="365">
        <v>0</v>
      </c>
      <c r="J296" s="365">
        <v>0</v>
      </c>
      <c r="K296" s="365">
        <v>0</v>
      </c>
      <c r="L296" s="365"/>
      <c r="M296" s="365">
        <v>0</v>
      </c>
      <c r="N296" s="365">
        <v>0</v>
      </c>
      <c r="O296" s="233">
        <v>0</v>
      </c>
      <c r="P296" s="365">
        <v>0</v>
      </c>
      <c r="Q296" s="365">
        <v>0</v>
      </c>
      <c r="R296" s="365">
        <v>0</v>
      </c>
      <c r="S296" s="365">
        <v>0</v>
      </c>
      <c r="T296" s="365">
        <v>0</v>
      </c>
      <c r="U296" s="365">
        <v>0</v>
      </c>
      <c r="V296" s="365">
        <v>0</v>
      </c>
      <c r="W296" s="365">
        <v>0</v>
      </c>
      <c r="X296" s="365">
        <v>0</v>
      </c>
      <c r="Y296" s="365">
        <v>0</v>
      </c>
      <c r="Z296" s="365">
        <v>0</v>
      </c>
      <c r="AA296" s="365">
        <v>0</v>
      </c>
      <c r="AB296" s="365">
        <v>0</v>
      </c>
      <c r="AC296" s="365">
        <v>0</v>
      </c>
      <c r="AD296" s="365">
        <v>0</v>
      </c>
      <c r="AE296" s="365">
        <v>3172000</v>
      </c>
      <c r="AF296" s="365">
        <v>0</v>
      </c>
      <c r="AG296" s="365">
        <v>0</v>
      </c>
    </row>
    <row r="297" spans="1:33" x14ac:dyDescent="0.2">
      <c r="A297">
        <v>4</v>
      </c>
      <c r="B297" s="2240" t="s">
        <v>5398</v>
      </c>
      <c r="D297" t="str">
        <f t="shared" si="49"/>
        <v>OK</v>
      </c>
      <c r="E297" s="365">
        <v>0</v>
      </c>
      <c r="F297" s="365">
        <v>0</v>
      </c>
      <c r="G297" s="365">
        <v>0</v>
      </c>
      <c r="H297" s="365">
        <v>0</v>
      </c>
      <c r="I297" s="365">
        <v>0</v>
      </c>
      <c r="J297" s="365">
        <v>0</v>
      </c>
      <c r="K297" s="365">
        <v>0</v>
      </c>
      <c r="L297" s="365"/>
      <c r="M297" s="365">
        <v>0</v>
      </c>
      <c r="N297" s="365">
        <v>0</v>
      </c>
      <c r="O297" s="233">
        <v>0</v>
      </c>
      <c r="P297" s="365">
        <v>0</v>
      </c>
      <c r="Q297" s="365">
        <v>0</v>
      </c>
      <c r="R297" s="365">
        <v>0</v>
      </c>
      <c r="S297" s="365">
        <v>0</v>
      </c>
      <c r="T297" s="365">
        <v>0</v>
      </c>
      <c r="U297" s="365">
        <v>101955000</v>
      </c>
      <c r="V297" s="365">
        <v>0</v>
      </c>
      <c r="W297" s="365">
        <v>0</v>
      </c>
      <c r="X297" s="365">
        <v>44615000</v>
      </c>
      <c r="Y297" s="365">
        <v>0</v>
      </c>
      <c r="Z297" s="365">
        <v>25915000</v>
      </c>
      <c r="AA297" s="365">
        <v>0</v>
      </c>
      <c r="AB297" s="365">
        <v>0</v>
      </c>
      <c r="AC297" s="365">
        <v>14450000</v>
      </c>
      <c r="AD297" s="365">
        <v>0</v>
      </c>
      <c r="AE297" s="365">
        <v>0</v>
      </c>
      <c r="AF297" s="365">
        <v>0</v>
      </c>
      <c r="AG297" s="365">
        <v>0</v>
      </c>
    </row>
    <row r="298" spans="1:33" x14ac:dyDescent="0.2">
      <c r="A298">
        <v>5</v>
      </c>
      <c r="B298" s="2240" t="s">
        <v>5399</v>
      </c>
      <c r="D298" t="str">
        <f t="shared" si="49"/>
        <v>OK</v>
      </c>
      <c r="E298" s="365">
        <v>0</v>
      </c>
      <c r="F298" s="365">
        <v>0</v>
      </c>
      <c r="G298" s="365">
        <v>0</v>
      </c>
      <c r="H298" s="365">
        <v>0</v>
      </c>
      <c r="I298" s="365">
        <v>0</v>
      </c>
      <c r="J298" s="365">
        <v>0</v>
      </c>
      <c r="K298" s="365">
        <v>0</v>
      </c>
      <c r="L298" s="365"/>
      <c r="M298" s="365">
        <v>0</v>
      </c>
      <c r="N298" s="365">
        <v>0</v>
      </c>
      <c r="O298" s="233">
        <v>0</v>
      </c>
      <c r="P298" s="787">
        <v>0</v>
      </c>
      <c r="Q298" s="365">
        <v>0</v>
      </c>
      <c r="R298" s="365">
        <v>0</v>
      </c>
      <c r="S298" s="365">
        <v>-20314.189999999999</v>
      </c>
      <c r="T298" s="365">
        <v>-2402.5700000000002</v>
      </c>
      <c r="U298" s="365">
        <v>0</v>
      </c>
      <c r="V298" s="365">
        <v>-2782963.59</v>
      </c>
      <c r="W298" s="365">
        <v>0</v>
      </c>
      <c r="X298" s="365">
        <v>0</v>
      </c>
      <c r="Y298" s="365">
        <v>-36207.86</v>
      </c>
      <c r="Z298" s="365">
        <v>0</v>
      </c>
      <c r="AA298" s="365">
        <v>0</v>
      </c>
      <c r="AB298" s="365">
        <v>-17858.689999999999</v>
      </c>
      <c r="AC298" s="365">
        <v>-613433.36</v>
      </c>
      <c r="AD298" s="365">
        <v>0</v>
      </c>
      <c r="AE298" s="365">
        <v>0</v>
      </c>
      <c r="AF298" s="365">
        <v>0</v>
      </c>
      <c r="AG298" s="365">
        <v>0</v>
      </c>
    </row>
    <row r="299" spans="1:33" x14ac:dyDescent="0.2">
      <c r="A299">
        <v>6</v>
      </c>
      <c r="B299" s="2240" t="s">
        <v>5400</v>
      </c>
      <c r="D299" t="str">
        <f t="shared" si="49"/>
        <v>OK</v>
      </c>
      <c r="E299" s="365">
        <v>71960976.079999998</v>
      </c>
      <c r="F299" s="365">
        <v>46235575.130000003</v>
      </c>
      <c r="G299" s="365">
        <v>0</v>
      </c>
      <c r="H299" s="365">
        <v>0</v>
      </c>
      <c r="I299" s="365">
        <v>25725400.949999999</v>
      </c>
      <c r="J299" s="365">
        <v>0</v>
      </c>
      <c r="K299" s="365">
        <v>0</v>
      </c>
      <c r="L299" s="365"/>
      <c r="M299" s="365">
        <v>0</v>
      </c>
      <c r="N299" s="365">
        <v>0</v>
      </c>
      <c r="O299" s="233">
        <v>0</v>
      </c>
      <c r="P299" s="787">
        <v>36960109.619999997</v>
      </c>
      <c r="Q299" s="365">
        <v>25501193.329999998</v>
      </c>
      <c r="R299" s="365">
        <v>19680478.73</v>
      </c>
      <c r="S299" s="365">
        <v>31971572.539999999</v>
      </c>
      <c r="T299" s="365">
        <v>5837810.5999999996</v>
      </c>
      <c r="U299" s="365">
        <v>17810371.32</v>
      </c>
      <c r="V299" s="365">
        <v>16567637.390000001</v>
      </c>
      <c r="W299" s="365">
        <v>4475363.58</v>
      </c>
      <c r="X299" s="365">
        <v>23335138.98</v>
      </c>
      <c r="Y299" s="365">
        <v>13170705.300000001</v>
      </c>
      <c r="Z299" s="365">
        <v>1009012.71</v>
      </c>
      <c r="AA299" s="365">
        <v>7317022.29</v>
      </c>
      <c r="AB299" s="365">
        <v>1497245.67</v>
      </c>
      <c r="AC299" s="365">
        <v>3232877.04</v>
      </c>
      <c r="AD299" s="365">
        <v>8997321.4600000009</v>
      </c>
      <c r="AE299" s="365">
        <v>2819330.97</v>
      </c>
      <c r="AF299" s="365">
        <v>0</v>
      </c>
      <c r="AG299" s="365">
        <v>0</v>
      </c>
    </row>
    <row r="300" spans="1:33" x14ac:dyDescent="0.2">
      <c r="A300">
        <v>7</v>
      </c>
      <c r="B300" s="2240" t="s">
        <v>1021</v>
      </c>
      <c r="D300" t="str">
        <f t="shared" si="49"/>
        <v>OK</v>
      </c>
      <c r="E300" s="365">
        <v>0</v>
      </c>
      <c r="F300" s="365">
        <v>0</v>
      </c>
      <c r="G300" s="365">
        <v>0</v>
      </c>
      <c r="H300" s="365">
        <v>0</v>
      </c>
      <c r="I300" s="365">
        <v>0</v>
      </c>
      <c r="J300" s="365">
        <v>0</v>
      </c>
      <c r="K300" s="365">
        <v>0</v>
      </c>
      <c r="L300" s="365"/>
      <c r="M300" s="365">
        <v>0</v>
      </c>
      <c r="N300" s="365">
        <v>0</v>
      </c>
      <c r="O300" s="233">
        <v>0</v>
      </c>
      <c r="P300" s="365">
        <v>0</v>
      </c>
      <c r="Q300" s="365">
        <v>0</v>
      </c>
      <c r="R300" s="365">
        <v>0</v>
      </c>
      <c r="S300" s="365">
        <v>0</v>
      </c>
      <c r="T300" s="365">
        <v>0</v>
      </c>
      <c r="U300" s="365">
        <v>0</v>
      </c>
      <c r="V300" s="365">
        <v>0</v>
      </c>
      <c r="W300" s="365">
        <v>0</v>
      </c>
      <c r="X300" s="365">
        <v>0</v>
      </c>
      <c r="Y300" s="365">
        <v>0</v>
      </c>
      <c r="Z300" s="365">
        <v>0</v>
      </c>
      <c r="AA300" s="365">
        <v>0</v>
      </c>
      <c r="AB300" s="365">
        <v>0</v>
      </c>
      <c r="AC300" s="365">
        <v>0</v>
      </c>
      <c r="AD300" s="365">
        <v>0</v>
      </c>
      <c r="AE300" s="365">
        <v>0</v>
      </c>
      <c r="AF300" s="365">
        <v>0</v>
      </c>
      <c r="AG300" s="365">
        <v>0</v>
      </c>
    </row>
    <row r="301" spans="1:33" x14ac:dyDescent="0.2">
      <c r="A301">
        <v>8</v>
      </c>
      <c r="B301" s="2240" t="s">
        <v>1023</v>
      </c>
      <c r="D301" t="str">
        <f t="shared" si="49"/>
        <v>OK</v>
      </c>
      <c r="E301" s="365">
        <v>0</v>
      </c>
      <c r="F301" s="365">
        <v>0</v>
      </c>
      <c r="G301" s="365">
        <v>0</v>
      </c>
      <c r="H301" s="365">
        <v>0</v>
      </c>
      <c r="I301" s="365">
        <v>0</v>
      </c>
      <c r="J301" s="365">
        <v>0</v>
      </c>
      <c r="K301" s="365">
        <v>0</v>
      </c>
      <c r="L301" s="365"/>
      <c r="M301" s="365">
        <v>0</v>
      </c>
      <c r="N301" s="365">
        <v>0</v>
      </c>
      <c r="O301" s="233">
        <v>473333.39</v>
      </c>
      <c r="P301" s="365">
        <v>13239971.109999999</v>
      </c>
      <c r="Q301" s="365">
        <v>11356059</v>
      </c>
      <c r="R301" s="365">
        <v>3161005.47</v>
      </c>
      <c r="S301" s="365">
        <v>3140475.56</v>
      </c>
      <c r="T301" s="365">
        <v>59749.16</v>
      </c>
      <c r="U301" s="365">
        <v>687699.28</v>
      </c>
      <c r="V301" s="365">
        <v>4173238.38</v>
      </c>
      <c r="W301" s="365">
        <v>1821473.3</v>
      </c>
      <c r="X301" s="365">
        <v>793394.78</v>
      </c>
      <c r="Y301" s="365">
        <v>608137.27</v>
      </c>
      <c r="Z301" s="365">
        <v>3158674.87</v>
      </c>
      <c r="AA301" s="365">
        <v>3196194.72</v>
      </c>
      <c r="AB301" s="365">
        <v>1881802</v>
      </c>
      <c r="AC301" s="365">
        <v>1688048.01</v>
      </c>
      <c r="AD301" s="365">
        <v>2497208.65</v>
      </c>
      <c r="AE301" s="365">
        <v>844634.06</v>
      </c>
      <c r="AF301" s="365">
        <v>0</v>
      </c>
      <c r="AG301" s="365">
        <v>0</v>
      </c>
    </row>
    <row r="302" spans="1:33" x14ac:dyDescent="0.2">
      <c r="A302">
        <v>22</v>
      </c>
      <c r="B302" s="2240" t="s">
        <v>1024</v>
      </c>
      <c r="D302" t="str">
        <f t="shared" si="49"/>
        <v>OK</v>
      </c>
      <c r="E302" s="365">
        <v>50308160.829999998</v>
      </c>
      <c r="F302" s="365">
        <v>0</v>
      </c>
      <c r="G302" s="365">
        <v>17681475.079999998</v>
      </c>
      <c r="H302" s="365">
        <v>0</v>
      </c>
      <c r="I302" s="365">
        <v>16959318.190000001</v>
      </c>
      <c r="J302" s="365">
        <v>11240787.560000001</v>
      </c>
      <c r="K302" s="365">
        <v>0</v>
      </c>
      <c r="L302" s="365"/>
      <c r="M302" s="365">
        <v>0</v>
      </c>
      <c r="N302" s="365">
        <v>4426580</v>
      </c>
      <c r="O302" s="233">
        <v>73238.92</v>
      </c>
      <c r="P302" s="787">
        <v>67197052.349999994</v>
      </c>
      <c r="Q302" s="365">
        <v>46218657.079999998</v>
      </c>
      <c r="R302" s="365">
        <v>8297365.6399999997</v>
      </c>
      <c r="S302" s="365">
        <v>4848380.24</v>
      </c>
      <c r="T302" s="365">
        <v>382822.14</v>
      </c>
      <c r="U302" s="365">
        <v>8738444.3200000003</v>
      </c>
      <c r="V302" s="365">
        <v>933990.8</v>
      </c>
      <c r="W302" s="365">
        <v>3092919.61</v>
      </c>
      <c r="X302" s="365">
        <v>413240.16</v>
      </c>
      <c r="Y302" s="365">
        <v>97971727.209999993</v>
      </c>
      <c r="Z302" s="365">
        <v>5469749.7999999998</v>
      </c>
      <c r="AA302" s="365">
        <v>33878789.32</v>
      </c>
      <c r="AB302" s="365">
        <v>22585781.23</v>
      </c>
      <c r="AC302" s="365">
        <v>7586088.1900000004</v>
      </c>
      <c r="AD302" s="365">
        <v>3720302.78</v>
      </c>
      <c r="AE302" s="365">
        <v>232625.74</v>
      </c>
      <c r="AF302" s="365">
        <v>17764617.09</v>
      </c>
      <c r="AG302" s="365">
        <v>0</v>
      </c>
    </row>
    <row r="303" spans="1:33" x14ac:dyDescent="0.2">
      <c r="A303">
        <v>23</v>
      </c>
      <c r="B303" s="2240" t="s">
        <v>1016</v>
      </c>
      <c r="D303" t="str">
        <f t="shared" si="49"/>
        <v>OK</v>
      </c>
      <c r="E303" s="365">
        <v>0</v>
      </c>
      <c r="F303" s="365">
        <v>0</v>
      </c>
      <c r="G303" s="365"/>
      <c r="H303" s="365">
        <v>0</v>
      </c>
      <c r="I303" s="365">
        <v>0</v>
      </c>
      <c r="J303" s="365">
        <v>0</v>
      </c>
      <c r="K303" s="365">
        <v>0</v>
      </c>
      <c r="L303" s="365"/>
      <c r="M303" s="365">
        <v>0</v>
      </c>
      <c r="N303" s="365">
        <v>0</v>
      </c>
      <c r="O303" s="233">
        <v>0</v>
      </c>
      <c r="P303" s="787">
        <v>60000000</v>
      </c>
      <c r="Q303" s="365">
        <v>29008898</v>
      </c>
      <c r="R303" s="365">
        <v>25020955.510000002</v>
      </c>
      <c r="S303" s="365">
        <v>0</v>
      </c>
      <c r="T303" s="365">
        <v>0</v>
      </c>
      <c r="U303" s="365">
        <v>20498000</v>
      </c>
      <c r="V303" s="365">
        <v>16775000</v>
      </c>
      <c r="W303" s="365">
        <v>0</v>
      </c>
      <c r="X303" s="365">
        <v>0</v>
      </c>
      <c r="Y303" s="365">
        <v>32115000</v>
      </c>
      <c r="Z303" s="365">
        <v>17261799.27</v>
      </c>
      <c r="AA303" s="365">
        <v>0</v>
      </c>
      <c r="AB303" s="365">
        <v>0</v>
      </c>
      <c r="AC303" s="365">
        <v>0</v>
      </c>
      <c r="AD303" s="365">
        <v>0</v>
      </c>
      <c r="AE303" s="365">
        <v>0</v>
      </c>
      <c r="AF303" s="365">
        <v>0</v>
      </c>
      <c r="AG303" s="365">
        <v>0</v>
      </c>
    </row>
    <row r="304" spans="1:33" x14ac:dyDescent="0.2">
      <c r="A304">
        <v>10</v>
      </c>
      <c r="B304" s="2240" t="s">
        <v>4915</v>
      </c>
      <c r="D304" t="str">
        <f>IF(SUM(F304:N304)-E304=0,"OK","prob")</f>
        <v>OK</v>
      </c>
      <c r="E304" s="365">
        <v>316476435.26999998</v>
      </c>
      <c r="F304" s="365">
        <v>53823830.759999998</v>
      </c>
      <c r="G304" s="365">
        <v>82562207.640000001</v>
      </c>
      <c r="H304" s="365">
        <v>0</v>
      </c>
      <c r="I304" s="365">
        <v>73673882.760000005</v>
      </c>
      <c r="J304" s="365">
        <v>4505867.1100000003</v>
      </c>
      <c r="K304" s="365">
        <v>86987581.140000001</v>
      </c>
      <c r="L304" s="365"/>
      <c r="M304" s="365">
        <v>4365.83</v>
      </c>
      <c r="N304" s="365">
        <v>14918700.029999999</v>
      </c>
      <c r="O304" s="787">
        <v>15414758.779999999</v>
      </c>
      <c r="P304" s="787">
        <v>102117138.43000001</v>
      </c>
      <c r="Q304" s="365">
        <v>95635153.810000002</v>
      </c>
      <c r="R304" s="365">
        <v>6318028.2999999998</v>
      </c>
      <c r="S304" s="365">
        <v>5765384.8300000001</v>
      </c>
      <c r="T304" s="365">
        <v>2213656.11</v>
      </c>
      <c r="U304" s="365">
        <v>1667257.42</v>
      </c>
      <c r="V304" s="365">
        <v>31218674.239999998</v>
      </c>
      <c r="W304" s="365">
        <v>3401065.66</v>
      </c>
      <c r="X304" s="365">
        <v>8556982.2200000007</v>
      </c>
      <c r="Y304" s="365">
        <v>10202406.93</v>
      </c>
      <c r="Z304" s="365">
        <v>426427.01</v>
      </c>
      <c r="AA304" s="365">
        <v>1646056.2</v>
      </c>
      <c r="AB304" s="365">
        <v>212502.52</v>
      </c>
      <c r="AC304" s="365">
        <v>0</v>
      </c>
      <c r="AD304" s="365">
        <v>759778.29</v>
      </c>
      <c r="AE304" s="365">
        <v>0</v>
      </c>
      <c r="AF304" s="365">
        <v>0</v>
      </c>
      <c r="AG304" s="365">
        <v>0</v>
      </c>
    </row>
    <row r="305" spans="1:33" x14ac:dyDescent="0.2">
      <c r="A305" s="1238">
        <v>28</v>
      </c>
      <c r="B305" s="1997" t="s">
        <v>1026</v>
      </c>
      <c r="C305" s="1238"/>
      <c r="D305" t="str">
        <f t="shared" si="49"/>
        <v>OK</v>
      </c>
      <c r="E305" s="365">
        <v>0</v>
      </c>
      <c r="F305" s="365">
        <v>0</v>
      </c>
      <c r="G305" s="365">
        <v>0</v>
      </c>
      <c r="H305" s="365">
        <v>0</v>
      </c>
      <c r="I305" s="365">
        <v>0</v>
      </c>
      <c r="J305" s="365">
        <v>0</v>
      </c>
      <c r="K305" s="365">
        <v>0</v>
      </c>
      <c r="L305" s="365"/>
      <c r="M305" s="365">
        <v>0</v>
      </c>
      <c r="N305" s="365">
        <v>0</v>
      </c>
      <c r="O305" s="787">
        <v>0</v>
      </c>
      <c r="P305" s="787">
        <v>0</v>
      </c>
      <c r="Q305" s="365">
        <v>0</v>
      </c>
      <c r="R305" s="365">
        <v>0</v>
      </c>
      <c r="S305" s="365">
        <v>0</v>
      </c>
      <c r="T305" s="365">
        <v>0</v>
      </c>
      <c r="U305" s="365">
        <v>0</v>
      </c>
      <c r="V305" s="365">
        <v>0</v>
      </c>
      <c r="W305" s="365">
        <v>0</v>
      </c>
      <c r="X305" s="365">
        <v>0</v>
      </c>
      <c r="Y305" s="365">
        <v>0</v>
      </c>
      <c r="Z305" s="365">
        <v>0</v>
      </c>
      <c r="AA305" s="365">
        <v>0</v>
      </c>
      <c r="AB305" s="365">
        <v>0</v>
      </c>
      <c r="AC305" s="365">
        <v>0</v>
      </c>
      <c r="AD305" s="365">
        <v>0</v>
      </c>
      <c r="AE305" s="365">
        <v>0</v>
      </c>
      <c r="AF305" s="365">
        <v>0</v>
      </c>
      <c r="AG305" s="365">
        <v>0</v>
      </c>
    </row>
    <row r="306" spans="1:33" x14ac:dyDescent="0.2">
      <c r="A306">
        <v>11</v>
      </c>
      <c r="B306" s="2240" t="s">
        <v>1047</v>
      </c>
      <c r="D306" t="str">
        <f t="shared" si="49"/>
        <v>OK</v>
      </c>
      <c r="E306" s="365">
        <v>1811725</v>
      </c>
      <c r="F306" s="365">
        <v>0</v>
      </c>
      <c r="G306" s="365">
        <v>0</v>
      </c>
      <c r="H306" s="365">
        <v>0</v>
      </c>
      <c r="I306" s="365">
        <v>0</v>
      </c>
      <c r="J306" s="365">
        <v>0</v>
      </c>
      <c r="K306" s="365">
        <v>0</v>
      </c>
      <c r="L306" s="365"/>
      <c r="M306" s="365">
        <v>0</v>
      </c>
      <c r="N306" s="365">
        <v>1811725</v>
      </c>
      <c r="O306" s="233">
        <v>0</v>
      </c>
      <c r="P306" s="787">
        <v>46344528.460000001</v>
      </c>
      <c r="Q306" s="365">
        <v>0</v>
      </c>
      <c r="R306" s="365">
        <v>3769093.51</v>
      </c>
      <c r="S306" s="365">
        <v>0</v>
      </c>
      <c r="T306" s="365">
        <v>0</v>
      </c>
      <c r="U306" s="365">
        <v>0</v>
      </c>
      <c r="V306" s="365">
        <v>0</v>
      </c>
      <c r="W306" s="365">
        <v>0</v>
      </c>
      <c r="X306" s="365">
        <v>0</v>
      </c>
      <c r="Y306" s="365">
        <v>0</v>
      </c>
      <c r="Z306" s="365">
        <v>0</v>
      </c>
      <c r="AA306" s="365">
        <v>0</v>
      </c>
      <c r="AB306" s="365">
        <v>0</v>
      </c>
      <c r="AC306" s="365">
        <v>0</v>
      </c>
      <c r="AD306" s="365">
        <v>0</v>
      </c>
      <c r="AE306" s="365">
        <v>0</v>
      </c>
      <c r="AF306" s="365">
        <v>0</v>
      </c>
      <c r="AG306" s="365">
        <v>0</v>
      </c>
    </row>
    <row r="307" spans="1:33" x14ac:dyDescent="0.2">
      <c r="A307">
        <v>12</v>
      </c>
      <c r="B307" s="2240" t="s">
        <v>1048</v>
      </c>
      <c r="D307" t="str">
        <f t="shared" si="49"/>
        <v>OK</v>
      </c>
      <c r="E307" s="365">
        <v>0</v>
      </c>
      <c r="F307" s="365">
        <v>0</v>
      </c>
      <c r="G307" s="365">
        <v>0</v>
      </c>
      <c r="H307" s="365">
        <v>0</v>
      </c>
      <c r="I307" s="365">
        <v>0</v>
      </c>
      <c r="J307" s="365">
        <v>0</v>
      </c>
      <c r="K307" s="365">
        <v>0</v>
      </c>
      <c r="L307" s="365"/>
      <c r="M307" s="365">
        <v>0</v>
      </c>
      <c r="N307" s="365">
        <v>0</v>
      </c>
      <c r="O307" s="233">
        <v>0</v>
      </c>
      <c r="P307" s="365">
        <v>0</v>
      </c>
      <c r="Q307" s="365">
        <v>0</v>
      </c>
      <c r="R307" s="365">
        <v>0</v>
      </c>
      <c r="S307" s="365">
        <v>0</v>
      </c>
      <c r="T307" s="365">
        <v>0</v>
      </c>
      <c r="U307" s="365">
        <v>0</v>
      </c>
      <c r="V307" s="365">
        <v>0</v>
      </c>
      <c r="W307" s="365">
        <v>0</v>
      </c>
      <c r="X307" s="365">
        <v>0</v>
      </c>
      <c r="Y307" s="365">
        <v>0</v>
      </c>
      <c r="Z307" s="365">
        <v>0</v>
      </c>
      <c r="AA307" s="365">
        <v>0</v>
      </c>
      <c r="AB307" s="365">
        <v>0</v>
      </c>
      <c r="AC307" s="365">
        <v>0</v>
      </c>
      <c r="AD307" s="365">
        <v>0</v>
      </c>
      <c r="AE307" s="365">
        <v>0</v>
      </c>
      <c r="AF307" s="365">
        <v>0</v>
      </c>
      <c r="AG307" s="365">
        <v>0</v>
      </c>
    </row>
    <row r="308" spans="1:33" x14ac:dyDescent="0.2">
      <c r="A308">
        <v>13</v>
      </c>
      <c r="B308" s="2240" t="s">
        <v>1027</v>
      </c>
      <c r="D308" t="str">
        <f t="shared" si="49"/>
        <v>OK</v>
      </c>
      <c r="E308" s="365">
        <v>0</v>
      </c>
      <c r="F308" s="365">
        <v>0</v>
      </c>
      <c r="G308" s="365">
        <v>0</v>
      </c>
      <c r="H308" s="365">
        <v>0</v>
      </c>
      <c r="I308" s="365">
        <v>0</v>
      </c>
      <c r="J308" s="365">
        <v>0</v>
      </c>
      <c r="K308" s="365">
        <v>0</v>
      </c>
      <c r="L308" s="365"/>
      <c r="M308" s="365">
        <v>0</v>
      </c>
      <c r="N308" s="365">
        <v>0</v>
      </c>
      <c r="O308" s="233">
        <v>0</v>
      </c>
      <c r="P308" s="365">
        <v>0</v>
      </c>
      <c r="Q308" s="365">
        <v>4170753.28</v>
      </c>
      <c r="R308" s="365">
        <v>0</v>
      </c>
      <c r="S308" s="365">
        <v>0</v>
      </c>
      <c r="T308" s="365">
        <v>0</v>
      </c>
      <c r="U308" s="365">
        <v>0</v>
      </c>
      <c r="V308" s="365">
        <v>0</v>
      </c>
      <c r="W308" s="365">
        <v>0</v>
      </c>
      <c r="X308" s="365">
        <v>0</v>
      </c>
      <c r="Y308" s="365">
        <v>0</v>
      </c>
      <c r="Z308" s="365">
        <v>0</v>
      </c>
      <c r="AA308" s="365">
        <v>0</v>
      </c>
      <c r="AB308" s="365">
        <v>0</v>
      </c>
      <c r="AC308" s="365">
        <v>30000</v>
      </c>
      <c r="AD308" s="365">
        <v>0</v>
      </c>
      <c r="AE308" s="365">
        <v>0</v>
      </c>
      <c r="AF308" s="365">
        <v>0</v>
      </c>
      <c r="AG308" s="365">
        <v>0</v>
      </c>
    </row>
    <row r="309" spans="1:33" x14ac:dyDescent="0.2">
      <c r="A309">
        <v>25</v>
      </c>
      <c r="B309" s="2240" t="s">
        <v>1028</v>
      </c>
      <c r="D309" t="str">
        <f t="shared" si="49"/>
        <v>OK</v>
      </c>
      <c r="E309" s="365">
        <v>0</v>
      </c>
      <c r="F309" s="365">
        <v>0</v>
      </c>
      <c r="G309" s="365">
        <v>0</v>
      </c>
      <c r="H309" s="365">
        <v>0</v>
      </c>
      <c r="I309" s="365">
        <v>0</v>
      </c>
      <c r="J309" s="365">
        <v>0</v>
      </c>
      <c r="K309" s="365">
        <v>0</v>
      </c>
      <c r="L309" s="365"/>
      <c r="M309" s="365">
        <v>0</v>
      </c>
      <c r="N309" s="365">
        <v>0</v>
      </c>
      <c r="O309" s="233">
        <v>0</v>
      </c>
      <c r="P309" s="365">
        <v>0</v>
      </c>
      <c r="Q309" s="365">
        <v>15102433</v>
      </c>
      <c r="R309" s="365">
        <v>0</v>
      </c>
      <c r="S309" s="365">
        <v>0</v>
      </c>
      <c r="T309" s="365">
        <v>0</v>
      </c>
      <c r="U309" s="365">
        <v>0</v>
      </c>
      <c r="V309" s="365">
        <v>0</v>
      </c>
      <c r="W309" s="365">
        <v>0</v>
      </c>
      <c r="X309" s="365">
        <v>0</v>
      </c>
      <c r="Y309" s="365">
        <v>0</v>
      </c>
      <c r="Z309" s="365">
        <v>0</v>
      </c>
      <c r="AA309" s="365">
        <v>0</v>
      </c>
      <c r="AB309" s="365">
        <v>0</v>
      </c>
      <c r="AC309" s="365">
        <v>0</v>
      </c>
      <c r="AD309" s="365">
        <v>0</v>
      </c>
      <c r="AE309" s="365">
        <v>0</v>
      </c>
      <c r="AF309" s="365">
        <v>0</v>
      </c>
      <c r="AG309" s="365">
        <v>0</v>
      </c>
    </row>
    <row r="310" spans="1:33" x14ac:dyDescent="0.2">
      <c r="A310">
        <v>14</v>
      </c>
      <c r="B310" s="2240" t="s">
        <v>1049</v>
      </c>
      <c r="D310" t="str">
        <f>IF(SUM(F310:N310)=E310,"OK","prob")</f>
        <v>OK</v>
      </c>
      <c r="E310" s="365">
        <v>114155882.73</v>
      </c>
      <c r="F310" s="365">
        <v>50601799.829999998</v>
      </c>
      <c r="G310" s="365">
        <v>28067411.129999999</v>
      </c>
      <c r="H310" s="365">
        <v>0</v>
      </c>
      <c r="I310" s="365">
        <v>24563871</v>
      </c>
      <c r="J310" s="365">
        <v>712288.83</v>
      </c>
      <c r="K310" s="365">
        <v>6228893.7300000004</v>
      </c>
      <c r="L310" s="365"/>
      <c r="M310" s="365">
        <v>1296926</v>
      </c>
      <c r="N310" s="365">
        <v>2684692.21</v>
      </c>
      <c r="O310" s="233">
        <v>5303105.83</v>
      </c>
      <c r="P310" s="787">
        <v>205558900.38</v>
      </c>
      <c r="Q310" s="365">
        <v>86592292.799999997</v>
      </c>
      <c r="R310" s="365">
        <v>14460775.109999999</v>
      </c>
      <c r="S310" s="365">
        <v>21527572.059999999</v>
      </c>
      <c r="T310" s="365">
        <v>3351414</v>
      </c>
      <c r="U310" s="365">
        <v>12610798.82</v>
      </c>
      <c r="V310" s="365">
        <v>28447700.640000001</v>
      </c>
      <c r="W310" s="365">
        <v>11599664</v>
      </c>
      <c r="X310" s="365">
        <v>6358483</v>
      </c>
      <c r="Y310" s="365">
        <v>16679272.83</v>
      </c>
      <c r="Z310" s="365">
        <v>4248667.13</v>
      </c>
      <c r="AA310" s="365">
        <v>4588850</v>
      </c>
      <c r="AB310" s="365">
        <v>2369800</v>
      </c>
      <c r="AC310" s="365">
        <v>4325095</v>
      </c>
      <c r="AD310" s="365">
        <v>6997931</v>
      </c>
      <c r="AE310" s="365">
        <v>2713131.57</v>
      </c>
      <c r="AF310" s="365">
        <v>0</v>
      </c>
      <c r="AG310" s="365">
        <v>223151.07</v>
      </c>
    </row>
    <row r="311" spans="1:33" x14ac:dyDescent="0.2">
      <c r="A311">
        <v>15</v>
      </c>
      <c r="B311" s="2240" t="s">
        <v>1050</v>
      </c>
      <c r="D311" t="str">
        <f t="shared" si="49"/>
        <v>OK</v>
      </c>
      <c r="E311" s="365">
        <v>298587322</v>
      </c>
      <c r="F311" s="365">
        <v>155084492.97999999</v>
      </c>
      <c r="G311" s="365">
        <v>25833416.02</v>
      </c>
      <c r="H311" s="365">
        <v>0</v>
      </c>
      <c r="I311" s="365">
        <v>117669413</v>
      </c>
      <c r="J311" s="365">
        <v>0</v>
      </c>
      <c r="K311" s="365">
        <v>0</v>
      </c>
      <c r="L311" s="365"/>
      <c r="M311" s="365">
        <v>0</v>
      </c>
      <c r="N311" s="365">
        <v>0</v>
      </c>
      <c r="O311" s="233">
        <v>5549819</v>
      </c>
      <c r="P311" s="365">
        <v>153706378</v>
      </c>
      <c r="Q311" s="365">
        <v>103019563</v>
      </c>
      <c r="R311" s="365">
        <v>25316014</v>
      </c>
      <c r="S311" s="365">
        <v>34988395</v>
      </c>
      <c r="T311" s="365">
        <v>5324117</v>
      </c>
      <c r="U311" s="365">
        <v>20525245</v>
      </c>
      <c r="V311" s="365">
        <v>61996701</v>
      </c>
      <c r="W311" s="365">
        <v>20101001</v>
      </c>
      <c r="X311" s="365">
        <v>15961582</v>
      </c>
      <c r="Y311" s="365">
        <v>31702145</v>
      </c>
      <c r="Z311" s="365">
        <v>9465410</v>
      </c>
      <c r="AA311" s="365">
        <v>8843092</v>
      </c>
      <c r="AB311" s="365">
        <v>4838063</v>
      </c>
      <c r="AC311" s="365">
        <v>8895069</v>
      </c>
      <c r="AD311" s="365">
        <v>15755079</v>
      </c>
      <c r="AE311" s="365">
        <v>4361375</v>
      </c>
      <c r="AF311" s="365">
        <v>0</v>
      </c>
      <c r="AG311" s="365">
        <v>1061031</v>
      </c>
    </row>
    <row r="312" spans="1:33" x14ac:dyDescent="0.2">
      <c r="A312">
        <v>21</v>
      </c>
      <c r="B312" s="2240" t="s">
        <v>1051</v>
      </c>
      <c r="D312" t="str">
        <f t="shared" si="49"/>
        <v>OK</v>
      </c>
      <c r="E312" s="365">
        <v>1397152283.4200001</v>
      </c>
      <c r="F312" s="365">
        <v>1108003290.1900001</v>
      </c>
      <c r="G312" s="365">
        <v>289148993.23000002</v>
      </c>
      <c r="H312" s="365">
        <v>0</v>
      </c>
      <c r="I312" s="365">
        <v>0</v>
      </c>
      <c r="J312" s="365">
        <v>0</v>
      </c>
      <c r="K312" s="365">
        <v>0</v>
      </c>
      <c r="L312" s="365"/>
      <c r="M312" s="365">
        <v>0</v>
      </c>
      <c r="N312" s="365">
        <v>0</v>
      </c>
      <c r="O312" s="233">
        <v>56506304</v>
      </c>
      <c r="P312" s="365">
        <v>2212739626</v>
      </c>
      <c r="Q312" s="365">
        <v>1183066098</v>
      </c>
      <c r="R312" s="365">
        <v>319128934</v>
      </c>
      <c r="S312" s="365">
        <v>479780356</v>
      </c>
      <c r="T312" s="365">
        <v>73543501</v>
      </c>
      <c r="U312" s="365">
        <v>264070324</v>
      </c>
      <c r="V312" s="365">
        <v>724638339</v>
      </c>
      <c r="W312" s="365">
        <v>188462629</v>
      </c>
      <c r="X312" s="365">
        <v>181718927</v>
      </c>
      <c r="Y312" s="365">
        <v>320543877</v>
      </c>
      <c r="Z312" s="365">
        <v>96716720.780000001</v>
      </c>
      <c r="AA312" s="365">
        <v>85094361</v>
      </c>
      <c r="AB312" s="365">
        <v>36891599</v>
      </c>
      <c r="AC312" s="365">
        <v>79633137</v>
      </c>
      <c r="AD312" s="365">
        <v>133338828</v>
      </c>
      <c r="AE312" s="365">
        <v>47018521</v>
      </c>
      <c r="AF312" s="365">
        <v>0</v>
      </c>
      <c r="AG312" s="365">
        <v>1924410</v>
      </c>
    </row>
    <row r="313" spans="1:33" x14ac:dyDescent="0.2">
      <c r="A313">
        <v>16</v>
      </c>
      <c r="B313" s="2240" t="s">
        <v>1052</v>
      </c>
      <c r="D313" t="str">
        <f t="shared" si="49"/>
        <v>OK</v>
      </c>
      <c r="E313" s="365">
        <v>26764925</v>
      </c>
      <c r="F313" s="365">
        <v>0</v>
      </c>
      <c r="G313" s="365">
        <v>0</v>
      </c>
      <c r="H313" s="365">
        <v>26764925</v>
      </c>
      <c r="I313" s="365">
        <v>0</v>
      </c>
      <c r="J313" s="365">
        <v>0</v>
      </c>
      <c r="K313" s="365">
        <v>0</v>
      </c>
      <c r="L313" s="365"/>
      <c r="M313" s="365">
        <v>0</v>
      </c>
      <c r="N313" s="365">
        <v>0</v>
      </c>
      <c r="O313" s="233">
        <v>0</v>
      </c>
      <c r="P313" s="365">
        <v>0</v>
      </c>
      <c r="Q313" s="365">
        <v>0</v>
      </c>
      <c r="R313" s="365">
        <v>0</v>
      </c>
      <c r="S313" s="365">
        <v>0</v>
      </c>
      <c r="T313" s="365">
        <v>0</v>
      </c>
      <c r="U313" s="365">
        <v>0</v>
      </c>
      <c r="V313" s="365">
        <v>0</v>
      </c>
      <c r="W313" s="365">
        <v>0</v>
      </c>
      <c r="X313" s="365">
        <v>0</v>
      </c>
      <c r="Y313" s="365">
        <v>0</v>
      </c>
      <c r="Z313" s="365">
        <v>0</v>
      </c>
      <c r="AA313" s="365">
        <v>0</v>
      </c>
      <c r="AB313" s="365">
        <v>0</v>
      </c>
      <c r="AC313" s="365">
        <v>0</v>
      </c>
      <c r="AD313" s="365">
        <v>0</v>
      </c>
      <c r="AE313" s="365">
        <v>0</v>
      </c>
      <c r="AF313" s="365">
        <v>0</v>
      </c>
      <c r="AG313" s="365">
        <v>0</v>
      </c>
    </row>
    <row r="314" spans="1:33" x14ac:dyDescent="0.2">
      <c r="A314">
        <v>17</v>
      </c>
      <c r="B314" s="2240" t="s">
        <v>5401</v>
      </c>
      <c r="D314" t="str">
        <f t="shared" si="49"/>
        <v>OK</v>
      </c>
      <c r="E314" s="367">
        <v>0</v>
      </c>
      <c r="F314" s="367">
        <v>0</v>
      </c>
      <c r="G314" s="367">
        <v>0</v>
      </c>
      <c r="H314" s="367">
        <v>0</v>
      </c>
      <c r="I314" s="367">
        <v>0</v>
      </c>
      <c r="J314" s="367">
        <v>0</v>
      </c>
      <c r="K314" s="367">
        <v>0</v>
      </c>
      <c r="L314" s="367"/>
      <c r="M314" s="367">
        <v>0</v>
      </c>
      <c r="N314" s="367">
        <v>0</v>
      </c>
      <c r="O314" s="476">
        <v>0</v>
      </c>
      <c r="P314" s="367">
        <v>0</v>
      </c>
      <c r="Q314" s="367">
        <v>0</v>
      </c>
      <c r="R314" s="367">
        <v>0</v>
      </c>
      <c r="S314" s="367">
        <v>0</v>
      </c>
      <c r="T314" s="367">
        <v>0</v>
      </c>
      <c r="U314" s="367">
        <v>0</v>
      </c>
      <c r="V314" s="367">
        <v>0</v>
      </c>
      <c r="W314" s="367">
        <v>0</v>
      </c>
      <c r="X314" s="367">
        <v>0</v>
      </c>
      <c r="Y314" s="367">
        <v>0</v>
      </c>
      <c r="Z314" s="367">
        <v>0</v>
      </c>
      <c r="AA314" s="367">
        <v>0</v>
      </c>
      <c r="AB314" s="367">
        <v>0</v>
      </c>
      <c r="AC314" s="367">
        <v>0</v>
      </c>
      <c r="AD314" s="367">
        <v>0</v>
      </c>
      <c r="AE314" s="367">
        <v>0</v>
      </c>
      <c r="AF314" s="367">
        <v>0</v>
      </c>
      <c r="AG314" s="367">
        <v>0</v>
      </c>
    </row>
    <row r="315" spans="1:33" x14ac:dyDescent="0.2">
      <c r="B315" s="2240" t="s">
        <v>5402</v>
      </c>
      <c r="D315" t="str">
        <f>IF(SUM(F315:N315)=E315,"OK","prob")</f>
        <v>OK</v>
      </c>
      <c r="E315" s="367">
        <f t="shared" ref="E315:AG315" si="50">SUM(E295:E314)</f>
        <v>3101477710.3299999</v>
      </c>
      <c r="F315" s="367">
        <f t="shared" si="50"/>
        <v>1826533988.8900001</v>
      </c>
      <c r="G315" s="367">
        <f t="shared" si="50"/>
        <v>443293503.10000002</v>
      </c>
      <c r="H315" s="367">
        <f t="shared" si="50"/>
        <v>26764925</v>
      </c>
      <c r="I315" s="367">
        <f t="shared" si="50"/>
        <v>670066885.89999998</v>
      </c>
      <c r="J315" s="367">
        <f t="shared" si="50"/>
        <v>16458943.5</v>
      </c>
      <c r="K315" s="367">
        <f t="shared" si="50"/>
        <v>93216474.870000005</v>
      </c>
      <c r="L315" s="367">
        <f t="shared" si="50"/>
        <v>0</v>
      </c>
      <c r="M315" s="367">
        <f t="shared" si="50"/>
        <v>1301291.83</v>
      </c>
      <c r="N315" s="367">
        <f t="shared" si="50"/>
        <v>23841697.239999998</v>
      </c>
      <c r="O315" s="476">
        <f t="shared" si="50"/>
        <v>83320559.920000002</v>
      </c>
      <c r="P315" s="367">
        <f t="shared" si="50"/>
        <v>4107748704.3499999</v>
      </c>
      <c r="Q315" s="367">
        <f t="shared" si="50"/>
        <v>2054716101.3</v>
      </c>
      <c r="R315" s="367">
        <f t="shared" si="50"/>
        <v>659047650.26999998</v>
      </c>
      <c r="S315" s="367">
        <f t="shared" si="50"/>
        <v>1112926822.04</v>
      </c>
      <c r="T315" s="367">
        <f t="shared" si="50"/>
        <v>162814067.44</v>
      </c>
      <c r="U315" s="367">
        <f t="shared" si="50"/>
        <v>524638140.16000003</v>
      </c>
      <c r="V315" s="367">
        <f t="shared" si="50"/>
        <v>1216143317.8599999</v>
      </c>
      <c r="W315" s="367">
        <f t="shared" si="50"/>
        <v>320634116.14999998</v>
      </c>
      <c r="X315" s="367">
        <f t="shared" si="50"/>
        <v>471672748.13999999</v>
      </c>
      <c r="Y315" s="367">
        <f t="shared" si="50"/>
        <v>728057063.67999995</v>
      </c>
      <c r="Z315" s="367">
        <f t="shared" si="50"/>
        <v>164946461.56999999</v>
      </c>
      <c r="AA315" s="367">
        <f t="shared" si="50"/>
        <v>190399365.53</v>
      </c>
      <c r="AB315" s="367">
        <f t="shared" si="50"/>
        <v>84528934.730000004</v>
      </c>
      <c r="AC315" s="367">
        <f t="shared" si="50"/>
        <v>147563880.88</v>
      </c>
      <c r="AD315" s="367">
        <f t="shared" si="50"/>
        <v>270674649.18000001</v>
      </c>
      <c r="AE315" s="367">
        <f t="shared" si="50"/>
        <v>103646618.34</v>
      </c>
      <c r="AF315" s="367">
        <f t="shared" si="50"/>
        <v>17764617.09</v>
      </c>
      <c r="AG315" s="367">
        <f t="shared" si="50"/>
        <v>3208592.07</v>
      </c>
    </row>
    <row r="316" spans="1:33" x14ac:dyDescent="0.2">
      <c r="E316" s="365"/>
      <c r="F316" s="365"/>
      <c r="O316" s="233"/>
      <c r="P316" s="365"/>
    </row>
    <row r="317" spans="1:33" x14ac:dyDescent="0.2">
      <c r="E317" s="365"/>
      <c r="F317" s="365"/>
      <c r="O317" s="233"/>
      <c r="P317" s="365"/>
    </row>
    <row r="318" spans="1:33" x14ac:dyDescent="0.2">
      <c r="B318" s="159" t="s">
        <v>5403</v>
      </c>
      <c r="E318" s="454" t="str">
        <f t="shared" ref="E318:AG318" si="51">IF(ROUND(SUM(E295:E299,E303)-SUM(E126+E152),2)=0,"OK","Out of bal")</f>
        <v>OK</v>
      </c>
      <c r="F318" s="454" t="str">
        <f t="shared" si="51"/>
        <v>OK</v>
      </c>
      <c r="G318" s="454" t="str">
        <f t="shared" si="51"/>
        <v>OK</v>
      </c>
      <c r="H318" s="454" t="str">
        <f t="shared" si="51"/>
        <v>OK</v>
      </c>
      <c r="I318" s="454" t="str">
        <f t="shared" si="51"/>
        <v>OK</v>
      </c>
      <c r="J318" s="454" t="str">
        <f t="shared" si="51"/>
        <v>OK</v>
      </c>
      <c r="K318" s="454" t="str">
        <f t="shared" si="51"/>
        <v>OK</v>
      </c>
      <c r="L318" s="454" t="str">
        <f t="shared" si="51"/>
        <v>OK</v>
      </c>
      <c r="M318" s="454" t="str">
        <f t="shared" si="51"/>
        <v>OK</v>
      </c>
      <c r="N318" s="454" t="str">
        <f t="shared" si="51"/>
        <v>OK</v>
      </c>
      <c r="O318" s="454" t="str">
        <f t="shared" si="51"/>
        <v>OK</v>
      </c>
      <c r="P318" s="454" t="str">
        <f t="shared" si="51"/>
        <v>OK</v>
      </c>
      <c r="Q318" s="454" t="str">
        <f t="shared" si="51"/>
        <v>OK</v>
      </c>
      <c r="R318" s="454" t="str">
        <f t="shared" si="51"/>
        <v>OK</v>
      </c>
      <c r="S318" s="454" t="str">
        <f t="shared" si="51"/>
        <v>OK</v>
      </c>
      <c r="T318" s="454" t="str">
        <f t="shared" si="51"/>
        <v>OK</v>
      </c>
      <c r="U318" s="454" t="str">
        <f t="shared" si="51"/>
        <v>OK</v>
      </c>
      <c r="V318" s="454" t="str">
        <f t="shared" si="51"/>
        <v>OK</v>
      </c>
      <c r="W318" s="454" t="str">
        <f t="shared" si="51"/>
        <v>OK</v>
      </c>
      <c r="X318" s="454" t="str">
        <f t="shared" si="51"/>
        <v>OK</v>
      </c>
      <c r="Y318" s="454" t="str">
        <f t="shared" si="51"/>
        <v>OK</v>
      </c>
      <c r="Z318" s="454" t="str">
        <f t="shared" si="51"/>
        <v>OK</v>
      </c>
      <c r="AA318" s="454" t="str">
        <f t="shared" si="51"/>
        <v>OK</v>
      </c>
      <c r="AB318" s="454" t="str">
        <f t="shared" si="51"/>
        <v>OK</v>
      </c>
      <c r="AC318" s="454" t="str">
        <f t="shared" si="51"/>
        <v>OK</v>
      </c>
      <c r="AD318" s="454" t="str">
        <f t="shared" si="51"/>
        <v>OK</v>
      </c>
      <c r="AE318" s="454" t="str">
        <f t="shared" si="51"/>
        <v>OK</v>
      </c>
      <c r="AF318" s="454" t="str">
        <f t="shared" si="51"/>
        <v>OK</v>
      </c>
      <c r="AG318" s="454" t="str">
        <f t="shared" si="51"/>
        <v>OK</v>
      </c>
    </row>
    <row r="319" spans="1:33" x14ac:dyDescent="0.2">
      <c r="B319" s="159" t="s">
        <v>5404</v>
      </c>
      <c r="E319" s="454" t="str">
        <f t="shared" ref="E319:AG319" si="52">IF(ROUND(SUM(E300:E302,E304:E314)-SUM(E123:E124)-SUM(E127:E136)-SUM(E149:E150)-SUM(E153:E162),2)=0,"OK","Out of bal")</f>
        <v>OK</v>
      </c>
      <c r="F319" s="454" t="str">
        <f t="shared" si="52"/>
        <v>OK</v>
      </c>
      <c r="G319" s="454" t="str">
        <f t="shared" si="52"/>
        <v>OK</v>
      </c>
      <c r="H319" s="454" t="str">
        <f t="shared" si="52"/>
        <v>OK</v>
      </c>
      <c r="I319" s="454" t="str">
        <f t="shared" si="52"/>
        <v>OK</v>
      </c>
      <c r="J319" s="454" t="str">
        <f t="shared" si="52"/>
        <v>OK</v>
      </c>
      <c r="K319" s="454" t="str">
        <f t="shared" si="52"/>
        <v>OK</v>
      </c>
      <c r="L319" s="454" t="str">
        <f t="shared" si="52"/>
        <v>OK</v>
      </c>
      <c r="M319" s="454" t="str">
        <f t="shared" si="52"/>
        <v>OK</v>
      </c>
      <c r="N319" s="454" t="str">
        <f t="shared" si="52"/>
        <v>OK</v>
      </c>
      <c r="O319" s="454" t="str">
        <f t="shared" si="52"/>
        <v>OK</v>
      </c>
      <c r="P319" s="454" t="str">
        <f t="shared" si="52"/>
        <v>OK</v>
      </c>
      <c r="Q319" s="454" t="str">
        <f t="shared" si="52"/>
        <v>OK</v>
      </c>
      <c r="R319" s="454" t="str">
        <f t="shared" si="52"/>
        <v>OK</v>
      </c>
      <c r="S319" s="454" t="str">
        <f t="shared" si="52"/>
        <v>OK</v>
      </c>
      <c r="T319" s="454" t="str">
        <f t="shared" si="52"/>
        <v>OK</v>
      </c>
      <c r="U319" s="454" t="str">
        <f t="shared" si="52"/>
        <v>OK</v>
      </c>
      <c r="V319" s="454" t="str">
        <f t="shared" si="52"/>
        <v>OK</v>
      </c>
      <c r="W319" s="454" t="str">
        <f t="shared" si="52"/>
        <v>OK</v>
      </c>
      <c r="X319" s="454" t="str">
        <f t="shared" si="52"/>
        <v>OK</v>
      </c>
      <c r="Y319" s="454" t="str">
        <f t="shared" si="52"/>
        <v>OK</v>
      </c>
      <c r="Z319" s="454" t="str">
        <f t="shared" si="52"/>
        <v>OK</v>
      </c>
      <c r="AA319" s="454" t="str">
        <f t="shared" si="52"/>
        <v>OK</v>
      </c>
      <c r="AB319" s="454" t="str">
        <f t="shared" si="52"/>
        <v>OK</v>
      </c>
      <c r="AC319" s="454" t="str">
        <f t="shared" si="52"/>
        <v>OK</v>
      </c>
      <c r="AD319" s="454" t="str">
        <f t="shared" si="52"/>
        <v>OK</v>
      </c>
      <c r="AE319" s="454" t="str">
        <f t="shared" si="52"/>
        <v>OK</v>
      </c>
      <c r="AF319" s="454" t="str">
        <f t="shared" si="52"/>
        <v>OK</v>
      </c>
      <c r="AG319" s="454" t="str">
        <f t="shared" si="52"/>
        <v>OK</v>
      </c>
    </row>
    <row r="320" spans="1:33" x14ac:dyDescent="0.2">
      <c r="E320" s="454"/>
      <c r="F320" s="365"/>
      <c r="O320" s="766"/>
      <c r="P320" s="454"/>
      <c r="Q320" s="454"/>
      <c r="R320" s="454"/>
      <c r="S320" s="454"/>
      <c r="T320" s="454"/>
      <c r="U320" s="454"/>
      <c r="V320" s="454"/>
      <c r="W320" s="454"/>
      <c r="X320" s="454"/>
      <c r="Y320" s="454"/>
      <c r="Z320" s="454"/>
      <c r="AA320" s="454"/>
      <c r="AB320" s="454"/>
      <c r="AC320" s="454"/>
      <c r="AD320" s="454"/>
      <c r="AE320" s="454"/>
      <c r="AF320" s="454"/>
      <c r="AG320" s="454"/>
    </row>
    <row r="321" spans="1:33" x14ac:dyDescent="0.2">
      <c r="B321" t="s">
        <v>2697</v>
      </c>
      <c r="E321" s="454"/>
      <c r="F321" s="365"/>
      <c r="O321" s="766"/>
      <c r="P321" s="454"/>
      <c r="Q321" s="454"/>
      <c r="R321" s="454"/>
      <c r="S321" s="454"/>
      <c r="T321" s="454"/>
      <c r="U321" s="454"/>
      <c r="V321" s="454"/>
      <c r="W321" s="454"/>
      <c r="X321" s="454"/>
      <c r="Y321" s="454"/>
      <c r="Z321" s="454"/>
      <c r="AA321" s="454"/>
      <c r="AB321" s="454"/>
      <c r="AC321" s="454"/>
      <c r="AD321" s="454"/>
      <c r="AE321" s="454"/>
      <c r="AF321" s="454"/>
      <c r="AG321" s="454"/>
    </row>
    <row r="322" spans="1:33" x14ac:dyDescent="0.2">
      <c r="A322">
        <v>18</v>
      </c>
      <c r="B322" t="s">
        <v>5405</v>
      </c>
      <c r="D322" t="str">
        <f t="shared" ref="D322:D327" si="53">IF(SUM(F322:N322)-E322=0,"OK","prob")</f>
        <v>OK</v>
      </c>
      <c r="E322" s="365">
        <v>0</v>
      </c>
      <c r="F322" s="365">
        <v>0</v>
      </c>
      <c r="G322" s="365">
        <v>0</v>
      </c>
      <c r="H322" s="365">
        <v>0</v>
      </c>
      <c r="I322" s="365">
        <v>0</v>
      </c>
      <c r="J322" s="365">
        <v>0</v>
      </c>
      <c r="K322" s="365">
        <v>0</v>
      </c>
      <c r="L322" s="365"/>
      <c r="M322" s="365">
        <v>0</v>
      </c>
      <c r="N322" s="365">
        <v>0</v>
      </c>
      <c r="O322" s="233">
        <v>0</v>
      </c>
      <c r="P322" s="365">
        <v>0</v>
      </c>
      <c r="Q322" s="365">
        <v>0</v>
      </c>
      <c r="R322" s="365">
        <v>0</v>
      </c>
      <c r="S322" s="365">
        <v>0</v>
      </c>
      <c r="T322" s="365">
        <v>0</v>
      </c>
      <c r="U322" s="365">
        <v>0</v>
      </c>
      <c r="V322" s="365">
        <v>0</v>
      </c>
      <c r="W322" s="365">
        <v>0</v>
      </c>
      <c r="X322" s="365">
        <v>0</v>
      </c>
      <c r="Y322" s="365">
        <v>0</v>
      </c>
      <c r="Z322" s="365">
        <v>0</v>
      </c>
      <c r="AA322" s="365">
        <v>0</v>
      </c>
      <c r="AB322" s="365">
        <v>0</v>
      </c>
      <c r="AC322" s="365">
        <v>0</v>
      </c>
      <c r="AD322" s="365">
        <v>0</v>
      </c>
      <c r="AE322" s="365">
        <v>0</v>
      </c>
      <c r="AF322" s="365">
        <v>0</v>
      </c>
      <c r="AG322" s="365">
        <v>0</v>
      </c>
    </row>
    <row r="323" spans="1:33" x14ac:dyDescent="0.2">
      <c r="A323">
        <v>19</v>
      </c>
      <c r="B323" t="s">
        <v>5406</v>
      </c>
      <c r="D323" t="str">
        <f t="shared" si="53"/>
        <v>OK</v>
      </c>
      <c r="E323" s="365">
        <v>0</v>
      </c>
      <c r="F323" s="365">
        <v>0</v>
      </c>
      <c r="G323" s="365">
        <v>0</v>
      </c>
      <c r="H323" s="365">
        <v>0</v>
      </c>
      <c r="I323" s="365">
        <v>0</v>
      </c>
      <c r="J323" s="365">
        <v>0</v>
      </c>
      <c r="K323" s="365">
        <v>0</v>
      </c>
      <c r="L323" s="365"/>
      <c r="M323" s="365">
        <v>0</v>
      </c>
      <c r="N323" s="365">
        <v>0</v>
      </c>
      <c r="O323" s="233">
        <v>0</v>
      </c>
      <c r="P323" s="365">
        <v>0</v>
      </c>
      <c r="Q323" s="365">
        <v>0</v>
      </c>
      <c r="R323" s="365">
        <v>0</v>
      </c>
      <c r="S323" s="365">
        <v>0</v>
      </c>
      <c r="T323" s="365">
        <v>0</v>
      </c>
      <c r="U323" s="365">
        <v>0</v>
      </c>
      <c r="V323" s="365">
        <v>0</v>
      </c>
      <c r="W323" s="365">
        <v>0</v>
      </c>
      <c r="X323" s="365">
        <v>0</v>
      </c>
      <c r="Y323" s="365">
        <v>0</v>
      </c>
      <c r="Z323" s="365">
        <v>0</v>
      </c>
      <c r="AA323" s="365">
        <v>0</v>
      </c>
      <c r="AB323" s="365">
        <v>0</v>
      </c>
      <c r="AC323" s="365">
        <v>0</v>
      </c>
      <c r="AD323" s="365">
        <v>0</v>
      </c>
      <c r="AE323" s="365">
        <v>0</v>
      </c>
      <c r="AF323" s="365">
        <v>0</v>
      </c>
      <c r="AG323" s="365">
        <v>0</v>
      </c>
    </row>
    <row r="324" spans="1:33" x14ac:dyDescent="0.2">
      <c r="A324">
        <v>26</v>
      </c>
      <c r="B324" t="s">
        <v>1024</v>
      </c>
      <c r="D324" t="str">
        <f t="shared" si="53"/>
        <v>OK</v>
      </c>
      <c r="E324" s="365">
        <v>0</v>
      </c>
      <c r="F324" s="365">
        <v>0</v>
      </c>
      <c r="G324" s="365">
        <v>0</v>
      </c>
      <c r="H324" s="365">
        <v>0</v>
      </c>
      <c r="I324" s="365">
        <v>0</v>
      </c>
      <c r="J324" s="365">
        <v>0</v>
      </c>
      <c r="K324" s="365">
        <v>0</v>
      </c>
      <c r="L324" s="365"/>
      <c r="M324" s="365">
        <v>0</v>
      </c>
      <c r="N324" s="365">
        <v>0</v>
      </c>
      <c r="O324" s="233">
        <v>0</v>
      </c>
      <c r="P324" s="365">
        <v>0</v>
      </c>
      <c r="Q324" s="365">
        <v>0</v>
      </c>
      <c r="R324" s="365">
        <v>0</v>
      </c>
      <c r="S324" s="365">
        <v>0</v>
      </c>
      <c r="T324" s="365">
        <v>0</v>
      </c>
      <c r="U324" s="365">
        <v>0</v>
      </c>
      <c r="V324" s="365">
        <v>0</v>
      </c>
      <c r="W324" s="365">
        <v>0</v>
      </c>
      <c r="X324" s="365">
        <v>0</v>
      </c>
      <c r="Y324" s="365">
        <v>0</v>
      </c>
      <c r="Z324" s="365">
        <v>0</v>
      </c>
      <c r="AA324" s="365">
        <v>0</v>
      </c>
      <c r="AB324" s="365">
        <v>0</v>
      </c>
      <c r="AC324" s="365">
        <v>0</v>
      </c>
      <c r="AD324" s="365">
        <v>0</v>
      </c>
      <c r="AE324" s="365">
        <v>0</v>
      </c>
      <c r="AF324" s="365">
        <v>0</v>
      </c>
      <c r="AG324" s="365">
        <v>0</v>
      </c>
    </row>
    <row r="325" spans="1:33" x14ac:dyDescent="0.2">
      <c r="A325">
        <v>27</v>
      </c>
      <c r="B325" t="s">
        <v>1016</v>
      </c>
      <c r="D325" t="str">
        <f t="shared" si="53"/>
        <v>OK</v>
      </c>
      <c r="E325" s="365">
        <v>0</v>
      </c>
      <c r="F325" s="365">
        <v>0</v>
      </c>
      <c r="G325" s="365">
        <v>0</v>
      </c>
      <c r="H325" s="365">
        <v>0</v>
      </c>
      <c r="I325" s="365">
        <v>0</v>
      </c>
      <c r="J325" s="365">
        <v>0</v>
      </c>
      <c r="K325" s="365">
        <v>0</v>
      </c>
      <c r="L325" s="365"/>
      <c r="M325" s="365">
        <v>0</v>
      </c>
      <c r="N325" s="365">
        <v>0</v>
      </c>
      <c r="O325" s="233">
        <v>0</v>
      </c>
      <c r="P325" s="365">
        <v>0</v>
      </c>
      <c r="Q325" s="365">
        <v>0</v>
      </c>
      <c r="R325" s="365">
        <v>0</v>
      </c>
      <c r="S325" s="365">
        <v>0</v>
      </c>
      <c r="T325" s="365">
        <v>0</v>
      </c>
      <c r="U325" s="365">
        <v>0</v>
      </c>
      <c r="V325" s="365">
        <v>0</v>
      </c>
      <c r="W325" s="365">
        <v>0</v>
      </c>
      <c r="X325" s="365">
        <v>0</v>
      </c>
      <c r="Y325" s="365">
        <v>0</v>
      </c>
      <c r="Z325" s="365">
        <v>0</v>
      </c>
      <c r="AA325" s="365">
        <v>0</v>
      </c>
      <c r="AB325" s="365">
        <v>0</v>
      </c>
      <c r="AC325" s="365">
        <v>0</v>
      </c>
      <c r="AD325" s="365">
        <v>0</v>
      </c>
      <c r="AE325" s="365">
        <v>0</v>
      </c>
      <c r="AF325" s="365">
        <v>0</v>
      </c>
      <c r="AG325" s="365">
        <v>0</v>
      </c>
    </row>
    <row r="326" spans="1:33" x14ac:dyDescent="0.2">
      <c r="A326">
        <v>20</v>
      </c>
      <c r="B326" t="s">
        <v>5407</v>
      </c>
      <c r="D326" t="str">
        <f t="shared" si="53"/>
        <v>OK</v>
      </c>
      <c r="E326" s="365">
        <v>0</v>
      </c>
      <c r="F326" s="365">
        <v>0</v>
      </c>
      <c r="G326" s="365">
        <v>0</v>
      </c>
      <c r="H326" s="365">
        <v>0</v>
      </c>
      <c r="I326" s="365">
        <v>0</v>
      </c>
      <c r="J326" s="365">
        <v>0</v>
      </c>
      <c r="K326" s="365">
        <v>0</v>
      </c>
      <c r="L326" s="365"/>
      <c r="M326" s="365">
        <v>0</v>
      </c>
      <c r="N326" s="365">
        <v>0</v>
      </c>
      <c r="O326" s="233">
        <v>0</v>
      </c>
      <c r="P326" s="365">
        <v>0</v>
      </c>
      <c r="Q326" s="365">
        <v>0</v>
      </c>
      <c r="R326" s="365">
        <v>0</v>
      </c>
      <c r="S326" s="365">
        <v>0</v>
      </c>
      <c r="T326" s="365">
        <v>0</v>
      </c>
      <c r="U326" s="365">
        <v>0</v>
      </c>
      <c r="V326" s="365">
        <v>0</v>
      </c>
      <c r="W326" s="365">
        <v>0</v>
      </c>
      <c r="X326" s="365">
        <v>0</v>
      </c>
      <c r="Y326" s="365">
        <v>0</v>
      </c>
      <c r="Z326" s="365">
        <v>0</v>
      </c>
      <c r="AA326" s="365">
        <v>0</v>
      </c>
      <c r="AB326" s="365">
        <v>0</v>
      </c>
      <c r="AC326" s="365">
        <v>0</v>
      </c>
      <c r="AD326" s="365">
        <v>0</v>
      </c>
      <c r="AE326" s="365">
        <v>0</v>
      </c>
      <c r="AF326" s="365">
        <v>0</v>
      </c>
      <c r="AG326" s="365">
        <v>0</v>
      </c>
    </row>
    <row r="327" spans="1:33" ht="13.5" thickBot="1" x14ac:dyDescent="0.25">
      <c r="B327" t="s">
        <v>5408</v>
      </c>
      <c r="D327" t="str">
        <f t="shared" si="53"/>
        <v>OK</v>
      </c>
      <c r="E327" s="1019">
        <f>SUM(E322:E326)</f>
        <v>0</v>
      </c>
      <c r="F327" s="1019">
        <f t="shared" ref="F327:AG327" si="54">SUM(F322:F326)</f>
        <v>0</v>
      </c>
      <c r="G327" s="1019">
        <f t="shared" si="54"/>
        <v>0</v>
      </c>
      <c r="H327" s="1019">
        <f t="shared" si="54"/>
        <v>0</v>
      </c>
      <c r="I327" s="1019">
        <f t="shared" si="54"/>
        <v>0</v>
      </c>
      <c r="J327" s="1019">
        <f t="shared" si="54"/>
        <v>0</v>
      </c>
      <c r="K327" s="1019">
        <f t="shared" si="54"/>
        <v>0</v>
      </c>
      <c r="L327" s="1019">
        <f t="shared" si="54"/>
        <v>0</v>
      </c>
      <c r="M327" s="1019">
        <f>SUM(M322:M326)</f>
        <v>0</v>
      </c>
      <c r="N327" s="1019">
        <f t="shared" si="54"/>
        <v>0</v>
      </c>
      <c r="O327" s="405">
        <f t="shared" si="54"/>
        <v>0</v>
      </c>
      <c r="P327" s="1019">
        <f t="shared" si="54"/>
        <v>0</v>
      </c>
      <c r="Q327" s="1019">
        <f t="shared" si="54"/>
        <v>0</v>
      </c>
      <c r="R327" s="1019">
        <f t="shared" si="54"/>
        <v>0</v>
      </c>
      <c r="S327" s="1019">
        <f t="shared" si="54"/>
        <v>0</v>
      </c>
      <c r="T327" s="1019">
        <f t="shared" si="54"/>
        <v>0</v>
      </c>
      <c r="U327" s="1019">
        <f t="shared" si="54"/>
        <v>0</v>
      </c>
      <c r="V327" s="1019">
        <f t="shared" si="54"/>
        <v>0</v>
      </c>
      <c r="W327" s="1019">
        <f t="shared" si="54"/>
        <v>0</v>
      </c>
      <c r="X327" s="1019">
        <f t="shared" si="54"/>
        <v>0</v>
      </c>
      <c r="Y327" s="1019">
        <f t="shared" si="54"/>
        <v>0</v>
      </c>
      <c r="Z327" s="1019">
        <f t="shared" si="54"/>
        <v>0</v>
      </c>
      <c r="AA327" s="1019">
        <f t="shared" si="54"/>
        <v>0</v>
      </c>
      <c r="AB327" s="1019">
        <f t="shared" si="54"/>
        <v>0</v>
      </c>
      <c r="AC327" s="1019">
        <f t="shared" si="54"/>
        <v>0</v>
      </c>
      <c r="AD327" s="1019">
        <f t="shared" si="54"/>
        <v>0</v>
      </c>
      <c r="AE327" s="1019">
        <f t="shared" si="54"/>
        <v>0</v>
      </c>
      <c r="AF327" s="1019">
        <f t="shared" si="54"/>
        <v>0</v>
      </c>
      <c r="AG327" s="1019">
        <f t="shared" si="54"/>
        <v>0</v>
      </c>
    </row>
    <row r="328" spans="1:33" ht="13.5" thickTop="1" x14ac:dyDescent="0.2">
      <c r="E328" s="454" t="str">
        <f t="shared" ref="E328:AG328" si="55">IF(ROUND(E327-SUM(E109:E113),2)=0,"OK","Out of bal")</f>
        <v>OK</v>
      </c>
      <c r="F328" s="454" t="str">
        <f t="shared" si="55"/>
        <v>OK</v>
      </c>
      <c r="G328" s="454" t="str">
        <f t="shared" si="55"/>
        <v>OK</v>
      </c>
      <c r="H328" s="454" t="str">
        <f t="shared" si="55"/>
        <v>OK</v>
      </c>
      <c r="I328" s="454" t="str">
        <f t="shared" si="55"/>
        <v>OK</v>
      </c>
      <c r="J328" s="454" t="str">
        <f t="shared" si="55"/>
        <v>OK</v>
      </c>
      <c r="K328" s="454" t="str">
        <f t="shared" si="55"/>
        <v>OK</v>
      </c>
      <c r="L328" s="454" t="str">
        <f t="shared" si="55"/>
        <v>OK</v>
      </c>
      <c r="M328" s="454" t="str">
        <f t="shared" si="55"/>
        <v>OK</v>
      </c>
      <c r="N328" s="454" t="str">
        <f t="shared" si="55"/>
        <v>OK</v>
      </c>
      <c r="O328" s="1376" t="str">
        <f t="shared" si="55"/>
        <v>OK</v>
      </c>
      <c r="P328" s="454" t="str">
        <f t="shared" si="55"/>
        <v>OK</v>
      </c>
      <c r="Q328" s="454" t="str">
        <f t="shared" si="55"/>
        <v>OK</v>
      </c>
      <c r="R328" s="454" t="str">
        <f t="shared" si="55"/>
        <v>OK</v>
      </c>
      <c r="S328" s="454" t="str">
        <f t="shared" si="55"/>
        <v>OK</v>
      </c>
      <c r="T328" s="454" t="str">
        <f t="shared" si="55"/>
        <v>OK</v>
      </c>
      <c r="U328" s="454" t="str">
        <f t="shared" si="55"/>
        <v>OK</v>
      </c>
      <c r="V328" s="454" t="str">
        <f t="shared" si="55"/>
        <v>OK</v>
      </c>
      <c r="W328" s="454" t="str">
        <f t="shared" si="55"/>
        <v>OK</v>
      </c>
      <c r="X328" s="454" t="str">
        <f t="shared" si="55"/>
        <v>OK</v>
      </c>
      <c r="Y328" s="454" t="str">
        <f t="shared" si="55"/>
        <v>OK</v>
      </c>
      <c r="Z328" s="454" t="str">
        <f t="shared" si="55"/>
        <v>OK</v>
      </c>
      <c r="AA328" s="454" t="str">
        <f t="shared" si="55"/>
        <v>OK</v>
      </c>
      <c r="AB328" s="454" t="str">
        <f t="shared" si="55"/>
        <v>OK</v>
      </c>
      <c r="AC328" s="454" t="str">
        <f t="shared" si="55"/>
        <v>OK</v>
      </c>
      <c r="AD328" s="454" t="str">
        <f t="shared" si="55"/>
        <v>OK</v>
      </c>
      <c r="AE328" s="454" t="str">
        <f t="shared" si="55"/>
        <v>OK</v>
      </c>
      <c r="AF328" s="454" t="str">
        <f t="shared" si="55"/>
        <v>OK</v>
      </c>
      <c r="AG328" s="454" t="str">
        <f t="shared" si="55"/>
        <v>OK</v>
      </c>
    </row>
    <row r="333" spans="1:33" x14ac:dyDescent="0.2">
      <c r="B333" s="2881" t="s">
        <v>5409</v>
      </c>
      <c r="C333" s="2881"/>
      <c r="E333" s="365">
        <f t="shared" ref="E333:AG333" si="56">SUM(E124,E150)-E304</f>
        <v>0</v>
      </c>
      <c r="F333" s="365">
        <f t="shared" si="56"/>
        <v>0</v>
      </c>
      <c r="G333" s="365">
        <f t="shared" si="56"/>
        <v>0</v>
      </c>
      <c r="H333" s="365">
        <f t="shared" si="56"/>
        <v>0</v>
      </c>
      <c r="I333" s="365">
        <f t="shared" si="56"/>
        <v>0</v>
      </c>
      <c r="J333" s="365">
        <f t="shared" si="56"/>
        <v>0</v>
      </c>
      <c r="K333" s="365">
        <f t="shared" si="56"/>
        <v>0</v>
      </c>
      <c r="L333" s="365">
        <f t="shared" si="56"/>
        <v>0</v>
      </c>
      <c r="M333" s="365">
        <f t="shared" si="56"/>
        <v>0</v>
      </c>
      <c r="N333" s="365">
        <f t="shared" si="56"/>
        <v>0</v>
      </c>
      <c r="O333" s="233">
        <f t="shared" si="56"/>
        <v>0</v>
      </c>
      <c r="P333" s="365">
        <f t="shared" si="56"/>
        <v>0</v>
      </c>
      <c r="Q333" s="365">
        <f t="shared" si="56"/>
        <v>0</v>
      </c>
      <c r="R333" s="365">
        <f t="shared" si="56"/>
        <v>0</v>
      </c>
      <c r="S333" s="365">
        <f t="shared" si="56"/>
        <v>0</v>
      </c>
      <c r="T333" s="365">
        <f t="shared" si="56"/>
        <v>0</v>
      </c>
      <c r="U333" s="365">
        <f t="shared" si="56"/>
        <v>0</v>
      </c>
      <c r="V333" s="365">
        <f t="shared" si="56"/>
        <v>0</v>
      </c>
      <c r="W333" s="365">
        <f t="shared" si="56"/>
        <v>0</v>
      </c>
      <c r="X333" s="365">
        <f t="shared" si="56"/>
        <v>0</v>
      </c>
      <c r="Y333" s="365">
        <f t="shared" si="56"/>
        <v>0</v>
      </c>
      <c r="Z333" s="365">
        <f t="shared" si="56"/>
        <v>0</v>
      </c>
      <c r="AA333" s="365">
        <f t="shared" si="56"/>
        <v>0</v>
      </c>
      <c r="AB333" s="365">
        <f t="shared" si="56"/>
        <v>0</v>
      </c>
      <c r="AC333" s="365">
        <f t="shared" si="56"/>
        <v>0</v>
      </c>
      <c r="AD333" s="365">
        <f t="shared" si="56"/>
        <v>0</v>
      </c>
      <c r="AE333" s="365">
        <f t="shared" si="56"/>
        <v>0</v>
      </c>
      <c r="AF333" s="365">
        <f t="shared" si="56"/>
        <v>0</v>
      </c>
      <c r="AG333" s="365">
        <f t="shared" si="56"/>
        <v>0</v>
      </c>
    </row>
    <row r="334" spans="1:33" x14ac:dyDescent="0.2">
      <c r="B334" s="2881" t="s">
        <v>4876</v>
      </c>
      <c r="C334" s="2881"/>
      <c r="E334" s="365">
        <f t="shared" ref="E334:O334" si="57">SUM(E126,E152)-SUM(E295:E299)</f>
        <v>0</v>
      </c>
      <c r="F334" s="365">
        <f t="shared" si="57"/>
        <v>0</v>
      </c>
      <c r="G334" s="365">
        <f t="shared" si="57"/>
        <v>0</v>
      </c>
      <c r="H334" s="365">
        <f t="shared" si="57"/>
        <v>0</v>
      </c>
      <c r="I334" s="365">
        <f t="shared" si="57"/>
        <v>0</v>
      </c>
      <c r="J334" s="365">
        <f t="shared" si="57"/>
        <v>0</v>
      </c>
      <c r="K334" s="365">
        <f t="shared" si="57"/>
        <v>0</v>
      </c>
      <c r="L334" s="365">
        <f t="shared" si="57"/>
        <v>0</v>
      </c>
      <c r="M334" s="365">
        <f t="shared" si="57"/>
        <v>0</v>
      </c>
      <c r="N334" s="365">
        <f t="shared" si="57"/>
        <v>0</v>
      </c>
      <c r="O334" s="233">
        <f t="shared" si="57"/>
        <v>0</v>
      </c>
      <c r="P334" s="365">
        <f>SUM(P126,P152)-SUM(P295:P299)-P303</f>
        <v>0</v>
      </c>
      <c r="Q334" s="365">
        <f>SUM(Q126,Q152)-SUM(Q295:Q299)-Q303</f>
        <v>0</v>
      </c>
      <c r="R334" s="365">
        <f>SUM(R126,R152)-SUM(R295:R299)-R303</f>
        <v>0</v>
      </c>
      <c r="S334" s="365">
        <f>SUM(S126,S152)-SUM(S295:S299)</f>
        <v>0</v>
      </c>
      <c r="T334" s="365">
        <f>SUM(T126,T152)-SUM(T295:T299)</f>
        <v>0</v>
      </c>
      <c r="U334" s="365">
        <f>SUM(U126,U152)-SUM(U295:U299)-U303</f>
        <v>0</v>
      </c>
      <c r="V334" s="365">
        <f>SUM(V126,V152)-SUM(V295:V299)-V303</f>
        <v>0</v>
      </c>
      <c r="W334" s="365">
        <f>SUM(W126,W152)-SUM(W295:W299)</f>
        <v>0</v>
      </c>
      <c r="X334" s="365">
        <f>SUM(X126,X152)-SUM(X295:X299)</f>
        <v>0</v>
      </c>
      <c r="Y334" s="365">
        <f>SUM(Y126,Y152)-SUM(Y295:Y299)-Y303</f>
        <v>0</v>
      </c>
      <c r="Z334" s="365">
        <f>SUM(Z126,Z152)-SUM(Z295:Z299)-Z303</f>
        <v>0</v>
      </c>
      <c r="AA334" s="365">
        <f t="shared" ref="AA334:AG334" si="58">SUM(AA126,AA152)-SUM(AA295:AA299)</f>
        <v>0</v>
      </c>
      <c r="AB334" s="365">
        <f t="shared" si="58"/>
        <v>0</v>
      </c>
      <c r="AC334" s="365">
        <f t="shared" si="58"/>
        <v>0</v>
      </c>
      <c r="AD334" s="365">
        <f t="shared" si="58"/>
        <v>0</v>
      </c>
      <c r="AE334" s="365">
        <f t="shared" si="58"/>
        <v>0</v>
      </c>
      <c r="AF334" s="365">
        <f t="shared" si="58"/>
        <v>0</v>
      </c>
      <c r="AG334" s="365">
        <f t="shared" si="58"/>
        <v>0</v>
      </c>
    </row>
    <row r="335" spans="1:33" x14ac:dyDescent="0.2">
      <c r="B335" s="2881" t="s">
        <v>1021</v>
      </c>
      <c r="C335" s="2881"/>
      <c r="E335" s="365">
        <f t="shared" ref="E335:AG335" si="59">SUM(E127,E153)-E300</f>
        <v>0</v>
      </c>
      <c r="F335" s="365">
        <f t="shared" si="59"/>
        <v>0</v>
      </c>
      <c r="G335" s="365">
        <f t="shared" si="59"/>
        <v>0</v>
      </c>
      <c r="H335" s="365">
        <f t="shared" si="59"/>
        <v>0</v>
      </c>
      <c r="I335" s="365">
        <f t="shared" si="59"/>
        <v>0</v>
      </c>
      <c r="J335" s="365">
        <f t="shared" si="59"/>
        <v>0</v>
      </c>
      <c r="K335" s="365">
        <f t="shared" si="59"/>
        <v>0</v>
      </c>
      <c r="L335" s="365">
        <f t="shared" si="59"/>
        <v>0</v>
      </c>
      <c r="M335" s="365">
        <f t="shared" si="59"/>
        <v>0</v>
      </c>
      <c r="N335" s="365">
        <f t="shared" si="59"/>
        <v>0</v>
      </c>
      <c r="O335" s="233">
        <f t="shared" si="59"/>
        <v>0</v>
      </c>
      <c r="P335" s="365">
        <f t="shared" si="59"/>
        <v>0</v>
      </c>
      <c r="Q335" s="365">
        <f t="shared" si="59"/>
        <v>0</v>
      </c>
      <c r="R335" s="365">
        <f t="shared" si="59"/>
        <v>0</v>
      </c>
      <c r="S335" s="365">
        <f t="shared" si="59"/>
        <v>0</v>
      </c>
      <c r="T335" s="365">
        <f t="shared" si="59"/>
        <v>0</v>
      </c>
      <c r="U335" s="365">
        <f t="shared" si="59"/>
        <v>0</v>
      </c>
      <c r="V335" s="365">
        <f t="shared" si="59"/>
        <v>0</v>
      </c>
      <c r="W335" s="365">
        <f t="shared" si="59"/>
        <v>0</v>
      </c>
      <c r="X335" s="365">
        <f t="shared" si="59"/>
        <v>0</v>
      </c>
      <c r="Y335" s="365">
        <f t="shared" si="59"/>
        <v>0</v>
      </c>
      <c r="Z335" s="365">
        <f t="shared" si="59"/>
        <v>0</v>
      </c>
      <c r="AA335" s="365">
        <f t="shared" si="59"/>
        <v>0</v>
      </c>
      <c r="AB335" s="365">
        <f t="shared" si="59"/>
        <v>0</v>
      </c>
      <c r="AC335" s="365">
        <f t="shared" si="59"/>
        <v>0</v>
      </c>
      <c r="AD335" s="365">
        <f t="shared" si="59"/>
        <v>0</v>
      </c>
      <c r="AE335" s="365">
        <f t="shared" si="59"/>
        <v>0</v>
      </c>
      <c r="AF335" s="365">
        <f t="shared" si="59"/>
        <v>0</v>
      </c>
      <c r="AG335" s="365">
        <f t="shared" si="59"/>
        <v>0</v>
      </c>
    </row>
    <row r="336" spans="1:33" x14ac:dyDescent="0.2">
      <c r="B336" s="2881" t="s">
        <v>1023</v>
      </c>
      <c r="C336" s="2881"/>
      <c r="E336" s="365">
        <f t="shared" ref="E336:AG336" si="60">SUM(E128,E154)-E301</f>
        <v>0</v>
      </c>
      <c r="F336" s="365">
        <f t="shared" si="60"/>
        <v>0</v>
      </c>
      <c r="G336" s="365">
        <f t="shared" si="60"/>
        <v>0</v>
      </c>
      <c r="H336" s="365">
        <f t="shared" si="60"/>
        <v>0</v>
      </c>
      <c r="I336" s="365">
        <f t="shared" si="60"/>
        <v>0</v>
      </c>
      <c r="J336" s="365">
        <f t="shared" si="60"/>
        <v>0</v>
      </c>
      <c r="K336" s="365">
        <f t="shared" si="60"/>
        <v>0</v>
      </c>
      <c r="L336" s="365">
        <f t="shared" si="60"/>
        <v>0</v>
      </c>
      <c r="M336" s="365">
        <f t="shared" si="60"/>
        <v>0</v>
      </c>
      <c r="N336" s="365">
        <f t="shared" si="60"/>
        <v>0</v>
      </c>
      <c r="O336" s="233">
        <f t="shared" si="60"/>
        <v>0</v>
      </c>
      <c r="P336" s="365">
        <f t="shared" si="60"/>
        <v>0</v>
      </c>
      <c r="Q336" s="365">
        <f t="shared" si="60"/>
        <v>0</v>
      </c>
      <c r="R336" s="365">
        <f t="shared" si="60"/>
        <v>0</v>
      </c>
      <c r="S336" s="365">
        <f t="shared" si="60"/>
        <v>0</v>
      </c>
      <c r="T336" s="365">
        <f t="shared" si="60"/>
        <v>0</v>
      </c>
      <c r="U336" s="365">
        <f t="shared" si="60"/>
        <v>0</v>
      </c>
      <c r="V336" s="365">
        <f t="shared" si="60"/>
        <v>0</v>
      </c>
      <c r="W336" s="365">
        <f t="shared" si="60"/>
        <v>0</v>
      </c>
      <c r="X336" s="365">
        <f t="shared" si="60"/>
        <v>0</v>
      </c>
      <c r="Y336" s="365">
        <f t="shared" si="60"/>
        <v>0</v>
      </c>
      <c r="Z336" s="365">
        <f t="shared" si="60"/>
        <v>0</v>
      </c>
      <c r="AA336" s="365">
        <f t="shared" si="60"/>
        <v>0</v>
      </c>
      <c r="AB336" s="365">
        <f t="shared" si="60"/>
        <v>0</v>
      </c>
      <c r="AC336" s="365">
        <f t="shared" si="60"/>
        <v>0</v>
      </c>
      <c r="AD336" s="365">
        <f t="shared" si="60"/>
        <v>0</v>
      </c>
      <c r="AE336" s="365">
        <f t="shared" si="60"/>
        <v>0</v>
      </c>
      <c r="AF336" s="365">
        <f t="shared" si="60"/>
        <v>0</v>
      </c>
      <c r="AG336" s="365">
        <f t="shared" si="60"/>
        <v>0</v>
      </c>
    </row>
    <row r="337" spans="1:33" x14ac:dyDescent="0.2">
      <c r="B337" s="2881" t="s">
        <v>5410</v>
      </c>
      <c r="C337" s="2881"/>
      <c r="E337" s="365">
        <f t="shared" ref="E337:AG337" si="61">SUM(E123,E149)-E302</f>
        <v>0</v>
      </c>
      <c r="F337" s="365">
        <f t="shared" si="61"/>
        <v>0</v>
      </c>
      <c r="G337" s="365">
        <f t="shared" si="61"/>
        <v>0</v>
      </c>
      <c r="H337" s="365">
        <f t="shared" si="61"/>
        <v>0</v>
      </c>
      <c r="I337" s="365">
        <f t="shared" si="61"/>
        <v>0</v>
      </c>
      <c r="J337" s="365">
        <f t="shared" si="61"/>
        <v>0</v>
      </c>
      <c r="K337" s="365">
        <f t="shared" si="61"/>
        <v>0</v>
      </c>
      <c r="L337" s="365">
        <f t="shared" si="61"/>
        <v>0</v>
      </c>
      <c r="M337" s="365">
        <f t="shared" si="61"/>
        <v>0</v>
      </c>
      <c r="N337" s="365">
        <f t="shared" si="61"/>
        <v>0</v>
      </c>
      <c r="O337" s="365">
        <f t="shared" si="61"/>
        <v>0</v>
      </c>
      <c r="P337" s="365">
        <f t="shared" si="61"/>
        <v>0</v>
      </c>
      <c r="Q337" s="365">
        <f t="shared" si="61"/>
        <v>0</v>
      </c>
      <c r="R337" s="365">
        <f t="shared" si="61"/>
        <v>0</v>
      </c>
      <c r="S337" s="365">
        <f t="shared" si="61"/>
        <v>0</v>
      </c>
      <c r="T337" s="365">
        <f t="shared" si="61"/>
        <v>0</v>
      </c>
      <c r="U337" s="365">
        <f t="shared" si="61"/>
        <v>0</v>
      </c>
      <c r="V337" s="365">
        <f t="shared" si="61"/>
        <v>0</v>
      </c>
      <c r="W337" s="365">
        <f t="shared" si="61"/>
        <v>0</v>
      </c>
      <c r="X337" s="365">
        <f t="shared" si="61"/>
        <v>0</v>
      </c>
      <c r="Y337" s="365">
        <f t="shared" si="61"/>
        <v>0</v>
      </c>
      <c r="Z337" s="365">
        <f t="shared" si="61"/>
        <v>0</v>
      </c>
      <c r="AA337" s="365">
        <f t="shared" si="61"/>
        <v>0</v>
      </c>
      <c r="AB337" s="365">
        <f t="shared" si="61"/>
        <v>0</v>
      </c>
      <c r="AC337" s="365">
        <f t="shared" si="61"/>
        <v>0</v>
      </c>
      <c r="AD337" s="365">
        <f t="shared" si="61"/>
        <v>0</v>
      </c>
      <c r="AE337" s="365">
        <f t="shared" si="61"/>
        <v>0</v>
      </c>
      <c r="AF337" s="365">
        <f t="shared" si="61"/>
        <v>0</v>
      </c>
      <c r="AG337" s="365">
        <f t="shared" si="61"/>
        <v>0</v>
      </c>
    </row>
    <row r="338" spans="1:33" x14ac:dyDescent="0.2">
      <c r="B338" s="2881" t="s">
        <v>5411</v>
      </c>
      <c r="C338" s="2881"/>
      <c r="E338" s="365">
        <f t="shared" ref="E338:AG338" si="62">E112</f>
        <v>0</v>
      </c>
      <c r="F338" s="365">
        <f t="shared" si="62"/>
        <v>0</v>
      </c>
      <c r="G338" s="365">
        <f t="shared" si="62"/>
        <v>0</v>
      </c>
      <c r="H338" s="365">
        <f t="shared" si="62"/>
        <v>0</v>
      </c>
      <c r="I338" s="365">
        <f t="shared" si="62"/>
        <v>0</v>
      </c>
      <c r="J338" s="365">
        <f t="shared" si="62"/>
        <v>0</v>
      </c>
      <c r="K338" s="365">
        <f t="shared" si="62"/>
        <v>0</v>
      </c>
      <c r="L338" s="365">
        <f t="shared" si="62"/>
        <v>0</v>
      </c>
      <c r="M338" s="365">
        <f t="shared" si="62"/>
        <v>0</v>
      </c>
      <c r="N338" s="365">
        <f t="shared" si="62"/>
        <v>0</v>
      </c>
      <c r="O338" s="365">
        <f t="shared" si="62"/>
        <v>0</v>
      </c>
      <c r="P338" s="365">
        <f t="shared" si="62"/>
        <v>0</v>
      </c>
      <c r="Q338" s="365">
        <f t="shared" si="62"/>
        <v>0</v>
      </c>
      <c r="R338" s="365">
        <f t="shared" si="62"/>
        <v>0</v>
      </c>
      <c r="S338" s="365">
        <f t="shared" si="62"/>
        <v>0</v>
      </c>
      <c r="T338" s="365">
        <f t="shared" si="62"/>
        <v>0</v>
      </c>
      <c r="U338" s="365">
        <f t="shared" si="62"/>
        <v>0</v>
      </c>
      <c r="V338" s="365">
        <f t="shared" si="62"/>
        <v>0</v>
      </c>
      <c r="W338" s="365">
        <f t="shared" si="62"/>
        <v>0</v>
      </c>
      <c r="X338" s="365">
        <f t="shared" si="62"/>
        <v>0</v>
      </c>
      <c r="Y338" s="365">
        <f t="shared" si="62"/>
        <v>0</v>
      </c>
      <c r="Z338" s="365">
        <f t="shared" si="62"/>
        <v>0</v>
      </c>
      <c r="AA338" s="365">
        <f t="shared" si="62"/>
        <v>0</v>
      </c>
      <c r="AB338" s="365">
        <f t="shared" si="62"/>
        <v>0</v>
      </c>
      <c r="AC338" s="365">
        <f t="shared" si="62"/>
        <v>0</v>
      </c>
      <c r="AD338" s="365">
        <f t="shared" si="62"/>
        <v>0</v>
      </c>
      <c r="AE338" s="365">
        <f t="shared" si="62"/>
        <v>0</v>
      </c>
      <c r="AF338" s="365">
        <f t="shared" si="62"/>
        <v>0</v>
      </c>
      <c r="AG338" s="365">
        <f t="shared" si="62"/>
        <v>0</v>
      </c>
    </row>
    <row r="339" spans="1:33" x14ac:dyDescent="0.2">
      <c r="B339" s="2881" t="s">
        <v>1047</v>
      </c>
      <c r="C339" s="2881"/>
      <c r="E339" s="365">
        <f t="shared" ref="E339:AG339" si="63">SUM(E129,E155)-E306</f>
        <v>0</v>
      </c>
      <c r="F339" s="365">
        <f t="shared" si="63"/>
        <v>0</v>
      </c>
      <c r="G339" s="365">
        <f t="shared" si="63"/>
        <v>0</v>
      </c>
      <c r="H339" s="365">
        <f t="shared" si="63"/>
        <v>0</v>
      </c>
      <c r="I339" s="365">
        <f t="shared" si="63"/>
        <v>0</v>
      </c>
      <c r="J339" s="365">
        <f t="shared" si="63"/>
        <v>0</v>
      </c>
      <c r="K339" s="365">
        <f t="shared" si="63"/>
        <v>0</v>
      </c>
      <c r="L339" s="365">
        <f t="shared" si="63"/>
        <v>0</v>
      </c>
      <c r="M339" s="365">
        <f t="shared" si="63"/>
        <v>0</v>
      </c>
      <c r="N339" s="365">
        <f t="shared" si="63"/>
        <v>0</v>
      </c>
      <c r="O339" s="233">
        <f t="shared" si="63"/>
        <v>0</v>
      </c>
      <c r="P339" s="365">
        <f t="shared" si="63"/>
        <v>0</v>
      </c>
      <c r="Q339" s="365">
        <f t="shared" si="63"/>
        <v>0</v>
      </c>
      <c r="R339" s="365">
        <f t="shared" si="63"/>
        <v>0</v>
      </c>
      <c r="S339" s="365">
        <f t="shared" si="63"/>
        <v>0</v>
      </c>
      <c r="T339" s="365">
        <f t="shared" si="63"/>
        <v>0</v>
      </c>
      <c r="U339" s="365">
        <f t="shared" si="63"/>
        <v>0</v>
      </c>
      <c r="V339" s="365">
        <f t="shared" si="63"/>
        <v>0</v>
      </c>
      <c r="W339" s="365">
        <f t="shared" si="63"/>
        <v>0</v>
      </c>
      <c r="X339" s="365">
        <f t="shared" si="63"/>
        <v>0</v>
      </c>
      <c r="Y339" s="365">
        <f t="shared" si="63"/>
        <v>0</v>
      </c>
      <c r="Z339" s="365">
        <f t="shared" si="63"/>
        <v>0</v>
      </c>
      <c r="AA339" s="365">
        <f t="shared" si="63"/>
        <v>0</v>
      </c>
      <c r="AB339" s="365">
        <f t="shared" si="63"/>
        <v>0</v>
      </c>
      <c r="AC339" s="365">
        <f t="shared" si="63"/>
        <v>0</v>
      </c>
      <c r="AD339" s="365">
        <f t="shared" si="63"/>
        <v>0</v>
      </c>
      <c r="AE339" s="365">
        <f t="shared" si="63"/>
        <v>0</v>
      </c>
      <c r="AF339" s="365">
        <f t="shared" si="63"/>
        <v>0</v>
      </c>
      <c r="AG339" s="365">
        <f t="shared" si="63"/>
        <v>0</v>
      </c>
    </row>
    <row r="340" spans="1:33" x14ac:dyDescent="0.2">
      <c r="B340" s="2881" t="s">
        <v>1027</v>
      </c>
      <c r="C340" s="2881"/>
      <c r="E340" s="365">
        <f t="shared" ref="E340:AG340" si="64">SUM(E130,E156)-E308</f>
        <v>0</v>
      </c>
      <c r="F340" s="365">
        <f t="shared" si="64"/>
        <v>0</v>
      </c>
      <c r="G340" s="365">
        <f t="shared" si="64"/>
        <v>0</v>
      </c>
      <c r="H340" s="365">
        <f t="shared" si="64"/>
        <v>0</v>
      </c>
      <c r="I340" s="365">
        <f t="shared" si="64"/>
        <v>0</v>
      </c>
      <c r="J340" s="365">
        <f t="shared" si="64"/>
        <v>0</v>
      </c>
      <c r="K340" s="365">
        <f t="shared" si="64"/>
        <v>0</v>
      </c>
      <c r="L340" s="365">
        <f t="shared" si="64"/>
        <v>0</v>
      </c>
      <c r="M340" s="365">
        <f t="shared" si="64"/>
        <v>0</v>
      </c>
      <c r="N340" s="365">
        <f t="shared" si="64"/>
        <v>0</v>
      </c>
      <c r="O340" s="233">
        <f t="shared" si="64"/>
        <v>0</v>
      </c>
      <c r="P340" s="365">
        <f t="shared" si="64"/>
        <v>0</v>
      </c>
      <c r="Q340" s="365">
        <f t="shared" si="64"/>
        <v>0</v>
      </c>
      <c r="R340" s="365">
        <f t="shared" si="64"/>
        <v>0</v>
      </c>
      <c r="S340" s="365">
        <f t="shared" si="64"/>
        <v>0</v>
      </c>
      <c r="T340" s="365">
        <f t="shared" si="64"/>
        <v>0</v>
      </c>
      <c r="U340" s="365">
        <f t="shared" si="64"/>
        <v>0</v>
      </c>
      <c r="V340" s="365">
        <f t="shared" si="64"/>
        <v>0</v>
      </c>
      <c r="W340" s="365">
        <f t="shared" si="64"/>
        <v>0</v>
      </c>
      <c r="X340" s="365">
        <f t="shared" si="64"/>
        <v>0</v>
      </c>
      <c r="Y340" s="365">
        <f t="shared" si="64"/>
        <v>0</v>
      </c>
      <c r="Z340" s="365">
        <f t="shared" si="64"/>
        <v>0</v>
      </c>
      <c r="AA340" s="365">
        <f t="shared" si="64"/>
        <v>0</v>
      </c>
      <c r="AB340" s="365">
        <f t="shared" si="64"/>
        <v>0</v>
      </c>
      <c r="AC340" s="365">
        <f t="shared" si="64"/>
        <v>0</v>
      </c>
      <c r="AD340" s="365">
        <f t="shared" si="64"/>
        <v>0</v>
      </c>
      <c r="AE340" s="365">
        <f t="shared" si="64"/>
        <v>0</v>
      </c>
      <c r="AF340" s="365">
        <f t="shared" si="64"/>
        <v>0</v>
      </c>
      <c r="AG340" s="365">
        <f t="shared" si="64"/>
        <v>0</v>
      </c>
    </row>
    <row r="341" spans="1:33" x14ac:dyDescent="0.2">
      <c r="B341" s="2881" t="s">
        <v>5412</v>
      </c>
      <c r="C341" s="2881"/>
      <c r="E341" s="365">
        <f t="shared" ref="E341:AG341" si="65">SUM(E131,E157)-E309</f>
        <v>0</v>
      </c>
      <c r="F341" s="365">
        <f t="shared" si="65"/>
        <v>0</v>
      </c>
      <c r="G341" s="365">
        <f t="shared" si="65"/>
        <v>0</v>
      </c>
      <c r="H341" s="365">
        <f t="shared" si="65"/>
        <v>0</v>
      </c>
      <c r="I341" s="365">
        <f t="shared" si="65"/>
        <v>0</v>
      </c>
      <c r="J341" s="365">
        <f t="shared" si="65"/>
        <v>0</v>
      </c>
      <c r="K341" s="365">
        <f t="shared" si="65"/>
        <v>0</v>
      </c>
      <c r="L341" s="365">
        <f t="shared" si="65"/>
        <v>0</v>
      </c>
      <c r="M341" s="365">
        <f t="shared" si="65"/>
        <v>0</v>
      </c>
      <c r="N341" s="365">
        <f t="shared" si="65"/>
        <v>0</v>
      </c>
      <c r="O341" s="365">
        <f t="shared" si="65"/>
        <v>0</v>
      </c>
      <c r="P341" s="365">
        <f t="shared" si="65"/>
        <v>0</v>
      </c>
      <c r="Q341" s="365">
        <f t="shared" si="65"/>
        <v>0</v>
      </c>
      <c r="R341" s="365">
        <f t="shared" si="65"/>
        <v>0</v>
      </c>
      <c r="S341" s="365">
        <f t="shared" si="65"/>
        <v>0</v>
      </c>
      <c r="T341" s="365">
        <f t="shared" si="65"/>
        <v>0</v>
      </c>
      <c r="U341" s="365">
        <f t="shared" si="65"/>
        <v>0</v>
      </c>
      <c r="V341" s="365">
        <f t="shared" si="65"/>
        <v>0</v>
      </c>
      <c r="W341" s="365">
        <f t="shared" si="65"/>
        <v>0</v>
      </c>
      <c r="X341" s="365">
        <f t="shared" si="65"/>
        <v>0</v>
      </c>
      <c r="Y341" s="365">
        <f t="shared" si="65"/>
        <v>0</v>
      </c>
      <c r="Z341" s="365">
        <f t="shared" si="65"/>
        <v>0</v>
      </c>
      <c r="AA341" s="365">
        <f t="shared" si="65"/>
        <v>0</v>
      </c>
      <c r="AB341" s="365">
        <f t="shared" si="65"/>
        <v>0</v>
      </c>
      <c r="AC341" s="365">
        <f t="shared" si="65"/>
        <v>0</v>
      </c>
      <c r="AD341" s="365">
        <f t="shared" si="65"/>
        <v>0</v>
      </c>
      <c r="AE341" s="365">
        <f t="shared" si="65"/>
        <v>0</v>
      </c>
      <c r="AF341" s="365">
        <f t="shared" si="65"/>
        <v>0</v>
      </c>
      <c r="AG341" s="365">
        <f t="shared" si="65"/>
        <v>0</v>
      </c>
    </row>
    <row r="342" spans="1:33" x14ac:dyDescent="0.2">
      <c r="B342" s="2881" t="s">
        <v>5413</v>
      </c>
      <c r="C342" s="2881"/>
      <c r="E342" s="365">
        <f t="shared" ref="E342:AG342" si="66">SUM(E132,E158)-E310</f>
        <v>0</v>
      </c>
      <c r="F342" s="365">
        <f t="shared" si="66"/>
        <v>0</v>
      </c>
      <c r="G342" s="365">
        <f t="shared" si="66"/>
        <v>0</v>
      </c>
      <c r="H342" s="365">
        <f t="shared" si="66"/>
        <v>0</v>
      </c>
      <c r="I342" s="365">
        <f t="shared" si="66"/>
        <v>0</v>
      </c>
      <c r="J342" s="365">
        <f t="shared" si="66"/>
        <v>0</v>
      </c>
      <c r="K342" s="365">
        <f t="shared" si="66"/>
        <v>0</v>
      </c>
      <c r="L342" s="365">
        <f t="shared" si="66"/>
        <v>0</v>
      </c>
      <c r="M342" s="365">
        <f t="shared" si="66"/>
        <v>0</v>
      </c>
      <c r="N342" s="365">
        <f t="shared" si="66"/>
        <v>0</v>
      </c>
      <c r="O342" s="233">
        <f t="shared" si="66"/>
        <v>0</v>
      </c>
      <c r="P342" s="365">
        <f t="shared" si="66"/>
        <v>0</v>
      </c>
      <c r="Q342" s="365">
        <f t="shared" si="66"/>
        <v>0</v>
      </c>
      <c r="R342" s="365">
        <f t="shared" si="66"/>
        <v>0</v>
      </c>
      <c r="S342" s="365">
        <f t="shared" si="66"/>
        <v>0</v>
      </c>
      <c r="T342" s="365">
        <f t="shared" si="66"/>
        <v>0</v>
      </c>
      <c r="U342" s="365">
        <f t="shared" si="66"/>
        <v>0</v>
      </c>
      <c r="V342" s="365">
        <f t="shared" si="66"/>
        <v>0</v>
      </c>
      <c r="W342" s="365">
        <f t="shared" si="66"/>
        <v>0</v>
      </c>
      <c r="X342" s="365">
        <f t="shared" si="66"/>
        <v>0</v>
      </c>
      <c r="Y342" s="365">
        <f t="shared" si="66"/>
        <v>0</v>
      </c>
      <c r="Z342" s="365">
        <f t="shared" si="66"/>
        <v>0</v>
      </c>
      <c r="AA342" s="365">
        <f t="shared" si="66"/>
        <v>0</v>
      </c>
      <c r="AB342" s="365">
        <f t="shared" si="66"/>
        <v>0</v>
      </c>
      <c r="AC342" s="365">
        <f t="shared" si="66"/>
        <v>0</v>
      </c>
      <c r="AD342" s="365">
        <f t="shared" si="66"/>
        <v>0</v>
      </c>
      <c r="AE342" s="365">
        <f t="shared" si="66"/>
        <v>0</v>
      </c>
      <c r="AF342" s="365">
        <f t="shared" si="66"/>
        <v>0</v>
      </c>
      <c r="AG342" s="365">
        <f t="shared" si="66"/>
        <v>0</v>
      </c>
    </row>
    <row r="343" spans="1:33" x14ac:dyDescent="0.2">
      <c r="B343" s="2881" t="s">
        <v>5414</v>
      </c>
      <c r="C343" s="2881"/>
      <c r="E343" s="365">
        <f t="shared" ref="E343:AG343" si="67">SUM(E133,E159)-E311</f>
        <v>0</v>
      </c>
      <c r="F343" s="365">
        <f t="shared" si="67"/>
        <v>0</v>
      </c>
      <c r="G343" s="365">
        <f t="shared" si="67"/>
        <v>0</v>
      </c>
      <c r="H343" s="365">
        <f t="shared" si="67"/>
        <v>0</v>
      </c>
      <c r="I343" s="365">
        <f t="shared" si="67"/>
        <v>0</v>
      </c>
      <c r="J343" s="365">
        <f t="shared" si="67"/>
        <v>0</v>
      </c>
      <c r="K343" s="365">
        <f t="shared" si="67"/>
        <v>0</v>
      </c>
      <c r="L343" s="365">
        <f t="shared" si="67"/>
        <v>0</v>
      </c>
      <c r="M343" s="365">
        <f t="shared" si="67"/>
        <v>0</v>
      </c>
      <c r="N343" s="365">
        <f t="shared" si="67"/>
        <v>0</v>
      </c>
      <c r="O343" s="365">
        <f t="shared" si="67"/>
        <v>0</v>
      </c>
      <c r="P343" s="365">
        <f t="shared" si="67"/>
        <v>0</v>
      </c>
      <c r="Q343" s="365">
        <f t="shared" si="67"/>
        <v>0</v>
      </c>
      <c r="R343" s="365">
        <f t="shared" si="67"/>
        <v>0</v>
      </c>
      <c r="S343" s="365">
        <f t="shared" si="67"/>
        <v>0</v>
      </c>
      <c r="T343" s="365">
        <f t="shared" si="67"/>
        <v>0</v>
      </c>
      <c r="U343" s="365">
        <f t="shared" si="67"/>
        <v>0</v>
      </c>
      <c r="V343" s="365">
        <f t="shared" si="67"/>
        <v>0</v>
      </c>
      <c r="W343" s="365">
        <f t="shared" si="67"/>
        <v>0</v>
      </c>
      <c r="X343" s="365">
        <f t="shared" si="67"/>
        <v>0</v>
      </c>
      <c r="Y343" s="365">
        <f t="shared" si="67"/>
        <v>0</v>
      </c>
      <c r="Z343" s="365">
        <f t="shared" si="67"/>
        <v>0</v>
      </c>
      <c r="AA343" s="365">
        <f t="shared" si="67"/>
        <v>0</v>
      </c>
      <c r="AB343" s="365">
        <f t="shared" si="67"/>
        <v>0</v>
      </c>
      <c r="AC343" s="365">
        <f t="shared" si="67"/>
        <v>0</v>
      </c>
      <c r="AD343" s="365">
        <f t="shared" si="67"/>
        <v>0</v>
      </c>
      <c r="AE343" s="365">
        <f t="shared" si="67"/>
        <v>0</v>
      </c>
      <c r="AF343" s="365">
        <f t="shared" si="67"/>
        <v>0</v>
      </c>
      <c r="AG343" s="365">
        <f t="shared" si="67"/>
        <v>0</v>
      </c>
    </row>
    <row r="344" spans="1:33" x14ac:dyDescent="0.2">
      <c r="B344" s="2881" t="s">
        <v>5415</v>
      </c>
      <c r="C344" s="2881"/>
      <c r="E344" s="365">
        <f t="shared" ref="E344:AG344" si="68">SUM(E134,E160)-E312</f>
        <v>0</v>
      </c>
      <c r="F344" s="365">
        <f t="shared" si="68"/>
        <v>0</v>
      </c>
      <c r="G344" s="365">
        <f t="shared" si="68"/>
        <v>0</v>
      </c>
      <c r="H344" s="365">
        <f t="shared" si="68"/>
        <v>0</v>
      </c>
      <c r="I344" s="365">
        <f t="shared" si="68"/>
        <v>0</v>
      </c>
      <c r="J344" s="365">
        <f t="shared" si="68"/>
        <v>0</v>
      </c>
      <c r="K344" s="365">
        <f t="shared" si="68"/>
        <v>0</v>
      </c>
      <c r="L344" s="365">
        <f t="shared" si="68"/>
        <v>0</v>
      </c>
      <c r="M344" s="365">
        <f t="shared" si="68"/>
        <v>0</v>
      </c>
      <c r="N344" s="365">
        <f t="shared" si="68"/>
        <v>0</v>
      </c>
      <c r="O344" s="365">
        <f t="shared" si="68"/>
        <v>0</v>
      </c>
      <c r="P344" s="365">
        <f t="shared" si="68"/>
        <v>0</v>
      </c>
      <c r="Q344" s="365">
        <f t="shared" si="68"/>
        <v>0</v>
      </c>
      <c r="R344" s="365">
        <f t="shared" si="68"/>
        <v>0</v>
      </c>
      <c r="S344" s="365">
        <f t="shared" si="68"/>
        <v>0</v>
      </c>
      <c r="T344" s="365">
        <f t="shared" si="68"/>
        <v>0</v>
      </c>
      <c r="U344" s="365">
        <f t="shared" si="68"/>
        <v>0</v>
      </c>
      <c r="V344" s="365">
        <f t="shared" si="68"/>
        <v>0</v>
      </c>
      <c r="W344" s="365">
        <f t="shared" si="68"/>
        <v>0</v>
      </c>
      <c r="X344" s="365">
        <f t="shared" si="68"/>
        <v>0</v>
      </c>
      <c r="Y344" s="365">
        <f t="shared" si="68"/>
        <v>0</v>
      </c>
      <c r="Z344" s="365">
        <f t="shared" si="68"/>
        <v>0</v>
      </c>
      <c r="AA344" s="365">
        <f t="shared" si="68"/>
        <v>0</v>
      </c>
      <c r="AB344" s="365">
        <f t="shared" si="68"/>
        <v>0</v>
      </c>
      <c r="AC344" s="365">
        <f t="shared" si="68"/>
        <v>0</v>
      </c>
      <c r="AD344" s="365">
        <f t="shared" si="68"/>
        <v>0</v>
      </c>
      <c r="AE344" s="365">
        <f t="shared" si="68"/>
        <v>0</v>
      </c>
      <c r="AF344" s="365">
        <f t="shared" si="68"/>
        <v>0</v>
      </c>
      <c r="AG344" s="365">
        <f t="shared" si="68"/>
        <v>0</v>
      </c>
    </row>
    <row r="345" spans="1:33" x14ac:dyDescent="0.2">
      <c r="B345" s="2881" t="s">
        <v>1052</v>
      </c>
      <c r="C345" s="2881"/>
      <c r="E345" s="365">
        <f t="shared" ref="E345:AG345" si="69">SUM(E135,E161)-E313</f>
        <v>0</v>
      </c>
      <c r="F345" s="365">
        <f t="shared" si="69"/>
        <v>0</v>
      </c>
      <c r="G345" s="365">
        <f t="shared" si="69"/>
        <v>0</v>
      </c>
      <c r="H345" s="365">
        <f t="shared" si="69"/>
        <v>0</v>
      </c>
      <c r="I345" s="365">
        <f t="shared" si="69"/>
        <v>0</v>
      </c>
      <c r="J345" s="365">
        <f t="shared" si="69"/>
        <v>0</v>
      </c>
      <c r="K345" s="365">
        <f t="shared" si="69"/>
        <v>0</v>
      </c>
      <c r="L345" s="365">
        <f t="shared" si="69"/>
        <v>0</v>
      </c>
      <c r="M345" s="365">
        <f t="shared" si="69"/>
        <v>0</v>
      </c>
      <c r="N345" s="365">
        <f t="shared" si="69"/>
        <v>0</v>
      </c>
      <c r="O345" s="233">
        <f t="shared" si="69"/>
        <v>0</v>
      </c>
      <c r="P345" s="365">
        <f t="shared" si="69"/>
        <v>0</v>
      </c>
      <c r="Q345" s="365">
        <f t="shared" si="69"/>
        <v>0</v>
      </c>
      <c r="R345" s="365">
        <f t="shared" si="69"/>
        <v>0</v>
      </c>
      <c r="S345" s="365">
        <f t="shared" si="69"/>
        <v>0</v>
      </c>
      <c r="T345" s="365">
        <f t="shared" si="69"/>
        <v>0</v>
      </c>
      <c r="U345" s="365">
        <f t="shared" si="69"/>
        <v>0</v>
      </c>
      <c r="V345" s="365">
        <f t="shared" si="69"/>
        <v>0</v>
      </c>
      <c r="W345" s="365">
        <f t="shared" si="69"/>
        <v>0</v>
      </c>
      <c r="X345" s="365">
        <f t="shared" si="69"/>
        <v>0</v>
      </c>
      <c r="Y345" s="365">
        <f t="shared" si="69"/>
        <v>0</v>
      </c>
      <c r="Z345" s="365">
        <f t="shared" si="69"/>
        <v>0</v>
      </c>
      <c r="AA345" s="365">
        <f t="shared" si="69"/>
        <v>0</v>
      </c>
      <c r="AB345" s="365">
        <f t="shared" si="69"/>
        <v>0</v>
      </c>
      <c r="AC345" s="365">
        <f t="shared" si="69"/>
        <v>0</v>
      </c>
      <c r="AD345" s="365">
        <f t="shared" si="69"/>
        <v>0</v>
      </c>
      <c r="AE345" s="365">
        <f t="shared" si="69"/>
        <v>0</v>
      </c>
      <c r="AF345" s="365">
        <f t="shared" si="69"/>
        <v>0</v>
      </c>
      <c r="AG345" s="365">
        <f t="shared" si="69"/>
        <v>0</v>
      </c>
    </row>
    <row r="346" spans="1:33" x14ac:dyDescent="0.2">
      <c r="B346" s="2881" t="s">
        <v>4879</v>
      </c>
      <c r="C346" s="2881"/>
      <c r="E346" s="365">
        <f t="shared" ref="E346:AG346" si="70">SUM(E136,E162)-E314</f>
        <v>0</v>
      </c>
      <c r="F346" s="365">
        <f t="shared" si="70"/>
        <v>0</v>
      </c>
      <c r="G346" s="365">
        <f t="shared" si="70"/>
        <v>0</v>
      </c>
      <c r="H346" s="365">
        <f t="shared" si="70"/>
        <v>0</v>
      </c>
      <c r="I346" s="365">
        <f t="shared" si="70"/>
        <v>0</v>
      </c>
      <c r="J346" s="365">
        <f t="shared" si="70"/>
        <v>0</v>
      </c>
      <c r="K346" s="365">
        <f t="shared" si="70"/>
        <v>0</v>
      </c>
      <c r="L346" s="365">
        <f t="shared" si="70"/>
        <v>0</v>
      </c>
      <c r="M346" s="365">
        <f t="shared" si="70"/>
        <v>0</v>
      </c>
      <c r="N346" s="365">
        <f t="shared" si="70"/>
        <v>0</v>
      </c>
      <c r="O346" s="233">
        <f t="shared" si="70"/>
        <v>0</v>
      </c>
      <c r="P346" s="365">
        <f t="shared" si="70"/>
        <v>0</v>
      </c>
      <c r="Q346" s="365">
        <f t="shared" si="70"/>
        <v>0</v>
      </c>
      <c r="R346" s="365">
        <f t="shared" si="70"/>
        <v>0</v>
      </c>
      <c r="S346" s="365">
        <f t="shared" si="70"/>
        <v>0</v>
      </c>
      <c r="T346" s="365">
        <f t="shared" si="70"/>
        <v>0</v>
      </c>
      <c r="U346" s="365">
        <f t="shared" si="70"/>
        <v>0</v>
      </c>
      <c r="V346" s="365">
        <f t="shared" si="70"/>
        <v>0</v>
      </c>
      <c r="W346" s="365">
        <f t="shared" si="70"/>
        <v>0</v>
      </c>
      <c r="X346" s="365">
        <f t="shared" si="70"/>
        <v>0</v>
      </c>
      <c r="Y346" s="365">
        <f t="shared" si="70"/>
        <v>0</v>
      </c>
      <c r="Z346" s="365">
        <f t="shared" si="70"/>
        <v>0</v>
      </c>
      <c r="AA346" s="365">
        <f t="shared" si="70"/>
        <v>0</v>
      </c>
      <c r="AB346" s="365">
        <f t="shared" si="70"/>
        <v>0</v>
      </c>
      <c r="AC346" s="365">
        <f t="shared" si="70"/>
        <v>0</v>
      </c>
      <c r="AD346" s="365">
        <f t="shared" si="70"/>
        <v>0</v>
      </c>
      <c r="AE346" s="365">
        <f t="shared" si="70"/>
        <v>0</v>
      </c>
      <c r="AF346" s="365">
        <f t="shared" si="70"/>
        <v>0</v>
      </c>
      <c r="AG346" s="365">
        <f t="shared" si="70"/>
        <v>0</v>
      </c>
    </row>
    <row r="347" spans="1:33" x14ac:dyDescent="0.2">
      <c r="E347" s="365"/>
    </row>
    <row r="348" spans="1:33" ht="13.5" thickBot="1" x14ac:dyDescent="0.25">
      <c r="E348" s="365"/>
    </row>
    <row r="349" spans="1:33" ht="46.5" customHeight="1" x14ac:dyDescent="0.2">
      <c r="A349" s="3016" t="s">
        <v>5416</v>
      </c>
      <c r="B349" s="3017"/>
      <c r="C349" s="3018"/>
      <c r="E349" s="365"/>
    </row>
    <row r="350" spans="1:33" ht="25.35" customHeight="1" thickBot="1" x14ac:dyDescent="0.25">
      <c r="A350" s="3019"/>
      <c r="B350" s="3020"/>
      <c r="C350" s="3021"/>
    </row>
  </sheetData>
  <sheetProtection algorithmName="SHA-512" hashValue="DP9sxV/lkcQh5AcIs2idsKF6J4CGRH6wzuPKgQ8lrtoMXtaUVlhSD0LqipMiO2Jg+SRDwzhDGoOUUpnw3jW2aA==" saltValue="I17oJU5yHgcfklroV0bZ6w==" spinCount="100000" sheet="1" autoFilter="0"/>
  <customSheetViews>
    <customSheetView guid="{9FCFC836-1CA5-48BF-958D-24D2EA94B219}" topLeftCell="A223">
      <pageMargins left="0" right="0" top="0" bottom="0" header="0" footer="0"/>
    </customSheetView>
    <customSheetView guid="{B08879A4-635B-4C39-9937-AC7883D562FC}" topLeftCell="A223">
      <pageMargins left="0" right="0" top="0" bottom="0" header="0" footer="0"/>
    </customSheetView>
  </customSheetViews>
  <mergeCells count="251">
    <mergeCell ref="B23:C23"/>
    <mergeCell ref="A349:C350"/>
    <mergeCell ref="B13:C13"/>
    <mergeCell ref="B14:C14"/>
    <mergeCell ref="B15:C15"/>
    <mergeCell ref="B16:C16"/>
    <mergeCell ref="B17:C17"/>
    <mergeCell ref="B19:C19"/>
    <mergeCell ref="B283:C283"/>
    <mergeCell ref="B279:C279"/>
    <mergeCell ref="B269:C269"/>
    <mergeCell ref="B270:C270"/>
    <mergeCell ref="B271:C271"/>
    <mergeCell ref="B272:C272"/>
    <mergeCell ref="B281:C281"/>
    <mergeCell ref="B282:C282"/>
    <mergeCell ref="B93:C93"/>
    <mergeCell ref="B96:C96"/>
    <mergeCell ref="B133:C133"/>
    <mergeCell ref="B159:C159"/>
    <mergeCell ref="B172:C172"/>
    <mergeCell ref="B174:C174"/>
    <mergeCell ref="B105:C105"/>
    <mergeCell ref="B106:C106"/>
    <mergeCell ref="B20:C20"/>
    <mergeCell ref="B21:C21"/>
    <mergeCell ref="B22:C22"/>
    <mergeCell ref="B107:C107"/>
    <mergeCell ref="B42:C42"/>
    <mergeCell ref="B44:C44"/>
    <mergeCell ref="B45:C45"/>
    <mergeCell ref="B46:C46"/>
    <mergeCell ref="B47:C47"/>
    <mergeCell ref="B48:C48"/>
    <mergeCell ref="B32:C32"/>
    <mergeCell ref="B33:C33"/>
    <mergeCell ref="B34:C34"/>
    <mergeCell ref="B35:C35"/>
    <mergeCell ref="B38:C38"/>
    <mergeCell ref="B41:C41"/>
    <mergeCell ref="B36:C36"/>
    <mergeCell ref="B37:C37"/>
    <mergeCell ref="B57:C57"/>
    <mergeCell ref="B58:C58"/>
    <mergeCell ref="B59:C59"/>
    <mergeCell ref="B63:C63"/>
    <mergeCell ref="B64:C64"/>
    <mergeCell ref="B65:C65"/>
    <mergeCell ref="B83:C83"/>
    <mergeCell ref="B84:C84"/>
    <mergeCell ref="B103:C103"/>
    <mergeCell ref="B104:C104"/>
    <mergeCell ref="B91:C91"/>
    <mergeCell ref="B24:C24"/>
    <mergeCell ref="B25:C25"/>
    <mergeCell ref="B26:C26"/>
    <mergeCell ref="B27:C27"/>
    <mergeCell ref="B28:C28"/>
    <mergeCell ref="B29:C29"/>
    <mergeCell ref="B51:C51"/>
    <mergeCell ref="B52:C52"/>
    <mergeCell ref="B53:C53"/>
    <mergeCell ref="B30:C30"/>
    <mergeCell ref="B49:C49"/>
    <mergeCell ref="B75:C75"/>
    <mergeCell ref="B76:C76"/>
    <mergeCell ref="B77:C77"/>
    <mergeCell ref="B78:C78"/>
    <mergeCell ref="B50:C50"/>
    <mergeCell ref="B31:C31"/>
    <mergeCell ref="B115:C115"/>
    <mergeCell ref="B116:C116"/>
    <mergeCell ref="B117:C117"/>
    <mergeCell ref="B111:C111"/>
    <mergeCell ref="B112:C112"/>
    <mergeCell ref="B54:C54"/>
    <mergeCell ref="B55:C55"/>
    <mergeCell ref="B56:C56"/>
    <mergeCell ref="B60:C60"/>
    <mergeCell ref="B61:C61"/>
    <mergeCell ref="B109:C109"/>
    <mergeCell ref="B66:C66"/>
    <mergeCell ref="B68:C68"/>
    <mergeCell ref="B69:C69"/>
    <mergeCell ref="B71:C71"/>
    <mergeCell ref="B67:C67"/>
    <mergeCell ref="B72:C72"/>
    <mergeCell ref="B85:C85"/>
    <mergeCell ref="B86:C86"/>
    <mergeCell ref="B88:C88"/>
    <mergeCell ref="B73:C73"/>
    <mergeCell ref="B74:C74"/>
    <mergeCell ref="B79:C79"/>
    <mergeCell ref="B80:C80"/>
    <mergeCell ref="B134:C134"/>
    <mergeCell ref="B131:C131"/>
    <mergeCell ref="B124:C124"/>
    <mergeCell ref="B126:C126"/>
    <mergeCell ref="B127:C127"/>
    <mergeCell ref="B129:C129"/>
    <mergeCell ref="B130:C130"/>
    <mergeCell ref="B132:C132"/>
    <mergeCell ref="B90:C90"/>
    <mergeCell ref="B92:C92"/>
    <mergeCell ref="B97:C97"/>
    <mergeCell ref="B98:C98"/>
    <mergeCell ref="B94:C94"/>
    <mergeCell ref="B95:C95"/>
    <mergeCell ref="B128:C128"/>
    <mergeCell ref="B118:C118"/>
    <mergeCell ref="B119:C119"/>
    <mergeCell ref="B120:C120"/>
    <mergeCell ref="B121:C121"/>
    <mergeCell ref="B122:C122"/>
    <mergeCell ref="B123:C123"/>
    <mergeCell ref="B110:C110"/>
    <mergeCell ref="B113:C113"/>
    <mergeCell ref="B114:C114"/>
    <mergeCell ref="B143:C143"/>
    <mergeCell ref="B144:C144"/>
    <mergeCell ref="B145:C145"/>
    <mergeCell ref="B146:C146"/>
    <mergeCell ref="B147:C147"/>
    <mergeCell ref="B148:C148"/>
    <mergeCell ref="B154:C154"/>
    <mergeCell ref="B135:C135"/>
    <mergeCell ref="B136:C136"/>
    <mergeCell ref="B150:C150"/>
    <mergeCell ref="B152:C152"/>
    <mergeCell ref="B153:C153"/>
    <mergeCell ref="B142:C142"/>
    <mergeCell ref="B137:C137"/>
    <mergeCell ref="B141:C141"/>
    <mergeCell ref="B155:C155"/>
    <mergeCell ref="B156:C156"/>
    <mergeCell ref="B160:C160"/>
    <mergeCell ref="B168:C168"/>
    <mergeCell ref="B149:C149"/>
    <mergeCell ref="B157:C157"/>
    <mergeCell ref="B169:C169"/>
    <mergeCell ref="B178:C178"/>
    <mergeCell ref="B170:C170"/>
    <mergeCell ref="B171:C171"/>
    <mergeCell ref="B177:C177"/>
    <mergeCell ref="B173:C173"/>
    <mergeCell ref="B175:C175"/>
    <mergeCell ref="B158:C158"/>
    <mergeCell ref="B161:C161"/>
    <mergeCell ref="B162:C162"/>
    <mergeCell ref="B163:C163"/>
    <mergeCell ref="B165:C165"/>
    <mergeCell ref="B176:C176"/>
    <mergeCell ref="B151:C151"/>
    <mergeCell ref="B204:C204"/>
    <mergeCell ref="B187:C187"/>
    <mergeCell ref="B188:C188"/>
    <mergeCell ref="B189:C189"/>
    <mergeCell ref="B191:C191"/>
    <mergeCell ref="B192:C192"/>
    <mergeCell ref="B198:C198"/>
    <mergeCell ref="B181:C181"/>
    <mergeCell ref="B183:C183"/>
    <mergeCell ref="B184:C184"/>
    <mergeCell ref="B185:C185"/>
    <mergeCell ref="B190:C190"/>
    <mergeCell ref="B225:C225"/>
    <mergeCell ref="B228:C228"/>
    <mergeCell ref="B229:C229"/>
    <mergeCell ref="B230:C230"/>
    <mergeCell ref="B232:C232"/>
    <mergeCell ref="B239:C239"/>
    <mergeCell ref="B231:C231"/>
    <mergeCell ref="B233:C233"/>
    <mergeCell ref="B235:C235"/>
    <mergeCell ref="B1:H1"/>
    <mergeCell ref="B2:H2"/>
    <mergeCell ref="B3:H3"/>
    <mergeCell ref="B4:H4"/>
    <mergeCell ref="G6:H6"/>
    <mergeCell ref="C6:E6"/>
    <mergeCell ref="F5:H5"/>
    <mergeCell ref="B234:C234"/>
    <mergeCell ref="B236:C236"/>
    <mergeCell ref="B218:C218"/>
    <mergeCell ref="B219:C219"/>
    <mergeCell ref="B221:C221"/>
    <mergeCell ref="B222:C222"/>
    <mergeCell ref="B205:C205"/>
    <mergeCell ref="B206:C206"/>
    <mergeCell ref="B207:C207"/>
    <mergeCell ref="B208:C208"/>
    <mergeCell ref="B209:C209"/>
    <mergeCell ref="B212:C212"/>
    <mergeCell ref="B199:C199"/>
    <mergeCell ref="B200:C200"/>
    <mergeCell ref="B201:C201"/>
    <mergeCell ref="B202:C202"/>
    <mergeCell ref="B203:C203"/>
    <mergeCell ref="B340:C340"/>
    <mergeCell ref="B342:C342"/>
    <mergeCell ref="B345:C345"/>
    <mergeCell ref="B346:C346"/>
    <mergeCell ref="B333:C333"/>
    <mergeCell ref="B334:C334"/>
    <mergeCell ref="B335:C335"/>
    <mergeCell ref="B336:C336"/>
    <mergeCell ref="B339:C339"/>
    <mergeCell ref="B337:C337"/>
    <mergeCell ref="B338:C338"/>
    <mergeCell ref="B343:C343"/>
    <mergeCell ref="B344:C344"/>
    <mergeCell ref="B341:C341"/>
    <mergeCell ref="B280:C280"/>
    <mergeCell ref="B256:C256"/>
    <mergeCell ref="B257:C257"/>
    <mergeCell ref="B258:C258"/>
    <mergeCell ref="B259:C259"/>
    <mergeCell ref="B250:C250"/>
    <mergeCell ref="B251:C251"/>
    <mergeCell ref="B252:C252"/>
    <mergeCell ref="B253:C253"/>
    <mergeCell ref="B254:C254"/>
    <mergeCell ref="B255:C255"/>
    <mergeCell ref="B273:C273"/>
    <mergeCell ref="B274:C274"/>
    <mergeCell ref="B275:C275"/>
    <mergeCell ref="B276:C276"/>
    <mergeCell ref="B125:C125"/>
    <mergeCell ref="B81:C81"/>
    <mergeCell ref="B82:C82"/>
    <mergeCell ref="B277:C277"/>
    <mergeCell ref="B278:C278"/>
    <mergeCell ref="B246:C246"/>
    <mergeCell ref="B247:C247"/>
    <mergeCell ref="B248:C248"/>
    <mergeCell ref="B249:C249"/>
    <mergeCell ref="B241:C241"/>
    <mergeCell ref="B242:C242"/>
    <mergeCell ref="B243:C243"/>
    <mergeCell ref="B245:C245"/>
    <mergeCell ref="B244:C244"/>
    <mergeCell ref="B223:C223"/>
    <mergeCell ref="B213:C213"/>
    <mergeCell ref="B214:C214"/>
    <mergeCell ref="B215:C215"/>
    <mergeCell ref="B216:C216"/>
    <mergeCell ref="B217:C217"/>
    <mergeCell ref="B237:C237"/>
    <mergeCell ref="B238:C238"/>
    <mergeCell ref="B240:C240"/>
    <mergeCell ref="B224:C224"/>
  </mergeCells>
  <hyperlinks>
    <hyperlink ref="B1:H1" location="Index!A1" display="Index!A1" xr:uid="{00000000-0004-0000-5A00-000000000000}"/>
  </hyperlinks>
  <printOptions gridLines="1"/>
  <pageMargins left="0.25" right="0.25" top="0.25" bottom="0.25" header="0.3" footer="0.3"/>
  <pageSetup fitToHeight="0" orientation="landscape" r:id="rId1"/>
  <rowBreaks count="5" manualBreakCount="5">
    <brk id="69" max="16383" man="1"/>
    <brk id="138" max="16383" man="1"/>
    <brk id="210" max="16383" man="1"/>
    <brk id="262" max="16383" man="1"/>
    <brk id="328" max="16383" man="1"/>
  </rowBreaks>
  <colBreaks count="2" manualBreakCount="2">
    <brk id="14" max="1048575" man="1"/>
    <brk id="24" max="1048575" man="1"/>
  </colBreaks>
  <customProperties>
    <customPr name="SheetOptions" r:id="rId2"/>
  </customProperties>
  <legacyDrawing r:id="rId3"/>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tabColor rgb="FFFFFF00"/>
  </sheetPr>
  <dimension ref="B1:W169"/>
  <sheetViews>
    <sheetView zoomScaleNormal="100" workbookViewId="0">
      <selection sqref="A1:J1"/>
    </sheetView>
  </sheetViews>
  <sheetFormatPr defaultColWidth="9.42578125" defaultRowHeight="12.75" x14ac:dyDescent="0.2"/>
  <cols>
    <col min="1" max="1" width="3.5703125" style="381" customWidth="1"/>
    <col min="2" max="2" width="9.42578125" style="381"/>
    <col min="3" max="3" width="5.5703125" style="381" customWidth="1"/>
    <col min="4" max="4" width="8" style="381" customWidth="1"/>
    <col min="5" max="6" width="9.42578125" style="381"/>
    <col min="7" max="7" width="5.5703125" style="381" customWidth="1"/>
    <col min="8" max="8" width="1.5703125" style="381" customWidth="1"/>
    <col min="9" max="9" width="7.5703125" style="381" customWidth="1"/>
    <col min="10" max="10" width="22.5703125" style="236" customWidth="1"/>
    <col min="11" max="11" width="21.5703125" style="381" customWidth="1"/>
    <col min="12" max="16384" width="9.42578125" style="381"/>
  </cols>
  <sheetData>
    <row r="1" spans="2:23" ht="15.75" x14ac:dyDescent="0.25">
      <c r="B1" s="2455" t="str">
        <f>+Index!$A$1</f>
        <v xml:space="preserve">                                                               Office of the State Controller                                                                </v>
      </c>
      <c r="C1" s="2455"/>
      <c r="D1" s="2455"/>
      <c r="E1" s="2455"/>
      <c r="F1" s="2455"/>
      <c r="G1" s="2455"/>
      <c r="H1" s="2455"/>
      <c r="I1" s="2455"/>
      <c r="J1" s="2455"/>
      <c r="K1" s="3030" t="str">
        <f>IF(Index!$B$107="na","NA","")</f>
        <v/>
      </c>
      <c r="L1" s="380"/>
      <c r="M1" s="380"/>
      <c r="N1" s="380"/>
      <c r="O1" s="380"/>
      <c r="P1" s="380"/>
      <c r="Q1" s="380"/>
      <c r="R1" s="380"/>
      <c r="S1" s="380"/>
      <c r="T1" s="380"/>
      <c r="U1" s="380"/>
      <c r="V1" s="380"/>
    </row>
    <row r="2" spans="2:23" ht="16.5" x14ac:dyDescent="0.3">
      <c r="B2" s="2439" t="str">
        <f>+Index!$A$2</f>
        <v>2023 ACFR Worksheets</v>
      </c>
      <c r="C2" s="2439"/>
      <c r="D2" s="2439"/>
      <c r="E2" s="2439"/>
      <c r="F2" s="2439"/>
      <c r="G2" s="2439"/>
      <c r="H2" s="2439"/>
      <c r="I2" s="2439"/>
      <c r="J2" s="2439"/>
      <c r="K2" s="3030"/>
      <c r="L2" s="382"/>
      <c r="M2" s="382"/>
      <c r="N2" s="382"/>
      <c r="O2" s="383"/>
      <c r="P2" s="383"/>
      <c r="Q2" s="383"/>
      <c r="R2" s="383"/>
      <c r="S2" s="383"/>
      <c r="T2" s="383"/>
      <c r="U2" s="383"/>
      <c r="V2" s="383"/>
    </row>
    <row r="3" spans="2:23" ht="42.75" customHeight="1" x14ac:dyDescent="0.3">
      <c r="B3" s="2504" t="s">
        <v>5417</v>
      </c>
      <c r="C3" s="2504"/>
      <c r="D3" s="2504"/>
      <c r="E3" s="2504"/>
      <c r="F3" s="2504"/>
      <c r="G3" s="2504"/>
      <c r="H3" s="2504"/>
      <c r="I3" s="2504"/>
      <c r="J3" s="2504"/>
      <c r="K3" s="3030"/>
      <c r="L3" s="382"/>
      <c r="M3" s="382"/>
      <c r="N3" s="382"/>
      <c r="O3" s="383"/>
      <c r="P3" s="383"/>
      <c r="Q3" s="383"/>
      <c r="R3" s="383"/>
      <c r="S3" s="383"/>
      <c r="T3" s="383"/>
      <c r="U3" s="383"/>
      <c r="V3" s="383"/>
    </row>
    <row r="4" spans="2:23" x14ac:dyDescent="0.2">
      <c r="B4"/>
      <c r="C4"/>
      <c r="D4"/>
      <c r="E4"/>
      <c r="F4"/>
      <c r="G4"/>
      <c r="H4"/>
      <c r="I4"/>
      <c r="J4" s="233"/>
    </row>
    <row r="5" spans="2:23" s="384" customFormat="1" ht="15" customHeight="1" x14ac:dyDescent="0.2">
      <c r="B5" s="124" t="s">
        <v>317</v>
      </c>
      <c r="C5" s="124"/>
      <c r="D5" s="357" t="str">
        <f>+Index!$E$10</f>
        <v>01</v>
      </c>
      <c r="E5" s="356"/>
      <c r="F5" s="124" t="s">
        <v>319</v>
      </c>
      <c r="G5" s="124"/>
      <c r="H5" s="2956" t="str">
        <f>+CONCATENATE(Index!$E$12," ",Index!$E$14)</f>
        <v xml:space="preserve"> </v>
      </c>
      <c r="I5" s="2956"/>
      <c r="J5" s="2956"/>
      <c r="O5" s="385"/>
      <c r="W5" s="386"/>
    </row>
    <row r="6" spans="2:23" s="384" customFormat="1" ht="15" customHeight="1" x14ac:dyDescent="0.2">
      <c r="B6" s="124" t="s">
        <v>318</v>
      </c>
      <c r="C6" s="124"/>
      <c r="D6" s="2977" t="str">
        <f>+Index!$E$11</f>
        <v>North Carolina General Assembly</v>
      </c>
      <c r="E6" s="2977"/>
      <c r="F6" s="2977"/>
      <c r="G6" s="2977"/>
      <c r="H6" s="124"/>
      <c r="I6" s="124"/>
      <c r="J6" s="124"/>
      <c r="O6" s="387"/>
      <c r="P6" s="387"/>
      <c r="Q6" s="387"/>
      <c r="R6" s="387"/>
      <c r="S6" s="387"/>
      <c r="T6" s="387"/>
      <c r="U6" s="387"/>
      <c r="V6" s="388"/>
      <c r="W6" s="386"/>
    </row>
    <row r="7" spans="2:23" s="384" customFormat="1" ht="15" customHeight="1" x14ac:dyDescent="0.2">
      <c r="B7" s="384" t="s">
        <v>568</v>
      </c>
      <c r="D7" s="617" t="e">
        <f>INDEX(NetAssetsData,MATCH(PriorYr906!$D$5,NetAssetsDataRow,0),4)</f>
        <v>#N/A</v>
      </c>
      <c r="F7" s="459" t="s">
        <v>71</v>
      </c>
      <c r="G7" s="2979">
        <f>+Index!$E$13</f>
        <v>0</v>
      </c>
      <c r="H7" s="2979"/>
      <c r="I7" s="2979"/>
      <c r="J7" s="2979"/>
      <c r="W7" s="386"/>
    </row>
    <row r="8" spans="2:23" s="389" customFormat="1" ht="12" customHeight="1" thickBot="1" x14ac:dyDescent="0.25">
      <c r="B8" s="1986"/>
      <c r="C8" s="1986"/>
      <c r="D8" s="1986"/>
      <c r="E8" s="1986"/>
      <c r="F8" s="1986"/>
      <c r="G8" s="1986"/>
      <c r="H8" s="1986"/>
      <c r="I8" s="1986"/>
      <c r="J8" s="759" t="str">
        <f>TEXT(Data!$A$4,"mmmm d,yyyy")</f>
        <v>June 30,2022</v>
      </c>
      <c r="K8" s="759" t="str">
        <f>TEXT(Data!$A$4,"mmmm d,yyyy")</f>
        <v>June 30,2022</v>
      </c>
    </row>
    <row r="9" spans="2:23" ht="15.75" x14ac:dyDescent="0.25">
      <c r="B9" s="795" t="s">
        <v>5418</v>
      </c>
      <c r="C9" s="775"/>
      <c r="D9" s="775"/>
      <c r="J9" s="757" t="s">
        <v>4642</v>
      </c>
      <c r="K9" s="757" t="s">
        <v>4708</v>
      </c>
    </row>
    <row r="10" spans="2:23" ht="15.75" x14ac:dyDescent="0.25">
      <c r="B10" s="390" t="s">
        <v>576</v>
      </c>
      <c r="C10" s="396"/>
      <c r="D10" s="396"/>
      <c r="J10" s="758" t="s">
        <v>5311</v>
      </c>
      <c r="K10" s="758" t="s">
        <v>4709</v>
      </c>
      <c r="L10" s="391"/>
      <c r="M10" s="391"/>
      <c r="N10" s="391"/>
    </row>
    <row r="11" spans="2:23" ht="21" customHeight="1" x14ac:dyDescent="0.2">
      <c r="B11" s="2974" t="s">
        <v>2624</v>
      </c>
      <c r="C11" s="2974"/>
      <c r="D11" s="2974"/>
      <c r="E11" s="2974"/>
      <c r="F11" s="2974"/>
      <c r="G11" s="2974"/>
      <c r="H11" s="2974"/>
      <c r="I11" s="2974"/>
      <c r="J11" s="475">
        <v>0</v>
      </c>
      <c r="K11" s="475">
        <v>0</v>
      </c>
      <c r="L11" s="392"/>
      <c r="M11" s="392"/>
      <c r="N11" s="392"/>
    </row>
    <row r="12" spans="2:23" x14ac:dyDescent="0.2">
      <c r="B12" s="1978" t="s">
        <v>4646</v>
      </c>
      <c r="C12" s="802"/>
      <c r="D12"/>
      <c r="E12"/>
      <c r="F12"/>
      <c r="G12"/>
      <c r="H12"/>
      <c r="I12"/>
      <c r="J12" s="767"/>
      <c r="K12" s="767"/>
      <c r="L12" s="2367"/>
      <c r="M12" s="2367"/>
      <c r="N12" s="2367"/>
    </row>
    <row r="13" spans="2:23" x14ac:dyDescent="0.2">
      <c r="B13" s="2974" t="s">
        <v>4647</v>
      </c>
      <c r="C13" s="2974"/>
      <c r="D13" s="2974"/>
      <c r="E13" s="2974"/>
      <c r="F13" s="2974"/>
      <c r="G13" s="2974"/>
      <c r="H13" s="2974"/>
      <c r="I13" s="2974"/>
      <c r="J13" s="233">
        <v>0</v>
      </c>
      <c r="K13" s="233">
        <v>0</v>
      </c>
      <c r="L13" s="2367"/>
      <c r="M13" s="2367"/>
      <c r="N13" s="2367"/>
    </row>
    <row r="14" spans="2:23" x14ac:dyDescent="0.2">
      <c r="B14" s="2974" t="s">
        <v>4648</v>
      </c>
      <c r="C14" s="2974"/>
      <c r="D14" s="2974"/>
      <c r="E14" s="2974"/>
      <c r="F14" s="2974"/>
      <c r="G14" s="2974"/>
      <c r="H14" s="2974"/>
      <c r="I14" s="2974"/>
      <c r="J14" s="233">
        <v>0</v>
      </c>
      <c r="K14" s="233">
        <v>0</v>
      </c>
      <c r="L14" s="2367"/>
      <c r="M14" s="2367"/>
      <c r="N14" s="2367"/>
    </row>
    <row r="15" spans="2:23" x14ac:dyDescent="0.2">
      <c r="B15" s="2974" t="s">
        <v>4650</v>
      </c>
      <c r="C15" s="2974"/>
      <c r="D15" s="2974"/>
      <c r="E15" s="2974"/>
      <c r="F15" s="2974"/>
      <c r="G15" s="2974"/>
      <c r="H15" s="2974"/>
      <c r="I15" s="2974"/>
      <c r="J15" s="233">
        <v>0</v>
      </c>
      <c r="K15" s="233">
        <v>0</v>
      </c>
      <c r="L15" s="2367"/>
      <c r="M15" s="2367"/>
      <c r="N15" s="2367"/>
    </row>
    <row r="16" spans="2:23" x14ac:dyDescent="0.2">
      <c r="B16" s="2974" t="s">
        <v>4651</v>
      </c>
      <c r="C16" s="2974"/>
      <c r="D16" s="2974"/>
      <c r="E16" s="2974"/>
      <c r="F16" s="2974"/>
      <c r="G16" s="2974"/>
      <c r="H16" s="2974"/>
      <c r="I16" s="2974"/>
      <c r="J16" s="233">
        <v>0</v>
      </c>
      <c r="K16" s="233">
        <v>0</v>
      </c>
      <c r="L16" s="2367"/>
      <c r="M16" s="2367"/>
      <c r="N16" s="2367"/>
    </row>
    <row r="17" spans="2:14" x14ac:dyDescent="0.2">
      <c r="B17" s="2974" t="s">
        <v>4652</v>
      </c>
      <c r="C17" s="2974"/>
      <c r="D17" s="2974"/>
      <c r="E17" s="2974"/>
      <c r="F17" s="2974"/>
      <c r="G17" s="2974"/>
      <c r="H17" s="2974"/>
      <c r="I17" s="2974"/>
      <c r="J17" s="233">
        <v>0</v>
      </c>
      <c r="K17" s="233">
        <v>0</v>
      </c>
      <c r="L17" s="2367"/>
      <c r="M17" s="2367"/>
      <c r="N17" s="2367"/>
    </row>
    <row r="18" spans="2:14" x14ac:dyDescent="0.2">
      <c r="B18" s="2974" t="s">
        <v>4653</v>
      </c>
      <c r="C18" s="2974"/>
      <c r="D18" s="2974"/>
      <c r="E18" s="2974"/>
      <c r="F18" s="2974"/>
      <c r="G18" s="2974"/>
      <c r="H18" s="2974"/>
      <c r="I18" s="2974"/>
      <c r="J18" s="233">
        <v>0</v>
      </c>
      <c r="K18" s="233">
        <v>0</v>
      </c>
      <c r="L18" s="2367"/>
      <c r="M18" s="2367"/>
      <c r="N18" s="2367"/>
    </row>
    <row r="19" spans="2:14" x14ac:dyDescent="0.2">
      <c r="B19" s="2974" t="s">
        <v>4654</v>
      </c>
      <c r="C19" s="2974"/>
      <c r="D19" s="2974"/>
      <c r="E19" s="2974"/>
      <c r="F19" s="2974"/>
      <c r="G19" s="2974"/>
      <c r="H19" s="2974"/>
      <c r="I19" s="2974"/>
      <c r="J19" s="233">
        <v>0</v>
      </c>
      <c r="K19" s="233">
        <v>0</v>
      </c>
      <c r="L19" s="2367"/>
      <c r="M19" s="2367"/>
      <c r="N19" s="2367"/>
    </row>
    <row r="20" spans="2:14" x14ac:dyDescent="0.2">
      <c r="B20" s="2974" t="s">
        <v>4655</v>
      </c>
      <c r="C20" s="2974"/>
      <c r="D20" s="2974"/>
      <c r="E20" s="2974"/>
      <c r="F20" s="2974"/>
      <c r="G20" s="2974"/>
      <c r="H20" s="2974"/>
      <c r="I20" s="2974"/>
      <c r="J20" s="233">
        <v>0</v>
      </c>
      <c r="K20" s="233">
        <v>0</v>
      </c>
      <c r="L20" s="2367"/>
      <c r="M20" s="2367"/>
      <c r="N20" s="2367"/>
    </row>
    <row r="21" spans="2:14" x14ac:dyDescent="0.2">
      <c r="B21" s="2974" t="s">
        <v>4656</v>
      </c>
      <c r="C21" s="2974"/>
      <c r="D21" s="2974"/>
      <c r="E21" s="2974"/>
      <c r="F21" s="2974"/>
      <c r="G21" s="2974"/>
      <c r="H21" s="2974"/>
      <c r="I21" s="2974"/>
      <c r="J21" s="233">
        <v>0</v>
      </c>
      <c r="K21" s="233">
        <v>0</v>
      </c>
      <c r="L21" s="2367"/>
      <c r="M21" s="2367"/>
      <c r="N21" s="2367"/>
    </row>
    <row r="22" spans="2:14" x14ac:dyDescent="0.2">
      <c r="B22" s="2974" t="s">
        <v>4657</v>
      </c>
      <c r="C22" s="2974"/>
      <c r="D22" s="2974"/>
      <c r="E22" s="2974"/>
      <c r="F22" s="2974"/>
      <c r="G22" s="2974"/>
      <c r="H22" s="2974"/>
      <c r="I22" s="2974"/>
      <c r="J22" s="233">
        <v>0</v>
      </c>
      <c r="K22" s="233">
        <v>0</v>
      </c>
      <c r="L22" s="2367"/>
      <c r="M22" s="2367"/>
      <c r="N22" s="2367"/>
    </row>
    <row r="23" spans="2:14" x14ac:dyDescent="0.2">
      <c r="B23" s="2974" t="s">
        <v>4658</v>
      </c>
      <c r="C23" s="2974"/>
      <c r="D23" s="2974"/>
      <c r="E23" s="2974"/>
      <c r="F23" s="2974"/>
      <c r="G23" s="2974"/>
      <c r="H23" s="2974"/>
      <c r="I23" s="2974"/>
      <c r="J23" s="233">
        <v>0</v>
      </c>
      <c r="K23" s="233">
        <v>0</v>
      </c>
      <c r="L23" s="393"/>
      <c r="M23" s="393"/>
      <c r="N23" s="393"/>
    </row>
    <row r="24" spans="2:14" x14ac:dyDescent="0.2">
      <c r="B24" s="2974" t="s">
        <v>4659</v>
      </c>
      <c r="C24" s="2974"/>
      <c r="D24" s="2974"/>
      <c r="E24" s="2974"/>
      <c r="F24" s="2974"/>
      <c r="G24" s="2974"/>
      <c r="H24" s="2974"/>
      <c r="I24" s="2974"/>
      <c r="J24" s="233">
        <v>6920601.2800000003</v>
      </c>
      <c r="K24" s="790">
        <v>35799159.719999999</v>
      </c>
      <c r="L24" s="394"/>
      <c r="M24" s="394"/>
      <c r="N24" s="394"/>
    </row>
    <row r="25" spans="2:14" x14ac:dyDescent="0.2">
      <c r="B25" s="2974" t="s">
        <v>4661</v>
      </c>
      <c r="C25" s="2974"/>
      <c r="D25" s="2974"/>
      <c r="E25" s="2974"/>
      <c r="F25" s="2974"/>
      <c r="G25" s="2974"/>
      <c r="H25" s="2974"/>
      <c r="I25" s="2974"/>
      <c r="J25" s="233">
        <v>0</v>
      </c>
      <c r="K25" s="790">
        <v>0</v>
      </c>
      <c r="L25" s="394"/>
      <c r="M25" s="394"/>
      <c r="N25" s="394"/>
    </row>
    <row r="26" spans="2:14" x14ac:dyDescent="0.2">
      <c r="B26" s="2974" t="s">
        <v>4662</v>
      </c>
      <c r="C26" s="2974"/>
      <c r="D26" s="2974"/>
      <c r="E26" s="2974"/>
      <c r="F26" s="2974"/>
      <c r="G26" s="2974"/>
      <c r="H26" s="2974"/>
      <c r="I26" s="2974"/>
      <c r="J26" s="233">
        <v>40189699.240000002</v>
      </c>
      <c r="K26" s="790">
        <v>207894863.94</v>
      </c>
      <c r="L26" s="394"/>
      <c r="M26" s="394"/>
      <c r="N26" s="394"/>
    </row>
    <row r="27" spans="2:14" x14ac:dyDescent="0.2">
      <c r="B27" s="2974" t="s">
        <v>4664</v>
      </c>
      <c r="C27" s="2974"/>
      <c r="D27" s="2974"/>
      <c r="E27" s="2974"/>
      <c r="F27" s="2974"/>
      <c r="G27" s="2974"/>
      <c r="H27" s="2974"/>
      <c r="I27" s="2974"/>
      <c r="J27" s="233">
        <v>339253945.89999998</v>
      </c>
      <c r="K27" s="790">
        <v>1755275330.28</v>
      </c>
      <c r="L27" s="394"/>
      <c r="M27" s="394"/>
      <c r="N27" s="394"/>
    </row>
    <row r="28" spans="2:14" x14ac:dyDescent="0.2">
      <c r="B28" s="2974" t="s">
        <v>4666</v>
      </c>
      <c r="C28" s="2974"/>
      <c r="D28" s="2974"/>
      <c r="E28" s="2974"/>
      <c r="F28" s="2974"/>
      <c r="G28" s="2974"/>
      <c r="H28" s="2974"/>
      <c r="I28" s="2974"/>
      <c r="J28" s="233">
        <v>1580511862.3599999</v>
      </c>
      <c r="K28" s="790">
        <v>12401909088.870001</v>
      </c>
      <c r="L28" s="394"/>
      <c r="M28" s="394"/>
      <c r="N28" s="394"/>
    </row>
    <row r="29" spans="2:14" x14ac:dyDescent="0.2">
      <c r="B29" s="2974" t="s">
        <v>2930</v>
      </c>
      <c r="C29" s="2974"/>
      <c r="D29" s="2974"/>
      <c r="E29" s="2974"/>
      <c r="F29" s="2974"/>
      <c r="G29" s="2974"/>
      <c r="H29" s="2974"/>
      <c r="I29" s="2974"/>
      <c r="J29" s="233">
        <v>0</v>
      </c>
      <c r="K29" s="790">
        <v>0</v>
      </c>
      <c r="L29" s="394"/>
      <c r="M29" s="394"/>
      <c r="N29" s="394"/>
    </row>
    <row r="30" spans="2:14" x14ac:dyDescent="0.2">
      <c r="B30" s="802" t="s">
        <v>2629</v>
      </c>
      <c r="C30" s="802"/>
      <c r="D30"/>
      <c r="E30"/>
      <c r="F30"/>
      <c r="G30"/>
      <c r="H30"/>
      <c r="I30"/>
      <c r="J30"/>
      <c r="K30" s="1259"/>
      <c r="L30" s="394"/>
      <c r="M30" s="394"/>
      <c r="N30" s="394"/>
    </row>
    <row r="31" spans="2:14" x14ac:dyDescent="0.2">
      <c r="B31" s="2974" t="s">
        <v>4667</v>
      </c>
      <c r="C31" s="2974"/>
      <c r="D31" s="2974"/>
      <c r="E31" s="2974"/>
      <c r="F31" s="2974"/>
      <c r="G31" s="2974"/>
      <c r="H31" s="2974"/>
      <c r="I31" s="2974"/>
      <c r="J31" s="233">
        <v>1154.6600000000001</v>
      </c>
      <c r="K31" s="790">
        <v>23725.53</v>
      </c>
      <c r="L31" s="394"/>
      <c r="M31" s="394"/>
      <c r="N31" s="394"/>
    </row>
    <row r="32" spans="2:14" x14ac:dyDescent="0.2">
      <c r="B32" s="2974" t="s">
        <v>4668</v>
      </c>
      <c r="C32" s="2974"/>
      <c r="D32" s="2974"/>
      <c r="E32" s="2974"/>
      <c r="F32" s="2974"/>
      <c r="G32" s="2974"/>
      <c r="H32" s="2974"/>
      <c r="I32" s="2974"/>
      <c r="J32" s="233">
        <v>0</v>
      </c>
      <c r="K32" s="790">
        <v>0</v>
      </c>
      <c r="L32" s="2367"/>
      <c r="M32" s="2367"/>
      <c r="N32" s="2367"/>
    </row>
    <row r="33" spans="2:14" x14ac:dyDescent="0.2">
      <c r="B33" s="2974" t="s">
        <v>4669</v>
      </c>
      <c r="C33" s="2974"/>
      <c r="D33" s="2974"/>
      <c r="E33" s="2974"/>
      <c r="F33" s="2974"/>
      <c r="G33" s="2974"/>
      <c r="H33" s="2974"/>
      <c r="I33" s="2974"/>
      <c r="J33" s="233">
        <v>659638.49</v>
      </c>
      <c r="K33" s="790">
        <v>6623495.5499999998</v>
      </c>
      <c r="L33" s="2367"/>
      <c r="M33" s="2367"/>
      <c r="N33" s="2367"/>
    </row>
    <row r="34" spans="2:14" x14ac:dyDescent="0.2">
      <c r="B34" s="2974" t="s">
        <v>2640</v>
      </c>
      <c r="C34" s="2974"/>
      <c r="D34" s="2974"/>
      <c r="E34" s="2974"/>
      <c r="F34" s="2974"/>
      <c r="G34" s="2974"/>
      <c r="H34" s="2974"/>
      <c r="I34" s="2974"/>
      <c r="J34" s="233">
        <v>20710751.27</v>
      </c>
      <c r="K34" s="790">
        <v>258241301.66999999</v>
      </c>
      <c r="L34" s="2367"/>
      <c r="M34" s="2367"/>
      <c r="N34" s="2367"/>
    </row>
    <row r="35" spans="2:14" x14ac:dyDescent="0.2">
      <c r="B35" s="2974" t="s">
        <v>2638</v>
      </c>
      <c r="C35" s="2974"/>
      <c r="D35" s="2974"/>
      <c r="E35" s="2974"/>
      <c r="F35" s="2974"/>
      <c r="G35" s="2974"/>
      <c r="H35" s="2974"/>
      <c r="I35" s="2974"/>
      <c r="J35" s="233">
        <v>0</v>
      </c>
      <c r="K35" s="233">
        <v>0</v>
      </c>
      <c r="L35" s="2367"/>
      <c r="M35" s="2367"/>
      <c r="N35" s="2367"/>
    </row>
    <row r="36" spans="2:14" x14ac:dyDescent="0.2">
      <c r="B36" s="2974" t="s">
        <v>4670</v>
      </c>
      <c r="C36" s="2974"/>
      <c r="D36" s="2974"/>
      <c r="E36" s="2974"/>
      <c r="F36" s="2974"/>
      <c r="G36" s="2974"/>
      <c r="H36" s="2974"/>
      <c r="I36" s="2974"/>
      <c r="J36" s="233">
        <v>0</v>
      </c>
      <c r="K36" s="233">
        <v>0</v>
      </c>
      <c r="L36" s="2367"/>
      <c r="M36" s="2367"/>
      <c r="N36" s="2367"/>
    </row>
    <row r="37" spans="2:14" x14ac:dyDescent="0.2">
      <c r="B37" s="2974" t="s">
        <v>4671</v>
      </c>
      <c r="C37" s="2974"/>
      <c r="D37" s="2974"/>
      <c r="E37" s="2974"/>
      <c r="F37" s="2974"/>
      <c r="G37" s="2974"/>
      <c r="H37" s="2974"/>
      <c r="I37" s="2974"/>
      <c r="J37" s="233">
        <v>0</v>
      </c>
      <c r="K37" s="233">
        <v>0</v>
      </c>
      <c r="L37" s="2367"/>
      <c r="M37" s="2367"/>
      <c r="N37" s="2367"/>
    </row>
    <row r="38" spans="2:14" x14ac:dyDescent="0.2">
      <c r="B38" s="2974" t="s">
        <v>4672</v>
      </c>
      <c r="C38" s="2974"/>
      <c r="D38" s="2974"/>
      <c r="E38" s="2974"/>
      <c r="F38" s="2974"/>
      <c r="G38" s="2974"/>
      <c r="H38" s="2974"/>
      <c r="I38" s="2974"/>
      <c r="J38" s="476">
        <v>0</v>
      </c>
      <c r="K38" s="476">
        <v>0</v>
      </c>
      <c r="L38" s="393"/>
      <c r="M38" s="393"/>
      <c r="N38" s="393"/>
    </row>
    <row r="39" spans="2:14" x14ac:dyDescent="0.2">
      <c r="B39" s="3027" t="s">
        <v>1742</v>
      </c>
      <c r="C39" s="3027"/>
      <c r="D39" s="3027"/>
      <c r="E39" s="3027"/>
      <c r="F39" s="3027"/>
      <c r="G39" s="3027"/>
      <c r="H39" s="3027"/>
      <c r="I39" s="3027"/>
      <c r="J39" s="403">
        <f>SUM(J10:J38)</f>
        <v>1988247653.2</v>
      </c>
      <c r="K39" s="403">
        <f>SUM(K10:K38)</f>
        <v>14665766965.559999</v>
      </c>
      <c r="L39" s="392"/>
      <c r="M39" s="392"/>
      <c r="N39" s="392"/>
    </row>
    <row r="40" spans="2:14" x14ac:dyDescent="0.2">
      <c r="B40" s="395"/>
      <c r="C40" s="396"/>
      <c r="J40" s="768"/>
      <c r="K40" s="768"/>
      <c r="L40" s="2367"/>
      <c r="M40" s="2367"/>
      <c r="N40" s="2367"/>
    </row>
    <row r="41" spans="2:14" x14ac:dyDescent="0.2">
      <c r="B41" s="390" t="s">
        <v>4673</v>
      </c>
      <c r="C41" s="396"/>
      <c r="J41" s="768"/>
      <c r="K41" s="768"/>
      <c r="L41" s="2367"/>
      <c r="M41" s="2367"/>
      <c r="N41" s="2367"/>
    </row>
    <row r="42" spans="2:14" x14ac:dyDescent="0.2">
      <c r="B42" s="1987" t="s">
        <v>2691</v>
      </c>
      <c r="C42" s="396"/>
      <c r="J42" s="768"/>
      <c r="K42" s="768"/>
      <c r="L42" s="2367"/>
      <c r="M42" s="2367"/>
      <c r="N42" s="2367"/>
    </row>
    <row r="43" spans="2:14" x14ac:dyDescent="0.2">
      <c r="B43" s="3029" t="s">
        <v>2729</v>
      </c>
      <c r="C43" s="3029"/>
      <c r="D43" s="3029"/>
      <c r="E43" s="3029"/>
      <c r="F43" s="3029"/>
      <c r="G43" s="3029"/>
      <c r="H43" s="3029"/>
      <c r="I43" s="3029"/>
      <c r="J43" s="233">
        <v>292326.01</v>
      </c>
      <c r="K43" s="233">
        <v>1753695.75</v>
      </c>
      <c r="L43" s="2367"/>
      <c r="M43" s="2367"/>
      <c r="N43" s="2367"/>
    </row>
    <row r="44" spans="2:14" x14ac:dyDescent="0.2">
      <c r="B44" s="3029" t="s">
        <v>2694</v>
      </c>
      <c r="C44" s="3029"/>
      <c r="D44" s="3029"/>
      <c r="E44" s="3029"/>
      <c r="F44" s="3029"/>
      <c r="G44" s="3029"/>
      <c r="H44" s="3029"/>
      <c r="I44" s="3029"/>
      <c r="J44" s="233">
        <v>0</v>
      </c>
      <c r="K44" s="233">
        <v>0</v>
      </c>
    </row>
    <row r="45" spans="2:14" x14ac:dyDescent="0.2">
      <c r="B45" s="3029" t="s">
        <v>4674</v>
      </c>
      <c r="C45" s="3029"/>
      <c r="D45" s="3029"/>
      <c r="E45" s="3029"/>
      <c r="F45" s="3029"/>
      <c r="G45" s="3029"/>
      <c r="H45" s="3029"/>
      <c r="I45" s="3029"/>
      <c r="J45" s="233">
        <v>0</v>
      </c>
      <c r="K45" s="233">
        <v>0</v>
      </c>
      <c r="L45" s="2367"/>
      <c r="M45" s="2367"/>
      <c r="N45" s="2367"/>
    </row>
    <row r="46" spans="2:14" x14ac:dyDescent="0.2">
      <c r="B46" s="3022" t="s">
        <v>2708</v>
      </c>
      <c r="C46" s="3022"/>
      <c r="D46" s="3022"/>
      <c r="E46" s="3022"/>
      <c r="F46" s="3022"/>
      <c r="G46" s="3022"/>
      <c r="H46" s="3022"/>
      <c r="I46" s="3022"/>
      <c r="J46" s="233">
        <v>0</v>
      </c>
      <c r="K46" s="233">
        <v>0</v>
      </c>
      <c r="L46" s="2367"/>
      <c r="M46" s="2367"/>
      <c r="N46" s="2367"/>
    </row>
    <row r="47" spans="2:14" x14ac:dyDescent="0.2">
      <c r="B47" s="3022" t="s">
        <v>2706</v>
      </c>
      <c r="C47" s="3022"/>
      <c r="D47" s="3022"/>
      <c r="E47" s="3022"/>
      <c r="F47" s="3022"/>
      <c r="G47" s="3022"/>
      <c r="H47" s="3022"/>
      <c r="I47" s="3022"/>
      <c r="J47" s="233">
        <v>0</v>
      </c>
      <c r="K47" s="233">
        <v>0</v>
      </c>
      <c r="L47" s="2367"/>
      <c r="M47" s="2367"/>
      <c r="N47" s="2367"/>
    </row>
    <row r="48" spans="2:14" x14ac:dyDescent="0.2">
      <c r="B48" s="3022" t="s">
        <v>2709</v>
      </c>
      <c r="C48" s="3022"/>
      <c r="D48" s="3022"/>
      <c r="E48" s="3022"/>
      <c r="F48" s="3022"/>
      <c r="G48" s="3022"/>
      <c r="H48" s="3022"/>
      <c r="I48" s="3022"/>
      <c r="J48" s="233">
        <v>0</v>
      </c>
      <c r="K48" s="233">
        <v>0</v>
      </c>
      <c r="L48" s="2367"/>
      <c r="M48" s="2367"/>
      <c r="N48" s="2367"/>
    </row>
    <row r="49" spans="2:14" x14ac:dyDescent="0.2">
      <c r="B49" s="3027" t="s">
        <v>2710</v>
      </c>
      <c r="C49" s="3027"/>
      <c r="D49" s="3027"/>
      <c r="E49" s="3027"/>
      <c r="F49" s="3027"/>
      <c r="G49" s="3027"/>
      <c r="H49" s="3027"/>
      <c r="I49" s="3027"/>
      <c r="J49" s="233">
        <v>0</v>
      </c>
      <c r="K49" s="233">
        <v>0</v>
      </c>
      <c r="L49" s="2367"/>
      <c r="M49" s="2367"/>
      <c r="N49" s="2367"/>
    </row>
    <row r="50" spans="2:14" x14ac:dyDescent="0.2">
      <c r="B50" s="3022" t="s">
        <v>1049</v>
      </c>
      <c r="C50" s="3022"/>
      <c r="D50" s="3022"/>
      <c r="E50" s="3022"/>
      <c r="F50" s="3022"/>
      <c r="G50" s="3022"/>
      <c r="H50" s="3022"/>
      <c r="I50" s="3022"/>
      <c r="J50" s="476">
        <v>0</v>
      </c>
      <c r="K50" s="476">
        <v>0</v>
      </c>
      <c r="L50" s="2367"/>
      <c r="M50" s="2367"/>
      <c r="N50" s="2367"/>
    </row>
    <row r="51" spans="2:14" x14ac:dyDescent="0.2">
      <c r="B51" s="3027" t="s">
        <v>1746</v>
      </c>
      <c r="C51" s="3027"/>
      <c r="D51" s="3027"/>
      <c r="E51" s="3027"/>
      <c r="F51" s="3027"/>
      <c r="G51" s="3027"/>
      <c r="H51" s="3027"/>
      <c r="I51" s="3027"/>
      <c r="J51" s="403">
        <f>SUM(J42:J50)</f>
        <v>292326.01</v>
      </c>
      <c r="K51" s="403">
        <f>SUM(K42:K50)</f>
        <v>1753695.75</v>
      </c>
      <c r="L51" s="2367"/>
      <c r="M51" s="2367"/>
      <c r="N51" s="2367"/>
    </row>
    <row r="52" spans="2:14" x14ac:dyDescent="0.2">
      <c r="B52" s="396"/>
      <c r="C52" s="396"/>
      <c r="J52" s="768"/>
      <c r="K52" s="768"/>
      <c r="L52" s="394"/>
      <c r="M52" s="394"/>
      <c r="N52" s="394"/>
    </row>
    <row r="53" spans="2:14" x14ac:dyDescent="0.2">
      <c r="B53" s="2379" t="s">
        <v>1748</v>
      </c>
      <c r="J53" s="233"/>
      <c r="K53" s="233"/>
      <c r="L53" s="394"/>
      <c r="M53" s="394"/>
      <c r="N53" s="394"/>
    </row>
    <row r="54" spans="2:14" x14ac:dyDescent="0.2">
      <c r="B54" s="3028" t="s">
        <v>4927</v>
      </c>
      <c r="C54" s="3028"/>
      <c r="D54" s="3028"/>
      <c r="E54" s="3028"/>
      <c r="F54" s="3028"/>
      <c r="G54" s="3028"/>
      <c r="H54" s="3028"/>
      <c r="I54" s="3028"/>
      <c r="J54" s="233"/>
      <c r="K54" s="233"/>
      <c r="L54" s="394"/>
      <c r="M54" s="394"/>
      <c r="N54" s="394"/>
    </row>
    <row r="55" spans="2:14" x14ac:dyDescent="0.2">
      <c r="B55" s="3022" t="s">
        <v>5419</v>
      </c>
      <c r="C55" s="3022"/>
      <c r="D55" s="3022"/>
      <c r="E55" s="3022"/>
      <c r="F55" s="3022"/>
      <c r="G55" s="3022"/>
      <c r="H55" s="3022"/>
      <c r="I55" s="3022"/>
      <c r="J55" s="233">
        <v>1987955327.1900001</v>
      </c>
      <c r="K55" s="233">
        <v>14664013269.809999</v>
      </c>
      <c r="L55" s="394"/>
      <c r="M55" s="394"/>
      <c r="N55" s="394"/>
    </row>
    <row r="56" spans="2:14" ht="13.5" thickBot="1" x14ac:dyDescent="0.25">
      <c r="B56" s="3023" t="s">
        <v>1630</v>
      </c>
      <c r="C56" s="3023"/>
      <c r="D56" s="3023"/>
      <c r="E56" s="3023"/>
      <c r="F56" s="3023"/>
      <c r="G56" s="3023"/>
      <c r="H56" s="3023"/>
      <c r="I56" s="3023"/>
      <c r="J56" s="404">
        <f>SUM(J54:J55)</f>
        <v>1987955327.1900001</v>
      </c>
      <c r="K56" s="404">
        <f>SUM(K54:K55)</f>
        <v>14664013269.809999</v>
      </c>
      <c r="L56" s="2367"/>
      <c r="M56" s="2367"/>
      <c r="N56" s="2367"/>
    </row>
    <row r="57" spans="2:14" ht="13.5" thickTop="1" x14ac:dyDescent="0.2">
      <c r="B57" s="2378"/>
      <c r="C57" s="2378"/>
      <c r="D57" s="2378"/>
      <c r="E57" s="2378"/>
      <c r="F57" s="2378"/>
      <c r="G57" s="2378"/>
      <c r="H57" s="2378"/>
      <c r="I57" s="2378"/>
      <c r="J57" s="233"/>
      <c r="K57" s="233"/>
      <c r="L57" s="2367"/>
      <c r="M57" s="2367"/>
      <c r="N57" s="2367"/>
    </row>
    <row r="58" spans="2:14" x14ac:dyDescent="0.2">
      <c r="B58" s="3023" t="s">
        <v>4677</v>
      </c>
      <c r="C58" s="3023"/>
      <c r="D58" s="3023"/>
      <c r="E58" s="3023"/>
      <c r="F58" s="3023"/>
      <c r="G58" s="3023"/>
      <c r="H58" s="3023"/>
      <c r="I58" s="3023"/>
      <c r="J58" s="766" t="str">
        <f>IF(J39-J51=J56,"In Balance","NOT BALANCED")</f>
        <v>In Balance</v>
      </c>
      <c r="K58" s="766" t="str">
        <f>IF(K39-K51=K56,"In Balance","NOT BALANCED")</f>
        <v>In Balance</v>
      </c>
      <c r="L58" s="2367"/>
      <c r="M58" s="2367"/>
      <c r="N58" s="2367"/>
    </row>
    <row r="59" spans="2:14" x14ac:dyDescent="0.2">
      <c r="J59" s="233"/>
      <c r="K59" s="233"/>
      <c r="L59" s="2367"/>
      <c r="M59" s="2367"/>
      <c r="N59" s="2367"/>
    </row>
    <row r="60" spans="2:14" x14ac:dyDescent="0.2">
      <c r="B60" s="399" t="s">
        <v>4678</v>
      </c>
      <c r="J60" s="2353" t="str">
        <f>CONCATENATE("FYE ",+TEXT(Data!$A$4,"mmmm d,yyyy"))</f>
        <v>FYE June 30,2022</v>
      </c>
      <c r="K60" s="2353" t="str">
        <f>CONCATENATE("FYE ",+TEXT(Data!$A$4,"mmmm d,yyyy"))</f>
        <v>FYE June 30,2022</v>
      </c>
      <c r="L60" s="2367"/>
      <c r="M60" s="2367"/>
      <c r="N60" s="2367"/>
    </row>
    <row r="61" spans="2:14" x14ac:dyDescent="0.2">
      <c r="B61" s="3025" t="s">
        <v>4679</v>
      </c>
      <c r="C61" s="3025"/>
      <c r="D61" s="3025"/>
      <c r="E61" s="3025"/>
      <c r="F61" s="3025"/>
      <c r="G61" s="3025"/>
      <c r="H61" s="3025"/>
      <c r="I61" s="3025"/>
      <c r="J61" s="233"/>
      <c r="K61" s="233"/>
      <c r="L61" s="2367"/>
      <c r="M61" s="2367"/>
      <c r="N61" s="2367"/>
    </row>
    <row r="62" spans="2:14" x14ac:dyDescent="0.2">
      <c r="B62" s="3024" t="s">
        <v>4680</v>
      </c>
      <c r="C62" s="3024"/>
      <c r="D62" s="3024"/>
      <c r="E62" s="3024"/>
      <c r="F62" s="3024"/>
      <c r="G62" s="3024"/>
      <c r="H62" s="3024"/>
      <c r="I62" s="3024"/>
      <c r="J62" s="475">
        <v>4521121.71</v>
      </c>
      <c r="K62" s="475">
        <v>245978380.83000001</v>
      </c>
      <c r="L62" s="2367"/>
      <c r="M62" s="2367"/>
      <c r="N62" s="2367"/>
    </row>
    <row r="63" spans="2:14" x14ac:dyDescent="0.2">
      <c r="B63" s="3024" t="s">
        <v>4681</v>
      </c>
      <c r="C63" s="3024"/>
      <c r="D63" s="3024"/>
      <c r="E63" s="3024"/>
      <c r="F63" s="3024"/>
      <c r="G63" s="3024"/>
      <c r="H63" s="3024"/>
      <c r="I63" s="3024"/>
      <c r="J63" s="233">
        <v>88847584.730000004</v>
      </c>
      <c r="K63" s="233">
        <v>443477282.44</v>
      </c>
      <c r="L63" s="2367"/>
      <c r="M63" s="2367"/>
      <c r="N63" s="2367"/>
    </row>
    <row r="64" spans="2:14" x14ac:dyDescent="0.2">
      <c r="B64" s="3014" t="s">
        <v>4682</v>
      </c>
      <c r="C64" s="3014"/>
      <c r="D64" s="3014"/>
      <c r="E64" s="3014"/>
      <c r="F64" s="3014"/>
      <c r="G64" s="3014"/>
      <c r="H64" s="3014"/>
      <c r="I64" s="3014"/>
      <c r="J64" s="233">
        <v>0</v>
      </c>
      <c r="K64" s="233">
        <v>0</v>
      </c>
      <c r="L64" s="2367"/>
      <c r="M64" s="2367"/>
      <c r="N64" s="2367"/>
    </row>
    <row r="65" spans="2:14" x14ac:dyDescent="0.2">
      <c r="B65" s="3024" t="s">
        <v>4683</v>
      </c>
      <c r="C65" s="3024"/>
      <c r="D65" s="3024"/>
      <c r="E65" s="3024"/>
      <c r="F65" s="3024"/>
      <c r="G65" s="3024"/>
      <c r="H65" s="3024"/>
      <c r="I65" s="3024"/>
      <c r="J65" s="476">
        <v>0</v>
      </c>
      <c r="K65" s="476">
        <v>0</v>
      </c>
      <c r="L65" s="2367"/>
      <c r="M65" s="2367"/>
      <c r="N65" s="2367"/>
    </row>
    <row r="66" spans="2:14" x14ac:dyDescent="0.2">
      <c r="B66" s="3024" t="s">
        <v>4684</v>
      </c>
      <c r="C66" s="3024"/>
      <c r="D66" s="3024"/>
      <c r="E66" s="3024"/>
      <c r="F66" s="3024"/>
      <c r="G66" s="3024"/>
      <c r="H66" s="3024"/>
      <c r="I66" s="3024"/>
      <c r="J66" s="403">
        <f>SUM(J62:J65)</f>
        <v>93368706.439999998</v>
      </c>
      <c r="K66" s="403">
        <f>SUM(K62:K65)</f>
        <v>689455663.26999998</v>
      </c>
      <c r="L66" s="2367"/>
      <c r="M66" s="2367"/>
      <c r="N66" s="2367"/>
    </row>
    <row r="67" spans="2:14" x14ac:dyDescent="0.2">
      <c r="B67" s="3025" t="s">
        <v>4685</v>
      </c>
      <c r="C67" s="3025"/>
      <c r="D67" s="3025"/>
      <c r="E67" s="3025"/>
      <c r="F67" s="3025"/>
      <c r="G67" s="3025"/>
      <c r="H67" s="3025"/>
      <c r="I67" s="3025"/>
      <c r="J67" s="233"/>
      <c r="K67" s="233"/>
      <c r="L67" s="2367"/>
      <c r="M67" s="2367"/>
      <c r="N67" s="2367"/>
    </row>
    <row r="68" spans="2:14" x14ac:dyDescent="0.2">
      <c r="B68" s="3024" t="s">
        <v>4686</v>
      </c>
      <c r="C68" s="3024"/>
      <c r="D68" s="3024"/>
      <c r="E68" s="3024"/>
      <c r="F68" s="3024"/>
      <c r="G68" s="3024"/>
      <c r="H68" s="3024"/>
      <c r="I68" s="3024"/>
      <c r="J68" s="233">
        <v>223910709.19999999</v>
      </c>
      <c r="K68" s="233">
        <v>1657864246.3399999</v>
      </c>
    </row>
    <row r="69" spans="2:14" x14ac:dyDescent="0.2">
      <c r="B69" s="3024" t="s">
        <v>4687</v>
      </c>
      <c r="C69" s="3024"/>
      <c r="D69" s="3024"/>
      <c r="E69" s="3024"/>
      <c r="F69" s="3024"/>
      <c r="G69" s="3024"/>
      <c r="H69" s="3024"/>
      <c r="I69" s="3024"/>
      <c r="J69" s="476">
        <v>-2693535.46</v>
      </c>
      <c r="K69" s="476">
        <v>-19188275.52</v>
      </c>
      <c r="L69" s="400"/>
      <c r="M69" s="400"/>
      <c r="N69" s="400"/>
    </row>
    <row r="70" spans="2:14" x14ac:dyDescent="0.2">
      <c r="B70" s="3024" t="s">
        <v>4688</v>
      </c>
      <c r="C70" s="3024"/>
      <c r="D70" s="3024"/>
      <c r="E70" s="3024"/>
      <c r="F70" s="3024"/>
      <c r="G70" s="3024"/>
      <c r="H70" s="3024"/>
      <c r="I70" s="3024"/>
      <c r="J70" s="403">
        <f>SUM(J68:J69)</f>
        <v>221217173.74000001</v>
      </c>
      <c r="K70" s="403">
        <f>SUM(K68:K69)</f>
        <v>1638675970.8199999</v>
      </c>
      <c r="L70" s="400"/>
      <c r="M70" s="400"/>
      <c r="N70" s="400"/>
    </row>
    <row r="71" spans="2:14" x14ac:dyDescent="0.2">
      <c r="B71" s="3025" t="s">
        <v>4689</v>
      </c>
      <c r="C71" s="3025"/>
      <c r="D71" s="3025"/>
      <c r="E71" s="3025"/>
      <c r="F71" s="3025"/>
      <c r="G71" s="3025"/>
      <c r="H71" s="3025"/>
      <c r="I71" s="3025"/>
      <c r="J71" s="233"/>
      <c r="K71" s="233"/>
      <c r="L71" s="394"/>
      <c r="M71" s="394"/>
      <c r="N71" s="394"/>
    </row>
    <row r="72" spans="2:14" x14ac:dyDescent="0.2">
      <c r="B72" s="3024" t="s">
        <v>4690</v>
      </c>
      <c r="C72" s="3024"/>
      <c r="D72" s="3024"/>
      <c r="E72" s="3024"/>
      <c r="F72" s="3024"/>
      <c r="G72" s="3024"/>
      <c r="H72" s="3024"/>
      <c r="I72" s="3024"/>
      <c r="J72" s="233">
        <v>0</v>
      </c>
      <c r="K72" s="233">
        <v>0</v>
      </c>
      <c r="L72" s="394"/>
      <c r="M72" s="394"/>
      <c r="N72" s="394"/>
    </row>
    <row r="73" spans="2:14" x14ac:dyDescent="0.2">
      <c r="B73" s="3024" t="s">
        <v>4691</v>
      </c>
      <c r="C73" s="3024"/>
      <c r="D73" s="3024"/>
      <c r="E73" s="3024"/>
      <c r="F73" s="3024"/>
      <c r="G73" s="3024"/>
      <c r="H73" s="3024"/>
      <c r="I73" s="3024"/>
      <c r="J73" s="233">
        <v>1109407.24</v>
      </c>
      <c r="K73" s="233">
        <v>14010076.33</v>
      </c>
      <c r="L73" s="394"/>
      <c r="M73" s="394"/>
      <c r="N73" s="394"/>
    </row>
    <row r="74" spans="2:14" x14ac:dyDescent="0.2">
      <c r="B74" s="3024" t="s">
        <v>4692</v>
      </c>
      <c r="C74" s="3024"/>
      <c r="D74" s="3024"/>
      <c r="E74" s="3024"/>
      <c r="F74" s="3024"/>
      <c r="G74" s="3024"/>
      <c r="H74" s="3024"/>
      <c r="I74" s="3024"/>
      <c r="J74" s="233">
        <v>508763.32</v>
      </c>
      <c r="K74" s="233">
        <v>3413496.62</v>
      </c>
      <c r="L74" s="394"/>
      <c r="M74" s="394"/>
      <c r="N74" s="394"/>
    </row>
    <row r="75" spans="2:14" x14ac:dyDescent="0.2">
      <c r="B75" s="3024" t="s">
        <v>4693</v>
      </c>
      <c r="C75" s="3024"/>
      <c r="D75" s="3024"/>
      <c r="E75" s="3024"/>
      <c r="F75" s="3024"/>
      <c r="G75" s="3024"/>
      <c r="H75" s="3024"/>
      <c r="I75" s="3024"/>
      <c r="J75" s="403">
        <f>SUM(J72:J74)</f>
        <v>1618170.56</v>
      </c>
      <c r="K75" s="403">
        <f>SUM(K72:K74)</f>
        <v>17423572.949999999</v>
      </c>
      <c r="L75" s="2367"/>
      <c r="M75" s="2367"/>
      <c r="N75" s="2367"/>
    </row>
    <row r="76" spans="2:14" x14ac:dyDescent="0.2">
      <c r="B76" s="3024" t="s">
        <v>4694</v>
      </c>
      <c r="C76" s="3024"/>
      <c r="D76" s="3024"/>
      <c r="E76" s="3024"/>
      <c r="F76" s="3024"/>
      <c r="G76" s="3024"/>
      <c r="H76" s="3024"/>
      <c r="I76" s="3024"/>
      <c r="J76" s="403">
        <f>J66+J70+J75</f>
        <v>316204050.74000001</v>
      </c>
      <c r="K76" s="403">
        <f>K66+K70+K75</f>
        <v>2345555207.04</v>
      </c>
      <c r="L76" s="2367"/>
      <c r="M76" s="2367"/>
      <c r="N76" s="2367"/>
    </row>
    <row r="77" spans="2:14" x14ac:dyDescent="0.2">
      <c r="B77" s="2367"/>
      <c r="J77" s="233"/>
      <c r="K77" s="233"/>
      <c r="L77" s="2367"/>
      <c r="M77" s="2367"/>
      <c r="N77" s="2367"/>
    </row>
    <row r="78" spans="2:14" x14ac:dyDescent="0.2">
      <c r="B78" s="3026" t="s">
        <v>4695</v>
      </c>
      <c r="C78" s="3026"/>
      <c r="D78" s="3026"/>
      <c r="E78" s="3026"/>
      <c r="F78" s="3026"/>
      <c r="G78" s="3026"/>
      <c r="H78" s="3026"/>
      <c r="I78" s="3026"/>
      <c r="J78" s="233"/>
      <c r="K78" s="233"/>
      <c r="L78" s="2367"/>
      <c r="M78" s="2367"/>
      <c r="N78" s="2367"/>
    </row>
    <row r="79" spans="2:14" x14ac:dyDescent="0.2">
      <c r="B79" s="3024" t="s">
        <v>2784</v>
      </c>
      <c r="C79" s="3024"/>
      <c r="D79" s="3024"/>
      <c r="E79" s="3024"/>
      <c r="F79" s="3024"/>
      <c r="G79" s="3024"/>
      <c r="H79" s="3024"/>
      <c r="I79" s="3024"/>
      <c r="J79" s="233">
        <v>122309834.73</v>
      </c>
      <c r="K79" s="233">
        <v>766986896.95000005</v>
      </c>
      <c r="L79" s="2367"/>
      <c r="M79" s="2367"/>
      <c r="N79" s="2367"/>
    </row>
    <row r="80" spans="2:14" x14ac:dyDescent="0.2">
      <c r="B80" s="3024" t="s">
        <v>4316</v>
      </c>
      <c r="C80" s="3024"/>
      <c r="D80" s="3024"/>
      <c r="E80" s="3024"/>
      <c r="F80" s="3024"/>
      <c r="G80" s="3024"/>
      <c r="H80" s="3024"/>
      <c r="I80" s="3024"/>
      <c r="J80" s="233">
        <v>0</v>
      </c>
      <c r="K80" s="233">
        <v>0</v>
      </c>
      <c r="L80" s="2367"/>
      <c r="M80" s="2367"/>
      <c r="N80" s="2367"/>
    </row>
    <row r="81" spans="2:14" x14ac:dyDescent="0.2">
      <c r="B81" s="3024" t="s">
        <v>4696</v>
      </c>
      <c r="C81" s="3024"/>
      <c r="D81" s="3024"/>
      <c r="E81" s="3024"/>
      <c r="F81" s="3024"/>
      <c r="G81" s="3024"/>
      <c r="H81" s="3024"/>
      <c r="I81" s="3024"/>
      <c r="J81" s="233">
        <v>1966162.13</v>
      </c>
      <c r="K81" s="233">
        <v>10132639.289999999</v>
      </c>
      <c r="L81" s="2367"/>
      <c r="M81" s="2367"/>
      <c r="N81" s="2367"/>
    </row>
    <row r="82" spans="2:14" x14ac:dyDescent="0.2">
      <c r="B82" s="3024" t="s">
        <v>4698</v>
      </c>
      <c r="C82" s="3024"/>
      <c r="D82" s="3024"/>
      <c r="E82" s="3024"/>
      <c r="F82" s="3024"/>
      <c r="G82" s="3024"/>
      <c r="H82" s="3024"/>
      <c r="I82" s="3024"/>
      <c r="J82" s="476">
        <v>0</v>
      </c>
      <c r="K82" s="476">
        <v>0</v>
      </c>
      <c r="L82" s="2367"/>
      <c r="M82" s="2367"/>
      <c r="N82" s="2367"/>
    </row>
    <row r="83" spans="2:14" x14ac:dyDescent="0.2">
      <c r="B83" s="3024" t="s">
        <v>4699</v>
      </c>
      <c r="C83" s="3024"/>
      <c r="D83" s="3024"/>
      <c r="E83" s="3024"/>
      <c r="F83" s="3024"/>
      <c r="G83" s="3024"/>
      <c r="H83" s="3024"/>
      <c r="I83" s="3024"/>
      <c r="J83" s="403">
        <f>SUM(J79:J82)</f>
        <v>124275996.86</v>
      </c>
      <c r="K83" s="403">
        <f>SUM(K79:K82)</f>
        <v>777119536.24000001</v>
      </c>
      <c r="L83" s="2367"/>
      <c r="M83" s="2367"/>
      <c r="N83" s="2367"/>
    </row>
    <row r="84" spans="2:14" x14ac:dyDescent="0.2">
      <c r="B84" s="3024" t="s">
        <v>4700</v>
      </c>
      <c r="C84" s="3024"/>
      <c r="D84" s="3024"/>
      <c r="E84" s="3024"/>
      <c r="F84" s="3024"/>
      <c r="G84" s="3024"/>
      <c r="H84" s="3024"/>
      <c r="I84" s="3024"/>
      <c r="J84" s="615">
        <f>J76-J83</f>
        <v>191928053.88</v>
      </c>
      <c r="K84" s="615">
        <f>K76-K83</f>
        <v>1568435670.8</v>
      </c>
      <c r="L84" s="2367"/>
      <c r="M84" s="2367"/>
      <c r="N84" s="2367"/>
    </row>
    <row r="85" spans="2:14" x14ac:dyDescent="0.2">
      <c r="B85" s="3022" t="s">
        <v>5420</v>
      </c>
      <c r="C85" s="3022"/>
      <c r="D85" s="3022"/>
      <c r="E85" s="3022"/>
      <c r="F85" s="3022"/>
      <c r="G85" s="3022"/>
      <c r="H85" s="3022"/>
      <c r="I85" s="3022"/>
      <c r="J85" s="616">
        <v>1796027273.3099999</v>
      </c>
      <c r="K85" s="616">
        <v>13095577599.01</v>
      </c>
      <c r="L85" s="2367"/>
      <c r="M85" s="2367"/>
      <c r="N85" s="2367"/>
    </row>
    <row r="86" spans="2:14" x14ac:dyDescent="0.2">
      <c r="B86" s="3022" t="s">
        <v>4702</v>
      </c>
      <c r="C86" s="3022"/>
      <c r="D86" s="3022"/>
      <c r="E86" s="3022"/>
      <c r="F86" s="3022"/>
      <c r="G86" s="3022"/>
      <c r="H86" s="3022"/>
      <c r="I86" s="3022"/>
      <c r="J86" s="476">
        <v>0</v>
      </c>
      <c r="K86" s="476">
        <v>0</v>
      </c>
      <c r="L86" s="2367"/>
      <c r="M86" s="2367"/>
      <c r="N86" s="2367"/>
    </row>
    <row r="87" spans="2:14" ht="13.5" thickBot="1" x14ac:dyDescent="0.25">
      <c r="B87" s="3022" t="s">
        <v>5421</v>
      </c>
      <c r="C87" s="3022"/>
      <c r="D87" s="3022"/>
      <c r="E87" s="3022"/>
      <c r="F87" s="3022"/>
      <c r="G87" s="3022"/>
      <c r="H87" s="3022"/>
      <c r="I87" s="3022"/>
      <c r="J87" s="405">
        <f>SUM(J84:J86)</f>
        <v>1987955327.1900001</v>
      </c>
      <c r="K87" s="405">
        <f>SUM(K84:K86)</f>
        <v>14664013269.809999</v>
      </c>
      <c r="L87" s="393"/>
      <c r="M87" s="393"/>
      <c r="N87" s="393"/>
    </row>
    <row r="88" spans="2:14" ht="13.5" thickTop="1" x14ac:dyDescent="0.2">
      <c r="J88" s="233"/>
      <c r="K88" s="233"/>
      <c r="L88" s="401"/>
      <c r="M88" s="401"/>
      <c r="N88" s="401"/>
    </row>
    <row r="89" spans="2:14" x14ac:dyDescent="0.2">
      <c r="J89" s="233"/>
      <c r="K89" s="233"/>
      <c r="L89" s="393"/>
      <c r="M89" s="393"/>
      <c r="N89" s="393"/>
    </row>
    <row r="90" spans="2:14" x14ac:dyDescent="0.2">
      <c r="B90" s="3023" t="s">
        <v>5422</v>
      </c>
      <c r="C90" s="3023"/>
      <c r="D90" s="3023"/>
      <c r="E90" s="3023"/>
      <c r="F90" s="3023"/>
      <c r="G90" s="3023"/>
      <c r="H90" s="3023"/>
      <c r="I90" s="3023"/>
      <c r="J90" s="766" t="str">
        <f>IF(J56=J87,"In Balance","NOT BALANCED")</f>
        <v>In Balance</v>
      </c>
      <c r="K90" s="766" t="str">
        <f>IF(K56=K87,"In Balance","NOT BALANCED")</f>
        <v>In Balance</v>
      </c>
      <c r="L90" s="394"/>
      <c r="M90" s="394"/>
      <c r="N90" s="394"/>
    </row>
    <row r="91" spans="2:14" x14ac:dyDescent="0.2">
      <c r="K91" s="394"/>
      <c r="L91" s="394"/>
      <c r="M91" s="394"/>
      <c r="N91" s="394"/>
    </row>
    <row r="92" spans="2:14" x14ac:dyDescent="0.2">
      <c r="K92" s="2367"/>
      <c r="L92" s="2367"/>
      <c r="M92" s="2367"/>
      <c r="N92" s="2367"/>
    </row>
    <row r="93" spans="2:14" x14ac:dyDescent="0.2">
      <c r="K93" s="2367"/>
      <c r="L93" s="2367"/>
      <c r="M93" s="2367"/>
      <c r="N93" s="2367"/>
    </row>
    <row r="94" spans="2:14" x14ac:dyDescent="0.2">
      <c r="K94" s="2367"/>
      <c r="L94" s="2367"/>
      <c r="M94" s="2367"/>
      <c r="N94" s="2367"/>
    </row>
    <row r="95" spans="2:14" x14ac:dyDescent="0.2">
      <c r="K95" s="2367"/>
      <c r="L95" s="2367"/>
      <c r="M95" s="2367"/>
      <c r="N95" s="2367"/>
    </row>
    <row r="96" spans="2:14" x14ac:dyDescent="0.2">
      <c r="K96" s="2367"/>
      <c r="L96" s="2367"/>
      <c r="M96" s="2367"/>
      <c r="N96" s="2367"/>
    </row>
    <row r="97" spans="11:14" x14ac:dyDescent="0.2">
      <c r="K97" s="2367"/>
      <c r="L97" s="2367"/>
      <c r="M97" s="2367"/>
      <c r="N97" s="2367"/>
    </row>
    <row r="98" spans="11:14" x14ac:dyDescent="0.2">
      <c r="K98" s="2367"/>
      <c r="L98" s="2367"/>
      <c r="M98" s="2367"/>
      <c r="N98" s="2367"/>
    </row>
    <row r="99" spans="11:14" x14ac:dyDescent="0.2">
      <c r="K99" s="2367"/>
      <c r="L99" s="2367"/>
      <c r="M99" s="2367"/>
      <c r="N99" s="2367"/>
    </row>
    <row r="100" spans="11:14" x14ac:dyDescent="0.2">
      <c r="K100" s="2367"/>
      <c r="L100" s="2367"/>
      <c r="M100" s="2367"/>
      <c r="N100" s="2367"/>
    </row>
    <row r="101" spans="11:14" x14ac:dyDescent="0.2">
      <c r="K101" s="2367"/>
      <c r="L101" s="2367"/>
      <c r="M101" s="2367"/>
      <c r="N101" s="2367"/>
    </row>
    <row r="102" spans="11:14" x14ac:dyDescent="0.2">
      <c r="K102" s="393"/>
      <c r="L102" s="393"/>
      <c r="M102" s="393"/>
      <c r="N102" s="393"/>
    </row>
    <row r="103" spans="11:14" x14ac:dyDescent="0.2">
      <c r="K103" s="392"/>
      <c r="L103" s="392"/>
      <c r="M103" s="392"/>
      <c r="N103" s="392"/>
    </row>
    <row r="104" spans="11:14" x14ac:dyDescent="0.2">
      <c r="K104" s="2367"/>
      <c r="L104" s="2367"/>
      <c r="M104" s="2367"/>
      <c r="N104" s="2367"/>
    </row>
    <row r="105" spans="11:14" x14ac:dyDescent="0.2">
      <c r="K105" s="393"/>
      <c r="L105" s="393"/>
      <c r="M105" s="393"/>
      <c r="N105" s="393"/>
    </row>
    <row r="106" spans="11:14" x14ac:dyDescent="0.2">
      <c r="K106" s="393"/>
      <c r="L106" s="393"/>
      <c r="M106" s="393"/>
      <c r="N106" s="393"/>
    </row>
    <row r="107" spans="11:14" x14ac:dyDescent="0.2">
      <c r="K107" s="2367"/>
      <c r="L107" s="2367"/>
      <c r="M107" s="2367"/>
      <c r="N107" s="2367"/>
    </row>
    <row r="108" spans="11:14" x14ac:dyDescent="0.2">
      <c r="K108" s="393"/>
      <c r="L108" s="393"/>
      <c r="M108" s="393"/>
      <c r="N108" s="393"/>
    </row>
    <row r="109" spans="11:14" x14ac:dyDescent="0.2">
      <c r="K109" s="2367"/>
      <c r="L109" s="2367"/>
      <c r="M109" s="2367"/>
      <c r="N109" s="2367"/>
    </row>
    <row r="110" spans="11:14" x14ac:dyDescent="0.2">
      <c r="K110" s="2367"/>
      <c r="L110" s="2367"/>
      <c r="M110" s="2367"/>
      <c r="N110" s="2367"/>
    </row>
    <row r="111" spans="11:14" x14ac:dyDescent="0.2">
      <c r="K111" s="2367"/>
      <c r="L111" s="2367"/>
      <c r="M111" s="2367"/>
      <c r="N111" s="2367"/>
    </row>
    <row r="112" spans="11:14" x14ac:dyDescent="0.2">
      <c r="K112" s="2367"/>
      <c r="L112" s="2367"/>
      <c r="M112" s="2367"/>
      <c r="N112" s="2367"/>
    </row>
    <row r="113" spans="11:14" x14ac:dyDescent="0.2">
      <c r="K113" s="2367"/>
      <c r="L113" s="2367"/>
      <c r="M113" s="2367"/>
      <c r="N113" s="2367"/>
    </row>
    <row r="114" spans="11:14" x14ac:dyDescent="0.2">
      <c r="K114" s="2367"/>
      <c r="L114" s="2367"/>
      <c r="M114" s="2367"/>
      <c r="N114" s="2367"/>
    </row>
    <row r="115" spans="11:14" x14ac:dyDescent="0.2">
      <c r="K115" s="2367"/>
      <c r="L115" s="2367"/>
      <c r="M115" s="2367"/>
      <c r="N115" s="2367"/>
    </row>
    <row r="116" spans="11:14" x14ac:dyDescent="0.2">
      <c r="K116" s="2367"/>
      <c r="L116" s="2367"/>
      <c r="M116" s="2367"/>
      <c r="N116" s="2367"/>
    </row>
    <row r="117" spans="11:14" x14ac:dyDescent="0.2">
      <c r="K117" s="393"/>
      <c r="L117" s="393"/>
      <c r="M117" s="393"/>
      <c r="N117" s="393"/>
    </row>
    <row r="118" spans="11:14" x14ac:dyDescent="0.2">
      <c r="K118" s="393"/>
      <c r="L118" s="393"/>
      <c r="M118" s="393"/>
      <c r="N118" s="393"/>
    </row>
    <row r="120" spans="11:14" x14ac:dyDescent="0.2">
      <c r="K120" s="400"/>
      <c r="L120" s="400"/>
      <c r="M120" s="400"/>
      <c r="N120" s="400"/>
    </row>
    <row r="121" spans="11:14" x14ac:dyDescent="0.2">
      <c r="K121" s="400"/>
      <c r="L121" s="400"/>
      <c r="M121" s="400"/>
      <c r="N121" s="400"/>
    </row>
    <row r="122" spans="11:14" x14ac:dyDescent="0.2">
      <c r="K122" s="400"/>
      <c r="L122" s="400"/>
      <c r="M122" s="400"/>
      <c r="N122" s="400"/>
    </row>
    <row r="123" spans="11:14" x14ac:dyDescent="0.2">
      <c r="K123" s="400"/>
      <c r="L123" s="400"/>
      <c r="M123" s="400"/>
      <c r="N123" s="400"/>
    </row>
    <row r="124" spans="11:14" x14ac:dyDescent="0.2">
      <c r="K124" s="2367"/>
      <c r="L124" s="2367"/>
      <c r="M124" s="2367"/>
      <c r="N124" s="2367"/>
    </row>
    <row r="125" spans="11:14" x14ac:dyDescent="0.2">
      <c r="K125" s="402"/>
      <c r="L125" s="402"/>
      <c r="M125" s="402"/>
      <c r="N125" s="402"/>
    </row>
    <row r="126" spans="11:14" x14ac:dyDescent="0.2">
      <c r="K126" s="2367"/>
      <c r="L126" s="2367"/>
      <c r="M126" s="2367"/>
      <c r="N126" s="2367"/>
    </row>
    <row r="127" spans="11:14" x14ac:dyDescent="0.2">
      <c r="K127" s="2367"/>
      <c r="L127" s="2367"/>
      <c r="M127" s="2367"/>
      <c r="N127" s="2367"/>
    </row>
    <row r="128" spans="11:14" x14ac:dyDescent="0.2">
      <c r="K128" s="2367"/>
      <c r="L128" s="2367"/>
      <c r="M128" s="2367"/>
      <c r="N128" s="2367"/>
    </row>
    <row r="129" spans="11:14" x14ac:dyDescent="0.2">
      <c r="K129" s="2367"/>
      <c r="L129" s="2367"/>
      <c r="M129" s="2367"/>
      <c r="N129" s="2367"/>
    </row>
    <row r="130" spans="11:14" x14ac:dyDescent="0.2">
      <c r="K130" s="2367"/>
      <c r="L130" s="2367"/>
      <c r="M130" s="2367"/>
      <c r="N130" s="2367"/>
    </row>
    <row r="131" spans="11:14" x14ac:dyDescent="0.2">
      <c r="K131" s="2367"/>
      <c r="L131" s="2367"/>
      <c r="M131" s="2367"/>
      <c r="N131" s="2367"/>
    </row>
    <row r="132" spans="11:14" x14ac:dyDescent="0.2">
      <c r="K132" s="2367"/>
      <c r="L132" s="2367"/>
      <c r="M132" s="2367"/>
      <c r="N132" s="2367"/>
    </row>
    <row r="133" spans="11:14" x14ac:dyDescent="0.2">
      <c r="K133" s="2367"/>
      <c r="L133" s="2367"/>
      <c r="M133" s="2367"/>
      <c r="N133" s="2367"/>
    </row>
    <row r="134" spans="11:14" x14ac:dyDescent="0.2">
      <c r="K134" s="2367"/>
      <c r="L134" s="2367"/>
      <c r="M134" s="2367"/>
      <c r="N134" s="2367"/>
    </row>
    <row r="135" spans="11:14" x14ac:dyDescent="0.2">
      <c r="K135" s="402"/>
      <c r="L135" s="402"/>
      <c r="M135" s="402"/>
      <c r="N135" s="402"/>
    </row>
    <row r="136" spans="11:14" x14ac:dyDescent="0.2">
      <c r="K136" s="2367"/>
      <c r="L136" s="2367"/>
      <c r="M136" s="2367"/>
      <c r="N136" s="2367"/>
    </row>
    <row r="137" spans="11:14" x14ac:dyDescent="0.2">
      <c r="K137" s="2367"/>
      <c r="L137" s="2367"/>
      <c r="M137" s="2367"/>
      <c r="N137" s="2367"/>
    </row>
    <row r="138" spans="11:14" x14ac:dyDescent="0.2">
      <c r="K138" s="2367"/>
      <c r="L138" s="2367"/>
      <c r="M138" s="2367"/>
      <c r="N138" s="2367"/>
    </row>
    <row r="139" spans="11:14" x14ac:dyDescent="0.2">
      <c r="K139" s="2367"/>
      <c r="L139" s="2367"/>
      <c r="M139" s="2367"/>
      <c r="N139" s="2367"/>
    </row>
    <row r="140" spans="11:14" x14ac:dyDescent="0.2">
      <c r="K140" s="2367"/>
      <c r="L140" s="2367"/>
      <c r="M140" s="2367"/>
      <c r="N140" s="2367"/>
    </row>
    <row r="141" spans="11:14" x14ac:dyDescent="0.2">
      <c r="K141" s="2367"/>
      <c r="L141" s="2367"/>
      <c r="M141" s="2367"/>
      <c r="N141" s="2367"/>
    </row>
    <row r="142" spans="11:14" x14ac:dyDescent="0.2">
      <c r="K142" s="2367"/>
      <c r="L142" s="2367"/>
      <c r="M142" s="2367"/>
      <c r="N142" s="2367"/>
    </row>
    <row r="143" spans="11:14" x14ac:dyDescent="0.2">
      <c r="K143" s="2367"/>
      <c r="L143" s="2367"/>
      <c r="M143" s="2367"/>
      <c r="N143" s="2367"/>
    </row>
    <row r="144" spans="11:14" x14ac:dyDescent="0.2">
      <c r="K144" s="2367"/>
      <c r="L144" s="2367"/>
      <c r="M144" s="2367"/>
      <c r="N144" s="2367"/>
    </row>
    <row r="145" spans="11:14" x14ac:dyDescent="0.2">
      <c r="K145" s="2367"/>
      <c r="L145" s="2367"/>
      <c r="M145" s="2367"/>
      <c r="N145" s="2367"/>
    </row>
    <row r="146" spans="11:14" x14ac:dyDescent="0.2">
      <c r="K146" s="2367"/>
      <c r="L146" s="2367"/>
      <c r="M146" s="2367"/>
      <c r="N146" s="2367"/>
    </row>
    <row r="147" spans="11:14" x14ac:dyDescent="0.2">
      <c r="K147" s="392"/>
      <c r="L147" s="392"/>
      <c r="M147" s="392"/>
      <c r="N147" s="392"/>
    </row>
    <row r="148" spans="11:14" x14ac:dyDescent="0.2">
      <c r="K148" s="2367"/>
      <c r="L148" s="2367"/>
      <c r="M148" s="2367"/>
      <c r="N148" s="2367"/>
    </row>
    <row r="149" spans="11:14" x14ac:dyDescent="0.2">
      <c r="K149" s="2367"/>
      <c r="L149" s="2367"/>
      <c r="M149" s="2367"/>
      <c r="N149" s="2367"/>
    </row>
    <row r="150" spans="11:14" x14ac:dyDescent="0.2">
      <c r="K150" s="2367"/>
      <c r="L150" s="2367"/>
      <c r="M150" s="2367"/>
      <c r="N150" s="2367"/>
    </row>
    <row r="151" spans="11:14" x14ac:dyDescent="0.2">
      <c r="K151" s="2367"/>
      <c r="L151" s="2367"/>
      <c r="M151" s="2367"/>
      <c r="N151" s="2367"/>
    </row>
    <row r="152" spans="11:14" x14ac:dyDescent="0.2">
      <c r="K152" s="2367"/>
      <c r="L152" s="2367"/>
      <c r="M152" s="2367"/>
      <c r="N152" s="2367"/>
    </row>
    <row r="153" spans="11:14" x14ac:dyDescent="0.2">
      <c r="K153" s="2367"/>
      <c r="L153" s="2367"/>
      <c r="M153" s="2367"/>
      <c r="N153" s="2367"/>
    </row>
    <row r="154" spans="11:14" x14ac:dyDescent="0.2">
      <c r="K154" s="2367"/>
      <c r="L154" s="2367"/>
      <c r="M154" s="2367"/>
      <c r="N154" s="2367"/>
    </row>
    <row r="155" spans="11:14" x14ac:dyDescent="0.2">
      <c r="K155" s="2367"/>
      <c r="L155" s="2367"/>
      <c r="M155" s="2367"/>
      <c r="N155" s="2367"/>
    </row>
    <row r="156" spans="11:14" x14ac:dyDescent="0.2">
      <c r="K156" s="2367"/>
      <c r="L156" s="2367"/>
      <c r="M156" s="2367"/>
      <c r="N156" s="2367"/>
    </row>
    <row r="157" spans="11:14" x14ac:dyDescent="0.2">
      <c r="K157" s="2367"/>
      <c r="L157" s="2367"/>
      <c r="M157" s="2367"/>
      <c r="N157" s="2367"/>
    </row>
    <row r="158" spans="11:14" x14ac:dyDescent="0.2">
      <c r="K158" s="2367"/>
      <c r="L158" s="2367"/>
      <c r="M158" s="2367"/>
      <c r="N158" s="2367"/>
    </row>
    <row r="159" spans="11:14" x14ac:dyDescent="0.2">
      <c r="K159" s="2367"/>
      <c r="L159" s="2367"/>
      <c r="M159" s="2367"/>
      <c r="N159" s="2367"/>
    </row>
    <row r="160" spans="11:14" x14ac:dyDescent="0.2">
      <c r="K160" s="2367"/>
      <c r="L160" s="2367"/>
      <c r="M160" s="2367"/>
      <c r="N160" s="2367"/>
    </row>
    <row r="161" spans="11:14" x14ac:dyDescent="0.2">
      <c r="K161" s="2367"/>
      <c r="L161" s="2367"/>
      <c r="M161" s="2367"/>
      <c r="N161" s="2367"/>
    </row>
    <row r="162" spans="11:14" x14ac:dyDescent="0.2">
      <c r="K162" s="2367"/>
      <c r="L162" s="2367"/>
      <c r="M162" s="2367"/>
      <c r="N162" s="2367"/>
    </row>
    <row r="163" spans="11:14" x14ac:dyDescent="0.2">
      <c r="K163" s="2367"/>
      <c r="L163" s="2367"/>
      <c r="M163" s="2367"/>
      <c r="N163" s="2367"/>
    </row>
    <row r="164" spans="11:14" x14ac:dyDescent="0.2">
      <c r="K164" s="2367"/>
      <c r="L164" s="2367"/>
      <c r="M164" s="2367"/>
      <c r="N164" s="2367"/>
    </row>
    <row r="165" spans="11:14" x14ac:dyDescent="0.2">
      <c r="K165" s="2367"/>
      <c r="L165" s="2367"/>
      <c r="M165" s="2367"/>
      <c r="N165" s="2367"/>
    </row>
    <row r="166" spans="11:14" x14ac:dyDescent="0.2">
      <c r="K166" s="2367"/>
      <c r="L166" s="2367"/>
      <c r="M166" s="2367"/>
      <c r="N166" s="2367"/>
    </row>
    <row r="167" spans="11:14" x14ac:dyDescent="0.2">
      <c r="K167" s="2367"/>
      <c r="L167" s="2367"/>
      <c r="M167" s="2367"/>
      <c r="N167" s="2367"/>
    </row>
    <row r="168" spans="11:14" x14ac:dyDescent="0.2">
      <c r="K168" s="2367"/>
      <c r="L168" s="2367"/>
      <c r="M168" s="2367"/>
      <c r="N168" s="2367"/>
    </row>
    <row r="169" spans="11:14" x14ac:dyDescent="0.2">
      <c r="K169" s="2367"/>
      <c r="L169" s="2367"/>
      <c r="M169" s="2367"/>
      <c r="N169" s="2367"/>
    </row>
  </sheetData>
  <sheetProtection algorithmName="SHA-512" hashValue="tnUfSRZCiW+w3XT0dH3rOBYPDpFDYMk3eVlEp/PNKJJ43Hf+f1QZyTDGKidMwKECDKi+hR4QnJsBqDUzDzpIhw==" saltValue="KXqlKFOMwW3fshWTJWVF/w==" spinCount="100000" sheet="1" objects="1" scenarios="1" autoFilter="0"/>
  <mergeCells count="74">
    <mergeCell ref="D6:G6"/>
    <mergeCell ref="B1:J1"/>
    <mergeCell ref="K1:K3"/>
    <mergeCell ref="B2:J2"/>
    <mergeCell ref="B3:J3"/>
    <mergeCell ref="H5:J5"/>
    <mergeCell ref="B22:I22"/>
    <mergeCell ref="G7:J7"/>
    <mergeCell ref="B11:I11"/>
    <mergeCell ref="B13:I13"/>
    <mergeCell ref="B14:I14"/>
    <mergeCell ref="B15:I15"/>
    <mergeCell ref="B16:I16"/>
    <mergeCell ref="B17:I17"/>
    <mergeCell ref="B18:I18"/>
    <mergeCell ref="B19:I19"/>
    <mergeCell ref="B20:I20"/>
    <mergeCell ref="B21:I21"/>
    <mergeCell ref="B35:I35"/>
    <mergeCell ref="B23:I23"/>
    <mergeCell ref="B24:I24"/>
    <mergeCell ref="B25:I25"/>
    <mergeCell ref="B26:I26"/>
    <mergeCell ref="B27:I27"/>
    <mergeCell ref="B28:I28"/>
    <mergeCell ref="B29:I29"/>
    <mergeCell ref="B31:I31"/>
    <mergeCell ref="B32:I32"/>
    <mergeCell ref="B33:I33"/>
    <mergeCell ref="B34:I34"/>
    <mergeCell ref="B50:I50"/>
    <mergeCell ref="B36:I36"/>
    <mergeCell ref="B37:I37"/>
    <mergeCell ref="B38:I38"/>
    <mergeCell ref="B39:I39"/>
    <mergeCell ref="B43:I43"/>
    <mergeCell ref="B44:I44"/>
    <mergeCell ref="B45:I45"/>
    <mergeCell ref="B46:I46"/>
    <mergeCell ref="B47:I47"/>
    <mergeCell ref="B48:I48"/>
    <mergeCell ref="B49:I49"/>
    <mergeCell ref="B67:I67"/>
    <mergeCell ref="B51:I51"/>
    <mergeCell ref="B54:I54"/>
    <mergeCell ref="B55:I55"/>
    <mergeCell ref="B56:I56"/>
    <mergeCell ref="B58:I58"/>
    <mergeCell ref="B61:I61"/>
    <mergeCell ref="B62:I62"/>
    <mergeCell ref="B63:I63"/>
    <mergeCell ref="B64:I64"/>
    <mergeCell ref="B65:I65"/>
    <mergeCell ref="B66:I66"/>
    <mergeCell ref="B80:I80"/>
    <mergeCell ref="B68:I68"/>
    <mergeCell ref="B69:I69"/>
    <mergeCell ref="B70:I70"/>
    <mergeCell ref="B71:I71"/>
    <mergeCell ref="B72:I72"/>
    <mergeCell ref="B73:I73"/>
    <mergeCell ref="B74:I74"/>
    <mergeCell ref="B75:I75"/>
    <mergeCell ref="B76:I76"/>
    <mergeCell ref="B78:I78"/>
    <mergeCell ref="B79:I79"/>
    <mergeCell ref="B87:I87"/>
    <mergeCell ref="B90:I90"/>
    <mergeCell ref="B81:I81"/>
    <mergeCell ref="B82:I82"/>
    <mergeCell ref="B83:I83"/>
    <mergeCell ref="B84:I84"/>
    <mergeCell ref="B85:I85"/>
    <mergeCell ref="B86:I86"/>
  </mergeCells>
  <conditionalFormatting sqref="K1:K3">
    <cfRule type="cellIs" dxfId="0" priority="1" stopIfTrue="1" operator="equal">
      <formula>"na"</formula>
    </cfRule>
  </conditionalFormatting>
  <hyperlinks>
    <hyperlink ref="B1:J1" location="Index!A1" display="Index!A1" xr:uid="{00000000-0004-0000-5B00-000000000000}"/>
  </hyperlinks>
  <printOptions headings="1" gridLines="1"/>
  <pageMargins left="0.75" right="0.5" top="0.5" bottom="0.5" header="0.5" footer="0.25"/>
  <pageSetup scale="87" fitToHeight="2" orientation="portrait" r:id="rId1"/>
  <headerFooter alignWithMargins="0">
    <oddFooter>&amp;R&amp;A (&amp;P of &amp;N)</oddFooter>
  </headerFooter>
  <rowBreaks count="1" manualBreakCount="1">
    <brk id="59" min="1" max="10" man="1"/>
  </rowBreaks>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77">
    <tabColor rgb="FFFFFF00"/>
  </sheetPr>
  <dimension ref="A1:T150"/>
  <sheetViews>
    <sheetView topLeftCell="B1" zoomScaleNormal="100" workbookViewId="0">
      <pane ySplit="2" topLeftCell="A3" activePane="bottomLeft" state="frozen"/>
      <selection sqref="A1:E1"/>
      <selection pane="bottomLeft" activeCell="B2" sqref="B2"/>
    </sheetView>
  </sheetViews>
  <sheetFormatPr defaultColWidth="9.42578125" defaultRowHeight="15.75" x14ac:dyDescent="0.25"/>
  <cols>
    <col min="1" max="1" width="11.42578125" style="231" hidden="1" customWidth="1"/>
    <col min="2" max="2" width="8.5703125" style="231" customWidth="1"/>
    <col min="3" max="3" width="15.5703125" style="231" customWidth="1"/>
    <col min="4" max="4" width="42.42578125" style="231" customWidth="1"/>
    <col min="5" max="6" width="10.5703125" style="231" customWidth="1"/>
    <col min="7" max="7" width="21.5703125" style="474" bestFit="1" customWidth="1"/>
    <col min="8" max="8" width="21.5703125" style="474" customWidth="1"/>
    <col min="9" max="9" width="37.28515625" style="474" customWidth="1"/>
    <col min="10" max="10" width="15.5703125" style="231" customWidth="1"/>
    <col min="11" max="11" width="69.42578125" style="231" customWidth="1"/>
    <col min="12" max="13" width="9.42578125" style="231"/>
    <col min="14" max="20" width="9.42578125" style="474"/>
    <col min="21" max="16384" width="9.42578125" style="231"/>
  </cols>
  <sheetData>
    <row r="1" spans="1:20" ht="31.5" x14ac:dyDescent="0.25">
      <c r="A1" s="474"/>
      <c r="B1" s="1329"/>
      <c r="C1" s="606"/>
      <c r="D1" s="725" t="s">
        <v>0</v>
      </c>
      <c r="E1" s="605"/>
      <c r="F1" s="610"/>
      <c r="G1" s="611"/>
      <c r="J1" s="611" t="s">
        <v>5423</v>
      </c>
      <c r="K1" s="474"/>
      <c r="L1" s="474"/>
      <c r="M1" s="474"/>
    </row>
    <row r="2" spans="1:20" ht="33" customHeight="1" x14ac:dyDescent="0.25">
      <c r="A2" s="474" t="s">
        <v>5424</v>
      </c>
      <c r="B2" s="1329" t="s">
        <v>5425</v>
      </c>
      <c r="C2" s="607" t="s">
        <v>4960</v>
      </c>
      <c r="D2" s="608" t="s">
        <v>6077</v>
      </c>
      <c r="E2" s="609" t="s">
        <v>4962</v>
      </c>
      <c r="F2" s="611" t="s">
        <v>5426</v>
      </c>
      <c r="G2" s="611" t="s">
        <v>5427</v>
      </c>
      <c r="H2" s="611" t="s">
        <v>5428</v>
      </c>
      <c r="I2" s="611"/>
      <c r="J2" s="611" t="s">
        <v>5429</v>
      </c>
      <c r="K2" s="610" t="s">
        <v>5430</v>
      </c>
      <c r="L2" s="474"/>
      <c r="M2" s="474"/>
      <c r="N2" s="474" t="s">
        <v>5324</v>
      </c>
      <c r="O2" s="474" t="s">
        <v>5431</v>
      </c>
      <c r="S2" s="474" t="s">
        <v>5353</v>
      </c>
      <c r="T2" s="474" t="s">
        <v>5432</v>
      </c>
    </row>
    <row r="3" spans="1:20" x14ac:dyDescent="0.25">
      <c r="A3" s="474" t="str">
        <f t="shared" ref="A3:A34" si="0">C3&amp;" "&amp;D3</f>
        <v>01 North Carolina General Assembly</v>
      </c>
      <c r="B3" s="1329">
        <v>1</v>
      </c>
      <c r="C3" s="1329" t="str">
        <f t="shared" ref="C3:C47" si="1">TEXT(B3,"00")</f>
        <v>01</v>
      </c>
      <c r="D3" s="474" t="s">
        <v>4964</v>
      </c>
      <c r="E3" s="474" t="s">
        <v>4965</v>
      </c>
      <c r="F3" s="474" t="s">
        <v>1823</v>
      </c>
      <c r="G3" s="693" t="s">
        <v>5433</v>
      </c>
      <c r="H3" s="474" t="s">
        <v>5434</v>
      </c>
      <c r="I3" s="1664" t="s">
        <v>5435</v>
      </c>
      <c r="J3" s="693"/>
      <c r="K3" s="474"/>
      <c r="L3" s="474"/>
      <c r="M3" s="474"/>
      <c r="N3" s="1536" t="str">
        <f>C3</f>
        <v>01</v>
      </c>
      <c r="O3" s="1537" t="s">
        <v>5436</v>
      </c>
      <c r="S3" s="474" t="s">
        <v>5040</v>
      </c>
      <c r="T3" s="474" t="s">
        <v>5040</v>
      </c>
    </row>
    <row r="4" spans="1:20" x14ac:dyDescent="0.25">
      <c r="A4" s="474" t="str">
        <f t="shared" si="0"/>
        <v>02 Administrative Office of the Courts</v>
      </c>
      <c r="B4" s="1329">
        <v>2</v>
      </c>
      <c r="C4" s="1329" t="str">
        <f t="shared" si="1"/>
        <v>02</v>
      </c>
      <c r="D4" s="474" t="s">
        <v>447</v>
      </c>
      <c r="E4" s="474" t="s">
        <v>4965</v>
      </c>
      <c r="F4" s="474" t="s">
        <v>1823</v>
      </c>
      <c r="G4" s="693" t="s">
        <v>5437</v>
      </c>
      <c r="H4" s="474" t="s">
        <v>5438</v>
      </c>
      <c r="I4" s="1664" t="s">
        <v>5439</v>
      </c>
      <c r="J4" s="693"/>
      <c r="K4" s="474"/>
      <c r="L4" s="474"/>
      <c r="M4" s="474"/>
      <c r="N4" s="1536" t="str">
        <f t="shared" ref="N4:N10" si="2">C4</f>
        <v>02</v>
      </c>
      <c r="O4" s="1537" t="s">
        <v>5440</v>
      </c>
      <c r="S4" s="474" t="s">
        <v>5042</v>
      </c>
      <c r="T4" s="474" t="s">
        <v>5042</v>
      </c>
    </row>
    <row r="5" spans="1:20" x14ac:dyDescent="0.25">
      <c r="A5" s="474" t="str">
        <f t="shared" si="0"/>
        <v>03 Office of the Governor</v>
      </c>
      <c r="B5" s="1329">
        <v>3</v>
      </c>
      <c r="C5" s="1329" t="str">
        <f t="shared" si="1"/>
        <v>03</v>
      </c>
      <c r="D5" s="474" t="s">
        <v>4968</v>
      </c>
      <c r="E5" s="474" t="s">
        <v>4965</v>
      </c>
      <c r="F5" s="474" t="s">
        <v>1823</v>
      </c>
      <c r="G5" s="693" t="s">
        <v>5441</v>
      </c>
      <c r="H5" s="474" t="s">
        <v>5442</v>
      </c>
      <c r="I5" s="1664" t="s">
        <v>5443</v>
      </c>
      <c r="J5" s="693"/>
      <c r="K5" s="474"/>
      <c r="L5" s="474"/>
      <c r="M5" s="474"/>
      <c r="N5" s="1536" t="str">
        <f t="shared" si="2"/>
        <v>03</v>
      </c>
      <c r="O5" s="1537" t="s">
        <v>5444</v>
      </c>
      <c r="S5" s="474" t="s">
        <v>5044</v>
      </c>
      <c r="T5" s="474" t="s">
        <v>5044</v>
      </c>
    </row>
    <row r="6" spans="1:20" x14ac:dyDescent="0.25">
      <c r="A6" s="474" t="str">
        <f t="shared" si="0"/>
        <v>04 Office of Lieutenant Governor</v>
      </c>
      <c r="B6" s="1329">
        <v>4</v>
      </c>
      <c r="C6" s="1329" t="str">
        <f t="shared" si="1"/>
        <v>04</v>
      </c>
      <c r="D6" s="474" t="s">
        <v>4970</v>
      </c>
      <c r="E6" s="474" t="s">
        <v>4965</v>
      </c>
      <c r="F6" s="474" t="s">
        <v>1823</v>
      </c>
      <c r="G6" s="693" t="s">
        <v>5445</v>
      </c>
      <c r="H6" s="474" t="s">
        <v>5446</v>
      </c>
      <c r="I6" s="474" t="s">
        <v>5447</v>
      </c>
      <c r="J6" s="693"/>
      <c r="K6" s="474"/>
      <c r="L6" s="474"/>
      <c r="M6" s="474"/>
      <c r="N6" s="1536" t="str">
        <f t="shared" si="2"/>
        <v>04</v>
      </c>
      <c r="O6" s="1537" t="s">
        <v>5448</v>
      </c>
      <c r="S6" s="474" t="s">
        <v>5046</v>
      </c>
      <c r="T6" s="474" t="s">
        <v>5046</v>
      </c>
    </row>
    <row r="7" spans="1:20" x14ac:dyDescent="0.25">
      <c r="A7" s="474" t="str">
        <f t="shared" si="0"/>
        <v>05 Office of the Secretary of State</v>
      </c>
      <c r="B7" s="1329">
        <v>5</v>
      </c>
      <c r="C7" s="1329" t="str">
        <f t="shared" si="1"/>
        <v>05</v>
      </c>
      <c r="D7" s="474" t="s">
        <v>4972</v>
      </c>
      <c r="E7" s="474" t="s">
        <v>4965</v>
      </c>
      <c r="F7" s="474" t="s">
        <v>1823</v>
      </c>
      <c r="G7" s="693" t="s">
        <v>5449</v>
      </c>
      <c r="H7" s="474" t="s">
        <v>5450</v>
      </c>
      <c r="I7" s="693" t="s">
        <v>5451</v>
      </c>
      <c r="J7" s="693"/>
      <c r="K7" s="474"/>
      <c r="L7" s="474"/>
      <c r="M7" s="474"/>
      <c r="N7" s="1536" t="str">
        <f t="shared" si="2"/>
        <v>05</v>
      </c>
      <c r="O7" s="1537" t="s">
        <v>5452</v>
      </c>
      <c r="S7" s="474" t="s">
        <v>5048</v>
      </c>
      <c r="T7" s="474" t="s">
        <v>5048</v>
      </c>
    </row>
    <row r="8" spans="1:20" x14ac:dyDescent="0.25">
      <c r="A8" s="474" t="str">
        <f t="shared" si="0"/>
        <v>06 Office of the State Auditor</v>
      </c>
      <c r="B8" s="1329">
        <v>6</v>
      </c>
      <c r="C8" s="1329" t="str">
        <f t="shared" si="1"/>
        <v>06</v>
      </c>
      <c r="D8" s="474" t="s">
        <v>4974</v>
      </c>
      <c r="E8" s="474" t="s">
        <v>4965</v>
      </c>
      <c r="F8" s="474" t="s">
        <v>1823</v>
      </c>
      <c r="G8" s="693" t="s">
        <v>5453</v>
      </c>
      <c r="H8" s="474" t="s">
        <v>5454</v>
      </c>
      <c r="I8" s="1664" t="s">
        <v>5455</v>
      </c>
      <c r="J8" s="693"/>
      <c r="K8" s="474"/>
      <c r="L8" s="474" t="b">
        <f t="shared" ref="L8:L32" si="3">ISTEXT(B8)</f>
        <v>0</v>
      </c>
      <c r="M8" s="474" t="b">
        <f t="shared" ref="M8:M32" si="4">ISTEXT(C8)</f>
        <v>1</v>
      </c>
      <c r="N8" s="1536" t="str">
        <f t="shared" si="2"/>
        <v>06</v>
      </c>
      <c r="O8" s="1537" t="s">
        <v>5456</v>
      </c>
      <c r="S8" s="474" t="s">
        <v>5050</v>
      </c>
      <c r="T8" s="474" t="s">
        <v>5050</v>
      </c>
    </row>
    <row r="9" spans="1:20" ht="16.5" customHeight="1" x14ac:dyDescent="0.25">
      <c r="A9" s="474" t="str">
        <f t="shared" si="0"/>
        <v xml:space="preserve">07 Department of the State Treasurer </v>
      </c>
      <c r="B9" s="1329">
        <v>7</v>
      </c>
      <c r="C9" s="1329" t="str">
        <f t="shared" si="1"/>
        <v>07</v>
      </c>
      <c r="D9" s="474" t="s">
        <v>4976</v>
      </c>
      <c r="E9" s="474" t="s">
        <v>4965</v>
      </c>
      <c r="F9" s="474" t="s">
        <v>1823</v>
      </c>
      <c r="G9" s="693" t="s">
        <v>5457</v>
      </c>
      <c r="H9" s="474" t="s">
        <v>5458</v>
      </c>
      <c r="I9" s="1664" t="s">
        <v>5459</v>
      </c>
      <c r="J9" s="431"/>
      <c r="K9" s="694"/>
      <c r="L9" s="474" t="b">
        <f t="shared" si="3"/>
        <v>0</v>
      </c>
      <c r="M9" s="474" t="b">
        <f t="shared" si="4"/>
        <v>1</v>
      </c>
      <c r="N9" s="1536" t="str">
        <f t="shared" si="2"/>
        <v>07</v>
      </c>
      <c r="O9" s="1537" t="s">
        <v>5460</v>
      </c>
      <c r="S9" s="474" t="s">
        <v>5052</v>
      </c>
      <c r="T9" s="474" t="s">
        <v>5052</v>
      </c>
    </row>
    <row r="10" spans="1:20" ht="16.5" customHeight="1" x14ac:dyDescent="0.25">
      <c r="A10" s="474" t="str">
        <f t="shared" si="0"/>
        <v>07 State Health Plan</v>
      </c>
      <c r="B10" s="1329">
        <v>7</v>
      </c>
      <c r="C10" s="1329" t="str">
        <f t="shared" si="1"/>
        <v>07</v>
      </c>
      <c r="D10" s="1239" t="s">
        <v>5461</v>
      </c>
      <c r="E10" s="474" t="s">
        <v>4978</v>
      </c>
      <c r="F10" s="474" t="s">
        <v>1823</v>
      </c>
      <c r="G10" s="693" t="s">
        <v>5457</v>
      </c>
      <c r="H10" s="474" t="s">
        <v>5458</v>
      </c>
      <c r="I10" s="1664" t="s">
        <v>5459</v>
      </c>
      <c r="J10" s="693">
        <v>2629</v>
      </c>
      <c r="K10" s="694"/>
      <c r="L10" s="474" t="b">
        <f t="shared" si="3"/>
        <v>0</v>
      </c>
      <c r="M10" s="474" t="b">
        <f t="shared" si="4"/>
        <v>1</v>
      </c>
      <c r="N10" s="1536" t="str">
        <f t="shared" si="2"/>
        <v>07</v>
      </c>
      <c r="O10" s="1537" t="s">
        <v>5460</v>
      </c>
      <c r="S10" s="474" t="s">
        <v>5054</v>
      </c>
      <c r="T10" s="474" t="s">
        <v>5054</v>
      </c>
    </row>
    <row r="11" spans="1:20" ht="17.25" customHeight="1" x14ac:dyDescent="0.25">
      <c r="A11" s="474" t="str">
        <f t="shared" si="0"/>
        <v xml:space="preserve">08 Department of Public Instruction </v>
      </c>
      <c r="B11" s="1329">
        <v>8</v>
      </c>
      <c r="C11" s="1329" t="str">
        <f t="shared" si="1"/>
        <v>08</v>
      </c>
      <c r="D11" s="474" t="s">
        <v>4980</v>
      </c>
      <c r="E11" s="474" t="s">
        <v>4965</v>
      </c>
      <c r="F11" s="474" t="s">
        <v>1823</v>
      </c>
      <c r="G11" s="693" t="s">
        <v>5462</v>
      </c>
      <c r="H11" s="474" t="s">
        <v>5463</v>
      </c>
      <c r="I11" s="693" t="s">
        <v>5464</v>
      </c>
      <c r="J11" s="431"/>
      <c r="K11" s="474"/>
      <c r="L11" s="474" t="b">
        <f t="shared" si="3"/>
        <v>0</v>
      </c>
      <c r="M11" s="474" t="b">
        <f t="shared" si="4"/>
        <v>1</v>
      </c>
      <c r="N11" s="1536" t="str">
        <f t="shared" ref="N11:N43" si="5">C11</f>
        <v>08</v>
      </c>
      <c r="O11" s="1537" t="s">
        <v>5465</v>
      </c>
      <c r="S11" s="474" t="s">
        <v>5056</v>
      </c>
      <c r="T11" s="474" t="s">
        <v>5056</v>
      </c>
    </row>
    <row r="12" spans="1:20" x14ac:dyDescent="0.25">
      <c r="A12" s="474" t="str">
        <f t="shared" si="0"/>
        <v xml:space="preserve">09 Department of Justice </v>
      </c>
      <c r="B12" s="1329">
        <v>9</v>
      </c>
      <c r="C12" s="1329" t="str">
        <f t="shared" si="1"/>
        <v>09</v>
      </c>
      <c r="D12" s="474" t="s">
        <v>4982</v>
      </c>
      <c r="E12" s="474" t="s">
        <v>4965</v>
      </c>
      <c r="F12" s="474" t="s">
        <v>1823</v>
      </c>
      <c r="G12" s="693" t="s">
        <v>5466</v>
      </c>
      <c r="H12" s="1056" t="s">
        <v>5467</v>
      </c>
      <c r="I12" s="1670" t="s">
        <v>5468</v>
      </c>
      <c r="J12" s="693"/>
      <c r="K12" s="474"/>
      <c r="L12" s="474" t="b">
        <f t="shared" si="3"/>
        <v>0</v>
      </c>
      <c r="M12" s="474" t="b">
        <f t="shared" si="4"/>
        <v>1</v>
      </c>
      <c r="N12" s="1536" t="str">
        <f t="shared" si="5"/>
        <v>09</v>
      </c>
      <c r="O12" s="1537" t="s">
        <v>5469</v>
      </c>
      <c r="S12" s="474" t="s">
        <v>5058</v>
      </c>
      <c r="T12" s="474" t="s">
        <v>5058</v>
      </c>
    </row>
    <row r="13" spans="1:20" x14ac:dyDescent="0.25">
      <c r="A13" s="474" t="str">
        <f t="shared" si="0"/>
        <v>10 Department of Agriculture</v>
      </c>
      <c r="B13" s="1329">
        <v>10</v>
      </c>
      <c r="C13" s="1329" t="str">
        <f t="shared" si="1"/>
        <v>10</v>
      </c>
      <c r="D13" s="474" t="s">
        <v>4984</v>
      </c>
      <c r="E13" s="474" t="s">
        <v>4965</v>
      </c>
      <c r="F13" s="474" t="s">
        <v>1823</v>
      </c>
      <c r="G13" s="693" t="s">
        <v>5470</v>
      </c>
      <c r="H13" s="474" t="s">
        <v>5471</v>
      </c>
      <c r="I13" s="1664" t="s">
        <v>5472</v>
      </c>
      <c r="J13" s="693"/>
      <c r="K13" s="474"/>
      <c r="L13" s="474" t="b">
        <f t="shared" si="3"/>
        <v>0</v>
      </c>
      <c r="M13" s="474" t="b">
        <f t="shared" si="4"/>
        <v>1</v>
      </c>
      <c r="N13" s="1536" t="str">
        <f t="shared" si="5"/>
        <v>10</v>
      </c>
      <c r="O13" s="1537" t="s">
        <v>5473</v>
      </c>
      <c r="S13" s="474" t="s">
        <v>5060</v>
      </c>
      <c r="T13" s="474" t="s">
        <v>5060</v>
      </c>
    </row>
    <row r="14" spans="1:20" x14ac:dyDescent="0.25">
      <c r="A14" s="474" t="str">
        <f t="shared" si="0"/>
        <v>11 Department of Labor</v>
      </c>
      <c r="B14" s="1329">
        <v>11</v>
      </c>
      <c r="C14" s="1329" t="str">
        <f t="shared" si="1"/>
        <v>11</v>
      </c>
      <c r="D14" s="474" t="s">
        <v>4986</v>
      </c>
      <c r="E14" s="474" t="s">
        <v>4965</v>
      </c>
      <c r="F14" s="474" t="s">
        <v>1823</v>
      </c>
      <c r="G14" s="693" t="s">
        <v>5474</v>
      </c>
      <c r="H14" s="474" t="s">
        <v>5475</v>
      </c>
      <c r="I14" s="1664" t="s">
        <v>5476</v>
      </c>
      <c r="J14" s="693"/>
      <c r="K14" s="474"/>
      <c r="L14" s="474" t="b">
        <f t="shared" si="3"/>
        <v>0</v>
      </c>
      <c r="M14" s="474" t="b">
        <f t="shared" si="4"/>
        <v>1</v>
      </c>
      <c r="N14" s="1536" t="str">
        <f t="shared" si="5"/>
        <v>11</v>
      </c>
      <c r="O14" s="1537" t="s">
        <v>5229</v>
      </c>
      <c r="S14" s="474" t="s">
        <v>5062</v>
      </c>
      <c r="T14" s="474" t="s">
        <v>5062</v>
      </c>
    </row>
    <row r="15" spans="1:20" x14ac:dyDescent="0.25">
      <c r="A15" s="474" t="str">
        <f t="shared" si="0"/>
        <v xml:space="preserve">12 Department of Insurance </v>
      </c>
      <c r="B15" s="1329">
        <v>12</v>
      </c>
      <c r="C15" s="1329" t="str">
        <f t="shared" si="1"/>
        <v>12</v>
      </c>
      <c r="D15" s="474" t="s">
        <v>4988</v>
      </c>
      <c r="E15" s="474" t="s">
        <v>4965</v>
      </c>
      <c r="F15" s="474" t="s">
        <v>1823</v>
      </c>
      <c r="G15" s="693" t="s">
        <v>6074</v>
      </c>
      <c r="H15" s="474" t="s">
        <v>6075</v>
      </c>
      <c r="I15" s="1664" t="s">
        <v>6076</v>
      </c>
      <c r="J15" s="693"/>
      <c r="K15" s="474"/>
      <c r="L15" s="474" t="b">
        <f t="shared" si="3"/>
        <v>0</v>
      </c>
      <c r="M15" s="474" t="b">
        <f t="shared" si="4"/>
        <v>1</v>
      </c>
      <c r="N15" s="1536" t="str">
        <f t="shared" si="5"/>
        <v>12</v>
      </c>
      <c r="O15" s="1537" t="s">
        <v>5477</v>
      </c>
      <c r="S15" s="474" t="s">
        <v>5064</v>
      </c>
      <c r="T15" s="474" t="s">
        <v>5064</v>
      </c>
    </row>
    <row r="16" spans="1:20" x14ac:dyDescent="0.25">
      <c r="A16" s="474" t="str">
        <f t="shared" si="0"/>
        <v xml:space="preserve">13 Department of Administration </v>
      </c>
      <c r="B16" s="1329">
        <v>13</v>
      </c>
      <c r="C16" s="1329" t="str">
        <f t="shared" si="1"/>
        <v>13</v>
      </c>
      <c r="D16" s="474" t="s">
        <v>4990</v>
      </c>
      <c r="E16" s="474" t="s">
        <v>4965</v>
      </c>
      <c r="F16" s="474" t="s">
        <v>1823</v>
      </c>
      <c r="G16" s="693" t="s">
        <v>5445</v>
      </c>
      <c r="H16" s="474" t="s">
        <v>5446</v>
      </c>
      <c r="I16" s="474" t="s">
        <v>5447</v>
      </c>
      <c r="J16" s="693"/>
      <c r="K16" s="474"/>
      <c r="L16" s="474" t="b">
        <f t="shared" si="3"/>
        <v>0</v>
      </c>
      <c r="M16" s="474" t="b">
        <f t="shared" si="4"/>
        <v>1</v>
      </c>
      <c r="N16" s="1536" t="str">
        <f t="shared" si="5"/>
        <v>13</v>
      </c>
      <c r="O16" s="1537" t="s">
        <v>5478</v>
      </c>
      <c r="S16" s="474" t="s">
        <v>5066</v>
      </c>
      <c r="T16" s="474" t="s">
        <v>5066</v>
      </c>
    </row>
    <row r="17" spans="1:20" x14ac:dyDescent="0.25">
      <c r="A17" s="474" t="str">
        <f t="shared" si="0"/>
        <v xml:space="preserve">14 Office of the State Controller </v>
      </c>
      <c r="B17" s="1329">
        <v>14</v>
      </c>
      <c r="C17" s="1329" t="str">
        <f t="shared" si="1"/>
        <v>14</v>
      </c>
      <c r="D17" s="474" t="s">
        <v>4992</v>
      </c>
      <c r="E17" s="474" t="s">
        <v>4965</v>
      </c>
      <c r="F17" s="474" t="s">
        <v>1823</v>
      </c>
      <c r="G17" s="693" t="s">
        <v>5564</v>
      </c>
      <c r="H17" s="474" t="s">
        <v>5479</v>
      </c>
      <c r="I17" s="2380" t="s">
        <v>6078</v>
      </c>
      <c r="J17" s="693"/>
      <c r="K17" s="474"/>
      <c r="L17" s="474" t="b">
        <f t="shared" si="3"/>
        <v>0</v>
      </c>
      <c r="M17" s="474" t="b">
        <f t="shared" si="4"/>
        <v>1</v>
      </c>
      <c r="N17" s="1536" t="str">
        <f t="shared" si="5"/>
        <v>14</v>
      </c>
      <c r="O17" s="1537" t="s">
        <v>5480</v>
      </c>
      <c r="S17" s="474" t="s">
        <v>5068</v>
      </c>
      <c r="T17" s="474" t="s">
        <v>5068</v>
      </c>
    </row>
    <row r="18" spans="1:20" x14ac:dyDescent="0.25">
      <c r="A18" s="474" t="str">
        <f t="shared" si="0"/>
        <v>15 Department of Transportation</v>
      </c>
      <c r="B18" s="1329">
        <v>15</v>
      </c>
      <c r="C18" s="1329" t="str">
        <f t="shared" si="1"/>
        <v>15</v>
      </c>
      <c r="D18" s="474" t="s">
        <v>828</v>
      </c>
      <c r="E18" s="474" t="s">
        <v>4965</v>
      </c>
      <c r="F18" s="474" t="s">
        <v>1823</v>
      </c>
      <c r="G18" s="693" t="s">
        <v>5481</v>
      </c>
      <c r="H18" s="693" t="s">
        <v>5482</v>
      </c>
      <c r="I18" s="693" t="s">
        <v>5483</v>
      </c>
      <c r="J18" s="693"/>
      <c r="K18" s="474"/>
      <c r="L18" s="474" t="b">
        <f t="shared" si="3"/>
        <v>0</v>
      </c>
      <c r="M18" s="474" t="b">
        <f t="shared" si="4"/>
        <v>1</v>
      </c>
      <c r="N18" s="1536" t="str">
        <f t="shared" si="5"/>
        <v>15</v>
      </c>
      <c r="O18" s="1537" t="s">
        <v>5484</v>
      </c>
      <c r="S18" s="474" t="s">
        <v>5070</v>
      </c>
      <c r="T18" s="474" t="s">
        <v>5070</v>
      </c>
    </row>
    <row r="19" spans="1:20" x14ac:dyDescent="0.25">
      <c r="A19" s="474" t="str">
        <f t="shared" si="0"/>
        <v>16 Department of Environmental Quality</v>
      </c>
      <c r="B19" s="1329">
        <v>16</v>
      </c>
      <c r="C19" s="1329" t="str">
        <f t="shared" si="1"/>
        <v>16</v>
      </c>
      <c r="D19" s="474" t="s">
        <v>407</v>
      </c>
      <c r="E19" s="474" t="s">
        <v>4965</v>
      </c>
      <c r="F19" s="474" t="s">
        <v>1823</v>
      </c>
      <c r="G19" s="693" t="s">
        <v>5485</v>
      </c>
      <c r="H19" s="474" t="s">
        <v>5486</v>
      </c>
      <c r="I19" s="1664" t="s">
        <v>5487</v>
      </c>
      <c r="J19" s="432"/>
      <c r="K19" s="474"/>
      <c r="L19" s="474" t="b">
        <f t="shared" si="3"/>
        <v>0</v>
      </c>
      <c r="M19" s="474" t="b">
        <f t="shared" si="4"/>
        <v>1</v>
      </c>
      <c r="N19" s="1536" t="str">
        <f t="shared" si="5"/>
        <v>16</v>
      </c>
      <c r="O19" s="1537" t="s">
        <v>5488</v>
      </c>
      <c r="S19" s="474" t="s">
        <v>5072</v>
      </c>
      <c r="T19" s="474" t="s">
        <v>5072</v>
      </c>
    </row>
    <row r="20" spans="1:20" x14ac:dyDescent="0.25">
      <c r="A20" s="474" t="str">
        <f t="shared" si="0"/>
        <v>17 Wildlife Resources Commission</v>
      </c>
      <c r="B20" s="1329">
        <v>17</v>
      </c>
      <c r="C20" s="1329" t="str">
        <f t="shared" si="1"/>
        <v>17</v>
      </c>
      <c r="D20" s="474" t="s">
        <v>421</v>
      </c>
      <c r="E20" s="474" t="s">
        <v>4965</v>
      </c>
      <c r="F20" s="474" t="s">
        <v>1823</v>
      </c>
      <c r="G20" s="1398" t="s">
        <v>5539</v>
      </c>
      <c r="H20" s="474" t="s">
        <v>5489</v>
      </c>
      <c r="I20" s="1664" t="s">
        <v>6088</v>
      </c>
      <c r="J20" s="474"/>
      <c r="K20" s="474"/>
      <c r="L20" s="474" t="b">
        <f t="shared" si="3"/>
        <v>0</v>
      </c>
      <c r="M20" s="474" t="b">
        <f t="shared" si="4"/>
        <v>1</v>
      </c>
      <c r="N20" s="1536" t="str">
        <f t="shared" si="5"/>
        <v>17</v>
      </c>
      <c r="O20" s="1537" t="s">
        <v>5490</v>
      </c>
      <c r="S20" s="1537" t="s">
        <v>5029</v>
      </c>
      <c r="T20" s="474" t="s">
        <v>5491</v>
      </c>
    </row>
    <row r="21" spans="1:20" x14ac:dyDescent="0.25">
      <c r="A21" s="474" t="str">
        <f t="shared" si="0"/>
        <v>19 Dept. of Public Safety</v>
      </c>
      <c r="B21" s="1329">
        <v>19</v>
      </c>
      <c r="C21" s="1329" t="str">
        <f t="shared" si="1"/>
        <v>19</v>
      </c>
      <c r="D21" s="474" t="s">
        <v>4997</v>
      </c>
      <c r="E21" s="474" t="s">
        <v>4965</v>
      </c>
      <c r="F21" s="474" t="s">
        <v>1823</v>
      </c>
      <c r="G21" s="693" t="s">
        <v>5492</v>
      </c>
      <c r="H21" s="474" t="s">
        <v>5493</v>
      </c>
      <c r="I21" s="1664" t="s">
        <v>5494</v>
      </c>
      <c r="J21" s="474"/>
      <c r="K21" s="694"/>
      <c r="L21" s="474" t="b">
        <f t="shared" si="3"/>
        <v>0</v>
      </c>
      <c r="M21" s="474" t="b">
        <f t="shared" si="4"/>
        <v>1</v>
      </c>
      <c r="N21" s="1536" t="str">
        <f t="shared" si="5"/>
        <v>19</v>
      </c>
      <c r="O21" s="1537" t="s">
        <v>5495</v>
      </c>
      <c r="S21" s="474" t="s">
        <v>5074</v>
      </c>
      <c r="T21" s="474" t="s">
        <v>5074</v>
      </c>
    </row>
    <row r="22" spans="1:20" x14ac:dyDescent="0.25">
      <c r="A22" s="474" t="str">
        <f t="shared" si="0"/>
        <v>2X Dept. of Health and Human Services</v>
      </c>
      <c r="B22" s="1329" t="s">
        <v>4998</v>
      </c>
      <c r="C22" s="1329" t="str">
        <f t="shared" si="1"/>
        <v>2X</v>
      </c>
      <c r="D22" s="474" t="s">
        <v>4999</v>
      </c>
      <c r="E22" s="474" t="s">
        <v>4965</v>
      </c>
      <c r="F22" s="474" t="s">
        <v>1823</v>
      </c>
      <c r="G22" s="693" t="s">
        <v>5496</v>
      </c>
      <c r="H22" s="474" t="s">
        <v>5497</v>
      </c>
      <c r="J22" s="474"/>
      <c r="K22" s="694"/>
      <c r="L22" s="474" t="b">
        <f t="shared" si="3"/>
        <v>1</v>
      </c>
      <c r="M22" s="474" t="b">
        <f t="shared" si="4"/>
        <v>1</v>
      </c>
      <c r="N22" s="1536" t="str">
        <f t="shared" si="5"/>
        <v>2X</v>
      </c>
      <c r="O22" s="1537" t="s">
        <v>5498</v>
      </c>
    </row>
    <row r="23" spans="1:20" x14ac:dyDescent="0.25">
      <c r="A23" s="474" t="str">
        <f t="shared" si="0"/>
        <v>3X DHHS - Mental Health</v>
      </c>
      <c r="B23" s="1329" t="s">
        <v>5000</v>
      </c>
      <c r="C23" s="1329" t="str">
        <f t="shared" si="1"/>
        <v>3X</v>
      </c>
      <c r="D23" s="474" t="s">
        <v>5001</v>
      </c>
      <c r="E23" s="474" t="s">
        <v>4965</v>
      </c>
      <c r="F23" s="474" t="s">
        <v>1823</v>
      </c>
      <c r="G23" s="693" t="s">
        <v>5499</v>
      </c>
      <c r="H23" s="474" t="s">
        <v>5500</v>
      </c>
      <c r="J23" s="474"/>
      <c r="K23" s="694"/>
      <c r="L23" s="474" t="b">
        <f t="shared" si="3"/>
        <v>1</v>
      </c>
      <c r="M23" s="474" t="b">
        <f t="shared" si="4"/>
        <v>1</v>
      </c>
      <c r="N23" s="1536" t="str">
        <f t="shared" si="5"/>
        <v>3X</v>
      </c>
      <c r="O23" s="1537" t="s">
        <v>5501</v>
      </c>
    </row>
    <row r="24" spans="1:20" x14ac:dyDescent="0.25">
      <c r="A24" s="474" t="str">
        <f t="shared" si="0"/>
        <v>40 Department of Military &amp; Veterans Affairs</v>
      </c>
      <c r="B24" s="1072">
        <v>40</v>
      </c>
      <c r="C24" s="1329" t="str">
        <f t="shared" si="1"/>
        <v>40</v>
      </c>
      <c r="D24" s="474" t="s">
        <v>5003</v>
      </c>
      <c r="E24" s="474" t="s">
        <v>4965</v>
      </c>
      <c r="F24" s="474" t="s">
        <v>1823</v>
      </c>
      <c r="G24" s="693" t="s">
        <v>5445</v>
      </c>
      <c r="H24" s="474" t="s">
        <v>5446</v>
      </c>
      <c r="I24" s="474" t="s">
        <v>5447</v>
      </c>
      <c r="J24" s="474"/>
      <c r="K24" s="474"/>
      <c r="L24" s="474" t="b">
        <f t="shared" si="3"/>
        <v>0</v>
      </c>
      <c r="M24" s="474" t="b">
        <f t="shared" si="4"/>
        <v>1</v>
      </c>
      <c r="N24" s="1536" t="str">
        <f t="shared" si="5"/>
        <v>40</v>
      </c>
      <c r="O24" s="1537" t="s">
        <v>5502</v>
      </c>
    </row>
    <row r="25" spans="1:20" x14ac:dyDescent="0.25">
      <c r="A25" s="474" t="str">
        <f t="shared" si="0"/>
        <v>41 Department of Information Technology</v>
      </c>
      <c r="B25" s="1329">
        <v>41</v>
      </c>
      <c r="C25" s="1329" t="str">
        <f t="shared" si="1"/>
        <v>41</v>
      </c>
      <c r="D25" s="474" t="s">
        <v>5005</v>
      </c>
      <c r="E25" s="474" t="s">
        <v>4965</v>
      </c>
      <c r="F25" s="474" t="s">
        <v>1823</v>
      </c>
      <c r="G25" s="693" t="s">
        <v>6079</v>
      </c>
      <c r="H25" s="474" t="s">
        <v>6080</v>
      </c>
      <c r="I25" s="1664" t="s">
        <v>6081</v>
      </c>
      <c r="J25" s="474"/>
      <c r="K25" s="474"/>
      <c r="L25" s="474" t="b">
        <f t="shared" si="3"/>
        <v>0</v>
      </c>
      <c r="M25" s="474" t="b">
        <f t="shared" si="4"/>
        <v>1</v>
      </c>
      <c r="N25" s="1536" t="str">
        <f t="shared" si="5"/>
        <v>41</v>
      </c>
      <c r="O25" s="1537" t="s">
        <v>5503</v>
      </c>
    </row>
    <row r="26" spans="1:20" x14ac:dyDescent="0.25">
      <c r="A26" s="474" t="str">
        <f t="shared" si="0"/>
        <v>43 Department of Commerce</v>
      </c>
      <c r="B26" s="1329">
        <v>43</v>
      </c>
      <c r="C26" s="1329" t="str">
        <f t="shared" si="1"/>
        <v>43</v>
      </c>
      <c r="D26" s="474" t="s">
        <v>5007</v>
      </c>
      <c r="E26" s="474" t="s">
        <v>4965</v>
      </c>
      <c r="F26" s="474" t="s">
        <v>1823</v>
      </c>
      <c r="G26" s="693" t="s">
        <v>5504</v>
      </c>
      <c r="H26" s="474" t="s">
        <v>5505</v>
      </c>
      <c r="I26" s="1664" t="s">
        <v>5506</v>
      </c>
      <c r="J26" s="474"/>
      <c r="K26" s="694"/>
      <c r="L26" s="474" t="b">
        <f t="shared" si="3"/>
        <v>0</v>
      </c>
      <c r="M26" s="474" t="b">
        <f t="shared" si="4"/>
        <v>1</v>
      </c>
      <c r="N26" s="1536" t="str">
        <f t="shared" si="5"/>
        <v>43</v>
      </c>
      <c r="O26" s="1537" t="s">
        <v>5507</v>
      </c>
    </row>
    <row r="27" spans="1:20" x14ac:dyDescent="0.25">
      <c r="A27" s="474" t="str">
        <f t="shared" si="0"/>
        <v>45 Department of Revenue</v>
      </c>
      <c r="B27" s="1329">
        <v>45</v>
      </c>
      <c r="C27" s="1329" t="str">
        <f t="shared" si="1"/>
        <v>45</v>
      </c>
      <c r="D27" s="474" t="s">
        <v>396</v>
      </c>
      <c r="E27" s="474" t="s">
        <v>4965</v>
      </c>
      <c r="F27" s="474" t="s">
        <v>1823</v>
      </c>
      <c r="G27" s="693" t="s">
        <v>5508</v>
      </c>
      <c r="H27" s="474" t="s">
        <v>5509</v>
      </c>
      <c r="I27" s="1664" t="s">
        <v>5510</v>
      </c>
      <c r="J27" s="474"/>
      <c r="K27" s="694"/>
      <c r="L27" s="474" t="b">
        <f t="shared" si="3"/>
        <v>0</v>
      </c>
      <c r="M27" s="474" t="b">
        <f t="shared" si="4"/>
        <v>1</v>
      </c>
      <c r="N27" s="1536" t="str">
        <f t="shared" si="5"/>
        <v>45</v>
      </c>
      <c r="O27" s="1537" t="s">
        <v>5511</v>
      </c>
    </row>
    <row r="28" spans="1:20" x14ac:dyDescent="0.25">
      <c r="A28" s="474" t="str">
        <f t="shared" si="0"/>
        <v>46 Department of Natural and Cultural Resources</v>
      </c>
      <c r="B28" s="1329">
        <v>46</v>
      </c>
      <c r="C28" s="1329" t="str">
        <f t="shared" si="1"/>
        <v>46</v>
      </c>
      <c r="D28" s="474" t="s">
        <v>411</v>
      </c>
      <c r="E28" s="474" t="s">
        <v>4965</v>
      </c>
      <c r="F28" s="474" t="s">
        <v>1823</v>
      </c>
      <c r="G28" s="693" t="s">
        <v>5512</v>
      </c>
      <c r="H28" s="474" t="s">
        <v>5513</v>
      </c>
      <c r="I28" s="1664" t="s">
        <v>5514</v>
      </c>
      <c r="J28" s="474"/>
      <c r="K28" s="474"/>
      <c r="L28" s="474" t="b">
        <f t="shared" si="3"/>
        <v>0</v>
      </c>
      <c r="M28" s="474" t="b">
        <f t="shared" si="4"/>
        <v>1</v>
      </c>
      <c r="N28" s="1536" t="str">
        <f t="shared" si="5"/>
        <v>46</v>
      </c>
      <c r="O28" s="1537" t="s">
        <v>5515</v>
      </c>
    </row>
    <row r="29" spans="1:20" x14ac:dyDescent="0.25">
      <c r="A29" s="604" t="str">
        <f t="shared" si="0"/>
        <v>48X UNC Hlth Care Rep Unit (Combined Pkg)</v>
      </c>
      <c r="B29" s="1329" t="s">
        <v>4588</v>
      </c>
      <c r="C29" s="1329" t="str">
        <f t="shared" si="1"/>
        <v>48X</v>
      </c>
      <c r="D29" s="474" t="s">
        <v>5010</v>
      </c>
      <c r="E29" s="474" t="s">
        <v>5011</v>
      </c>
      <c r="F29" s="474" t="s">
        <v>5516</v>
      </c>
      <c r="G29" s="693" t="s">
        <v>5517</v>
      </c>
      <c r="H29" s="805" t="s">
        <v>5518</v>
      </c>
      <c r="I29" s="693" t="s">
        <v>5519</v>
      </c>
      <c r="J29" s="474" t="s">
        <v>4601</v>
      </c>
      <c r="K29" s="474"/>
      <c r="L29" s="474" t="b">
        <f t="shared" si="3"/>
        <v>1</v>
      </c>
      <c r="M29" s="474" t="b">
        <f t="shared" si="4"/>
        <v>1</v>
      </c>
      <c r="N29" s="1536" t="str">
        <f t="shared" si="5"/>
        <v>48X</v>
      </c>
      <c r="O29" s="1537"/>
    </row>
    <row r="30" spans="1:20" x14ac:dyDescent="0.25">
      <c r="A30" s="474" t="str">
        <f t="shared" si="0"/>
        <v>48 UNC Hospitals</v>
      </c>
      <c r="B30" s="1329">
        <v>48</v>
      </c>
      <c r="C30" s="1329" t="str">
        <f t="shared" si="1"/>
        <v>48</v>
      </c>
      <c r="D30" s="474" t="s">
        <v>4615</v>
      </c>
      <c r="E30" s="474" t="s">
        <v>5011</v>
      </c>
      <c r="F30" s="474" t="s">
        <v>5516</v>
      </c>
      <c r="G30" s="693" t="s">
        <v>5520</v>
      </c>
      <c r="H30" s="474" t="s">
        <v>5521</v>
      </c>
      <c r="I30" s="693" t="s">
        <v>5522</v>
      </c>
      <c r="J30" s="474" t="s">
        <v>5523</v>
      </c>
      <c r="K30" s="474"/>
      <c r="L30" s="474" t="b">
        <f t="shared" si="3"/>
        <v>0</v>
      </c>
      <c r="M30" s="474" t="b">
        <f t="shared" si="4"/>
        <v>1</v>
      </c>
      <c r="N30" s="1536" t="str">
        <f t="shared" si="5"/>
        <v>48</v>
      </c>
      <c r="O30" s="1537"/>
    </row>
    <row r="31" spans="1:20" x14ac:dyDescent="0.25">
      <c r="A31" s="474" t="str">
        <f t="shared" si="0"/>
        <v>48E UNC Hospitals - Enterprise Fund</v>
      </c>
      <c r="B31" s="1329" t="s">
        <v>4591</v>
      </c>
      <c r="C31" s="1329" t="str">
        <f t="shared" si="1"/>
        <v>48E</v>
      </c>
      <c r="D31" s="474" t="s">
        <v>5012</v>
      </c>
      <c r="E31" s="474" t="s">
        <v>5011</v>
      </c>
      <c r="F31" s="474" t="s">
        <v>5516</v>
      </c>
      <c r="G31" s="693" t="s">
        <v>5524</v>
      </c>
      <c r="H31" s="474" t="s">
        <v>5525</v>
      </c>
      <c r="I31" s="693" t="s">
        <v>5526</v>
      </c>
      <c r="J31" s="693">
        <v>2635</v>
      </c>
      <c r="K31" s="474"/>
      <c r="L31" s="474" t="b">
        <f t="shared" si="3"/>
        <v>1</v>
      </c>
      <c r="M31" s="474" t="b">
        <f t="shared" si="4"/>
        <v>1</v>
      </c>
      <c r="N31" s="1536" t="str">
        <f t="shared" si="5"/>
        <v>48E</v>
      </c>
      <c r="O31" s="1537"/>
    </row>
    <row r="32" spans="1:20" x14ac:dyDescent="0.25">
      <c r="A32" s="474" t="str">
        <f t="shared" si="0"/>
        <v>48L UNC Hospitals - LITF</v>
      </c>
      <c r="B32" s="1329" t="s">
        <v>4592</v>
      </c>
      <c r="C32" s="1329" t="str">
        <f t="shared" si="1"/>
        <v>48L</v>
      </c>
      <c r="D32" s="474" t="s">
        <v>5013</v>
      </c>
      <c r="E32" s="474" t="s">
        <v>5011</v>
      </c>
      <c r="F32" s="474" t="s">
        <v>5516</v>
      </c>
      <c r="G32" s="693" t="s">
        <v>5527</v>
      </c>
      <c r="H32" s="474" t="s">
        <v>5528</v>
      </c>
      <c r="I32" s="693" t="s">
        <v>5529</v>
      </c>
      <c r="J32" s="693">
        <v>2632</v>
      </c>
      <c r="K32" s="474"/>
      <c r="L32" s="474" t="b">
        <f t="shared" si="3"/>
        <v>1</v>
      </c>
      <c r="M32" s="474" t="b">
        <f t="shared" si="4"/>
        <v>1</v>
      </c>
      <c r="N32" s="1536" t="str">
        <f t="shared" si="5"/>
        <v>48L</v>
      </c>
      <c r="O32" s="1537"/>
    </row>
    <row r="33" spans="1:15" x14ac:dyDescent="0.25">
      <c r="A33" s="474" t="str">
        <f t="shared" si="0"/>
        <v>48R Rex Healthcare</v>
      </c>
      <c r="B33" s="1329" t="s">
        <v>4593</v>
      </c>
      <c r="C33" s="1329" t="str">
        <f t="shared" si="1"/>
        <v>48R</v>
      </c>
      <c r="D33" s="474" t="s">
        <v>5014</v>
      </c>
      <c r="E33" s="474" t="s">
        <v>5011</v>
      </c>
      <c r="F33" s="474" t="s">
        <v>5516</v>
      </c>
      <c r="G33" s="693" t="s">
        <v>5530</v>
      </c>
      <c r="H33" s="474" t="s">
        <v>5531</v>
      </c>
      <c r="I33" s="693" t="s">
        <v>5532</v>
      </c>
      <c r="J33" s="693">
        <v>2637</v>
      </c>
      <c r="K33" s="474"/>
      <c r="L33" s="474" t="b">
        <f>ISTEXT(B33)</f>
        <v>1</v>
      </c>
      <c r="M33" s="474"/>
      <c r="N33" s="1536" t="str">
        <f t="shared" si="5"/>
        <v>48R</v>
      </c>
      <c r="O33" s="1537"/>
    </row>
    <row r="34" spans="1:15" x14ac:dyDescent="0.25">
      <c r="A34" s="474" t="str">
        <f t="shared" si="0"/>
        <v>48C Chatham Hospital</v>
      </c>
      <c r="B34" s="1329" t="s">
        <v>4594</v>
      </c>
      <c r="C34" s="1329" t="str">
        <f t="shared" si="1"/>
        <v>48C</v>
      </c>
      <c r="D34" s="474" t="s">
        <v>5015</v>
      </c>
      <c r="E34" s="474" t="s">
        <v>5011</v>
      </c>
      <c r="F34" s="474" t="s">
        <v>5516</v>
      </c>
      <c r="G34" s="693" t="s">
        <v>5530</v>
      </c>
      <c r="H34" s="474" t="s">
        <v>5531</v>
      </c>
      <c r="I34" s="693" t="s">
        <v>5532</v>
      </c>
      <c r="J34" s="693">
        <v>2638</v>
      </c>
      <c r="K34" s="474"/>
      <c r="L34" s="474"/>
      <c r="M34" s="474"/>
      <c r="N34" s="1536" t="str">
        <f t="shared" si="5"/>
        <v>48C</v>
      </c>
      <c r="O34" s="1537"/>
    </row>
    <row r="35" spans="1:15" x14ac:dyDescent="0.25">
      <c r="A35" s="554" t="str">
        <f t="shared" ref="A35:A67" si="6">C35&amp;" "&amp;D35</f>
        <v>48T UNC Physicians Network</v>
      </c>
      <c r="B35" s="1329" t="s">
        <v>4595</v>
      </c>
      <c r="C35" s="1329" t="str">
        <f t="shared" si="1"/>
        <v>48T</v>
      </c>
      <c r="D35" s="474" t="s">
        <v>5016</v>
      </c>
      <c r="E35" s="474" t="s">
        <v>5011</v>
      </c>
      <c r="F35" s="474" t="s">
        <v>5516</v>
      </c>
      <c r="G35" s="693" t="s">
        <v>5533</v>
      </c>
      <c r="H35" s="474" t="s">
        <v>5534</v>
      </c>
      <c r="I35" s="693" t="s">
        <v>5535</v>
      </c>
      <c r="J35" s="693">
        <v>2639</v>
      </c>
      <c r="K35" s="474"/>
      <c r="L35" s="474"/>
      <c r="M35" s="474"/>
      <c r="N35" s="1536" t="str">
        <f t="shared" si="5"/>
        <v>48T</v>
      </c>
      <c r="O35" s="1537"/>
    </row>
    <row r="36" spans="1:15" x14ac:dyDescent="0.25">
      <c r="A36" s="554" t="str">
        <f t="shared" si="6"/>
        <v>48RH UNC Rockingham Health Care</v>
      </c>
      <c r="B36" s="1329" t="s">
        <v>4596</v>
      </c>
      <c r="C36" s="1329" t="str">
        <f t="shared" si="1"/>
        <v>48RH</v>
      </c>
      <c r="D36" s="474" t="s">
        <v>5017</v>
      </c>
      <c r="E36" s="474" t="s">
        <v>5011</v>
      </c>
      <c r="F36" s="474" t="s">
        <v>5516</v>
      </c>
      <c r="G36" s="693" t="s">
        <v>5536</v>
      </c>
      <c r="H36" s="474" t="s">
        <v>5537</v>
      </c>
      <c r="I36" s="693" t="s">
        <v>5538</v>
      </c>
      <c r="J36" s="693" t="s">
        <v>4601</v>
      </c>
      <c r="K36" s="474"/>
      <c r="L36" s="474"/>
      <c r="M36" s="474"/>
      <c r="N36" s="1536" t="str">
        <f t="shared" si="5"/>
        <v>48RH</v>
      </c>
      <c r="O36" s="1537"/>
    </row>
    <row r="37" spans="1:15" x14ac:dyDescent="0.25">
      <c r="A37" s="554" t="str">
        <f t="shared" si="6"/>
        <v>48CW Caldwell Memorial Hospital</v>
      </c>
      <c r="B37" s="1329" t="s">
        <v>4597</v>
      </c>
      <c r="C37" s="1329" t="str">
        <f t="shared" si="1"/>
        <v>48CW</v>
      </c>
      <c r="D37" s="474" t="s">
        <v>5018</v>
      </c>
      <c r="E37" s="474" t="s">
        <v>5011</v>
      </c>
      <c r="F37" s="474" t="s">
        <v>5516</v>
      </c>
      <c r="G37" s="693" t="s">
        <v>5520</v>
      </c>
      <c r="H37" s="474" t="s">
        <v>5521</v>
      </c>
      <c r="I37" s="693" t="s">
        <v>5522</v>
      </c>
      <c r="J37" s="693" t="s">
        <v>4601</v>
      </c>
      <c r="K37" s="554"/>
      <c r="L37" s="474"/>
      <c r="M37" s="474"/>
      <c r="N37" s="1536" t="str">
        <f t="shared" si="5"/>
        <v>48CW</v>
      </c>
      <c r="O37" s="1537"/>
    </row>
    <row r="38" spans="1:15" x14ac:dyDescent="0.25">
      <c r="A38" s="474" t="str">
        <f t="shared" si="6"/>
        <v>50 Community College System Office</v>
      </c>
      <c r="B38" s="1329">
        <v>50</v>
      </c>
      <c r="C38" s="1329" t="str">
        <f t="shared" si="1"/>
        <v>50</v>
      </c>
      <c r="D38" s="474" t="s">
        <v>436</v>
      </c>
      <c r="E38" s="474" t="s">
        <v>4965</v>
      </c>
      <c r="F38" s="474" t="s">
        <v>1823</v>
      </c>
      <c r="G38" s="693" t="s">
        <v>6089</v>
      </c>
      <c r="H38" s="474" t="s">
        <v>5540</v>
      </c>
      <c r="I38" s="1672" t="s">
        <v>6090</v>
      </c>
      <c r="J38" s="474"/>
      <c r="K38" s="474"/>
      <c r="L38" s="474"/>
      <c r="M38" s="474"/>
      <c r="N38" s="1536" t="str">
        <f t="shared" si="5"/>
        <v>50</v>
      </c>
      <c r="O38" s="1537" t="s">
        <v>5541</v>
      </c>
    </row>
    <row r="39" spans="1:15" x14ac:dyDescent="0.25">
      <c r="A39" s="474"/>
      <c r="B39" s="1329" t="s">
        <v>5021</v>
      </c>
      <c r="C39" s="1329" t="s">
        <v>5021</v>
      </c>
      <c r="D39" s="474" t="s">
        <v>5022</v>
      </c>
      <c r="E39" s="474" t="s">
        <v>4965</v>
      </c>
      <c r="F39" s="474" t="s">
        <v>1825</v>
      </c>
      <c r="G39" s="693" t="s">
        <v>5542</v>
      </c>
      <c r="H39" s="474" t="s">
        <v>5543</v>
      </c>
      <c r="I39" s="1672" t="s">
        <v>5544</v>
      </c>
      <c r="J39" s="474"/>
      <c r="K39" s="474"/>
      <c r="L39" s="474"/>
      <c r="M39" s="474"/>
      <c r="N39" s="1536" t="s">
        <v>5021</v>
      </c>
      <c r="O39" s="1537" t="s">
        <v>5545</v>
      </c>
    </row>
    <row r="40" spans="1:15" x14ac:dyDescent="0.25">
      <c r="A40" s="474" t="str">
        <f t="shared" si="6"/>
        <v>60 State Board of Elections</v>
      </c>
      <c r="B40" s="1329">
        <v>60</v>
      </c>
      <c r="C40" s="1329" t="str">
        <f t="shared" si="1"/>
        <v>60</v>
      </c>
      <c r="D40" s="474" t="s">
        <v>5024</v>
      </c>
      <c r="E40" s="474" t="s">
        <v>4965</v>
      </c>
      <c r="F40" s="474" t="s">
        <v>1823</v>
      </c>
      <c r="G40" s="693" t="s">
        <v>5445</v>
      </c>
      <c r="H40" s="474" t="s">
        <v>5446</v>
      </c>
      <c r="I40" s="474" t="s">
        <v>5447</v>
      </c>
      <c r="J40" s="474"/>
      <c r="K40" s="474"/>
      <c r="L40" s="474"/>
      <c r="M40" s="474"/>
      <c r="N40" s="1536" t="str">
        <f t="shared" si="5"/>
        <v>60</v>
      </c>
      <c r="O40" s="1537" t="s">
        <v>5546</v>
      </c>
    </row>
    <row r="41" spans="1:15" x14ac:dyDescent="0.25">
      <c r="A41" s="474" t="str">
        <f t="shared" si="6"/>
        <v>61 NC Education Lottery</v>
      </c>
      <c r="B41" s="1329" t="s">
        <v>5025</v>
      </c>
      <c r="C41" s="1329" t="str">
        <f t="shared" si="1"/>
        <v>61</v>
      </c>
      <c r="D41" s="474" t="s">
        <v>5026</v>
      </c>
      <c r="E41" s="474" t="s">
        <v>4965</v>
      </c>
      <c r="F41" s="474" t="s">
        <v>1823</v>
      </c>
      <c r="G41" s="693" t="s">
        <v>5547</v>
      </c>
      <c r="H41" s="474" t="s">
        <v>5548</v>
      </c>
      <c r="I41" s="474" t="s">
        <v>5549</v>
      </c>
      <c r="J41" s="474"/>
      <c r="K41" s="474"/>
      <c r="L41" s="474"/>
      <c r="M41" s="474"/>
      <c r="N41" s="1536" t="str">
        <f t="shared" si="5"/>
        <v>61</v>
      </c>
      <c r="O41" s="1537" t="s">
        <v>5550</v>
      </c>
    </row>
    <row r="42" spans="1:15" x14ac:dyDescent="0.25">
      <c r="A42" s="474" t="str">
        <f t="shared" si="6"/>
        <v>67 Office of Administrative Hearings</v>
      </c>
      <c r="B42" s="1329">
        <v>67</v>
      </c>
      <c r="C42" s="1329" t="str">
        <f t="shared" si="1"/>
        <v>67</v>
      </c>
      <c r="D42" s="474" t="s">
        <v>5028</v>
      </c>
      <c r="E42" s="474" t="s">
        <v>4965</v>
      </c>
      <c r="F42" s="474" t="s">
        <v>1823</v>
      </c>
      <c r="G42" s="693" t="s">
        <v>5551</v>
      </c>
      <c r="H42" s="474" t="s">
        <v>5552</v>
      </c>
      <c r="I42" s="1664" t="s">
        <v>5553</v>
      </c>
      <c r="J42" s="474"/>
      <c r="K42" s="474"/>
      <c r="L42" s="474"/>
      <c r="M42" s="474"/>
      <c r="N42" s="1536" t="str">
        <f t="shared" si="5"/>
        <v>67</v>
      </c>
      <c r="O42" s="1537" t="s">
        <v>5554</v>
      </c>
    </row>
    <row r="43" spans="1:15" x14ac:dyDescent="0.25">
      <c r="A43" s="474" t="str">
        <f t="shared" si="6"/>
        <v>69 USS North Carolina Battleship Comm.</v>
      </c>
      <c r="B43" s="1329" t="s">
        <v>5029</v>
      </c>
      <c r="C43" s="1329" t="str">
        <f t="shared" si="1"/>
        <v>69</v>
      </c>
      <c r="D43" s="474" t="s">
        <v>5030</v>
      </c>
      <c r="E43" s="474" t="s">
        <v>4965</v>
      </c>
      <c r="F43" s="474" t="s">
        <v>5516</v>
      </c>
      <c r="G43" s="693" t="s">
        <v>5555</v>
      </c>
      <c r="H43" s="474" t="s">
        <v>5556</v>
      </c>
      <c r="I43" s="1664" t="s">
        <v>5557</v>
      </c>
      <c r="J43" s="474"/>
      <c r="K43" s="474"/>
      <c r="L43" s="474"/>
      <c r="M43" s="474"/>
      <c r="N43" s="1536" t="str">
        <f t="shared" si="5"/>
        <v>69</v>
      </c>
      <c r="O43" s="1537" t="s">
        <v>5558</v>
      </c>
    </row>
    <row r="44" spans="1:15" x14ac:dyDescent="0.25">
      <c r="A44" s="474" t="str">
        <f t="shared" si="6"/>
        <v>6BC Deferred Comp &amp; NC 401(k)-Combined Pkg</v>
      </c>
      <c r="B44" s="1329" t="s">
        <v>4714</v>
      </c>
      <c r="C44" s="1329" t="str">
        <f t="shared" si="1"/>
        <v>6BC</v>
      </c>
      <c r="D44" s="554" t="s">
        <v>5031</v>
      </c>
      <c r="E44" s="474" t="s">
        <v>4965</v>
      </c>
      <c r="F44" s="474" t="s">
        <v>5516</v>
      </c>
      <c r="G44" s="693" t="s">
        <v>5457</v>
      </c>
      <c r="H44" s="474" t="s">
        <v>5458</v>
      </c>
      <c r="I44" s="1664" t="s">
        <v>5459</v>
      </c>
      <c r="J44" s="474"/>
      <c r="K44" s="604"/>
      <c r="L44" s="474"/>
      <c r="M44" s="474"/>
      <c r="N44" s="1536" t="str">
        <f t="shared" ref="N44:N66" si="7">C44</f>
        <v>6BC</v>
      </c>
      <c r="O44" s="1537"/>
    </row>
    <row r="45" spans="1:15" x14ac:dyDescent="0.25">
      <c r="A45" s="474" t="str">
        <f t="shared" si="6"/>
        <v>87 NC School of Science &amp; Mathematics</v>
      </c>
      <c r="B45" s="1329">
        <v>87</v>
      </c>
      <c r="C45" s="1329" t="str">
        <f t="shared" si="1"/>
        <v>87</v>
      </c>
      <c r="D45" s="474" t="s">
        <v>5033</v>
      </c>
      <c r="E45" s="474" t="s">
        <v>5011</v>
      </c>
      <c r="F45" s="474" t="s">
        <v>1823</v>
      </c>
      <c r="G45" s="693" t="s">
        <v>5559</v>
      </c>
      <c r="H45" s="474" t="s">
        <v>5560</v>
      </c>
      <c r="I45" s="1664" t="s">
        <v>5561</v>
      </c>
      <c r="J45" s="474" t="s">
        <v>1940</v>
      </c>
      <c r="K45" s="694" t="s">
        <v>5562</v>
      </c>
      <c r="L45" s="474"/>
      <c r="M45" s="474"/>
      <c r="N45" s="1536" t="str">
        <f t="shared" si="7"/>
        <v>87</v>
      </c>
      <c r="O45" s="1537" t="s">
        <v>5563</v>
      </c>
    </row>
    <row r="46" spans="1:15" x14ac:dyDescent="0.25">
      <c r="A46" s="474" t="str">
        <f t="shared" si="6"/>
        <v>90 General Fund - OSC</v>
      </c>
      <c r="B46" s="1329" t="s">
        <v>5034</v>
      </c>
      <c r="C46" s="1329" t="str">
        <f t="shared" si="1"/>
        <v>90</v>
      </c>
      <c r="D46" s="474" t="s">
        <v>5035</v>
      </c>
      <c r="E46" s="474" t="s">
        <v>4965</v>
      </c>
      <c r="F46" s="474" t="s">
        <v>1823</v>
      </c>
      <c r="G46" s="693" t="s">
        <v>5564</v>
      </c>
      <c r="H46" s="474" t="s">
        <v>5565</v>
      </c>
      <c r="I46" s="1664" t="s">
        <v>5566</v>
      </c>
      <c r="J46" s="474"/>
      <c r="K46" s="474"/>
      <c r="L46" s="474"/>
      <c r="M46" s="474"/>
      <c r="N46" s="1536" t="str">
        <f t="shared" si="7"/>
        <v>90</v>
      </c>
      <c r="O46" s="1537" t="s">
        <v>5567</v>
      </c>
    </row>
    <row r="47" spans="1:15" x14ac:dyDescent="0.25">
      <c r="A47" s="474" t="str">
        <f t="shared" si="6"/>
        <v>99 General Fund - DOR</v>
      </c>
      <c r="B47" s="1329" t="s">
        <v>5036</v>
      </c>
      <c r="C47" s="1329" t="str">
        <f t="shared" si="1"/>
        <v>99</v>
      </c>
      <c r="D47" s="474" t="s">
        <v>5037</v>
      </c>
      <c r="E47" s="474" t="s">
        <v>4965</v>
      </c>
      <c r="F47" s="474" t="s">
        <v>1823</v>
      </c>
      <c r="G47" s="693" t="s">
        <v>5568</v>
      </c>
      <c r="H47" s="474" t="s">
        <v>5569</v>
      </c>
      <c r="I47" s="1664" t="s">
        <v>5570</v>
      </c>
      <c r="J47" s="474"/>
      <c r="K47" s="474"/>
      <c r="L47" s="474"/>
      <c r="M47" s="474"/>
      <c r="N47" s="1536" t="str">
        <f t="shared" si="7"/>
        <v>99</v>
      </c>
      <c r="O47" s="1537" t="s">
        <v>5571</v>
      </c>
    </row>
    <row r="48" spans="1:15" x14ac:dyDescent="0.25">
      <c r="A48" s="474" t="str">
        <f t="shared" si="6"/>
        <v>RX OSC-Central Accounts</v>
      </c>
      <c r="B48" s="1329" t="s">
        <v>5038</v>
      </c>
      <c r="C48" s="1329" t="str">
        <f t="shared" ref="C48:C65" si="8">B48</f>
        <v>RX</v>
      </c>
      <c r="D48" s="474" t="s">
        <v>5039</v>
      </c>
      <c r="E48" s="474" t="s">
        <v>4965</v>
      </c>
      <c r="F48" s="474" t="s">
        <v>1823</v>
      </c>
      <c r="G48" s="693" t="s">
        <v>5572</v>
      </c>
      <c r="H48" s="474" t="s">
        <v>5573</v>
      </c>
      <c r="I48" s="1664" t="s">
        <v>5574</v>
      </c>
      <c r="J48" s="474"/>
      <c r="K48" s="474"/>
      <c r="L48" s="474"/>
      <c r="M48" s="474"/>
      <c r="N48" s="1536" t="str">
        <f t="shared" si="7"/>
        <v>RX</v>
      </c>
      <c r="O48" s="1537" t="s">
        <v>5575</v>
      </c>
    </row>
    <row r="49" spans="1:16" ht="18.75" x14ac:dyDescent="0.3">
      <c r="A49" s="474" t="str">
        <f t="shared" si="6"/>
        <v>U10 UNC-System Office</v>
      </c>
      <c r="B49" s="1329" t="s">
        <v>5040</v>
      </c>
      <c r="C49" s="1329" t="str">
        <f t="shared" si="8"/>
        <v>U10</v>
      </c>
      <c r="D49" s="474" t="s">
        <v>5041</v>
      </c>
      <c r="E49" s="474" t="s">
        <v>5011</v>
      </c>
      <c r="F49" s="474" t="s">
        <v>5576</v>
      </c>
      <c r="G49" s="693" t="s">
        <v>6084</v>
      </c>
      <c r="H49" s="474" t="s">
        <v>6085</v>
      </c>
      <c r="I49" s="1664" t="s">
        <v>5577</v>
      </c>
      <c r="J49" s="474" t="s">
        <v>1940</v>
      </c>
      <c r="K49" s="1438" t="s">
        <v>5578</v>
      </c>
      <c r="L49" s="474"/>
      <c r="M49" s="474"/>
      <c r="N49" s="1536" t="str">
        <f t="shared" si="7"/>
        <v>U10</v>
      </c>
      <c r="O49" s="1537" t="s">
        <v>5579</v>
      </c>
      <c r="P49" s="474" t="s">
        <v>5040</v>
      </c>
    </row>
    <row r="50" spans="1:16" ht="18.75" x14ac:dyDescent="0.3">
      <c r="A50" s="474" t="str">
        <f t="shared" si="6"/>
        <v>U20 UNC at Chapel Hill</v>
      </c>
      <c r="B50" s="1329" t="s">
        <v>5042</v>
      </c>
      <c r="C50" s="1329" t="str">
        <f t="shared" si="8"/>
        <v>U20</v>
      </c>
      <c r="D50" s="474" t="s">
        <v>5043</v>
      </c>
      <c r="E50" s="474" t="s">
        <v>5011</v>
      </c>
      <c r="F50" s="474" t="s">
        <v>5576</v>
      </c>
      <c r="G50" s="693" t="s">
        <v>5580</v>
      </c>
      <c r="H50" s="474" t="s">
        <v>5581</v>
      </c>
      <c r="I50" s="1664" t="s">
        <v>5582</v>
      </c>
      <c r="J50" s="474" t="s">
        <v>1940</v>
      </c>
      <c r="K50" s="554"/>
      <c r="L50" s="474"/>
      <c r="M50" s="474"/>
      <c r="N50" s="1536" t="str">
        <f t="shared" si="7"/>
        <v>U20</v>
      </c>
      <c r="O50" s="1537" t="s">
        <v>5583</v>
      </c>
      <c r="P50" s="474" t="s">
        <v>5042</v>
      </c>
    </row>
    <row r="51" spans="1:16" ht="18.75" x14ac:dyDescent="0.3">
      <c r="A51" s="474" t="str">
        <f t="shared" si="6"/>
        <v>U30 North Carolina State University</v>
      </c>
      <c r="B51" s="1329" t="s">
        <v>5044</v>
      </c>
      <c r="C51" s="1329" t="str">
        <f t="shared" si="8"/>
        <v>U30</v>
      </c>
      <c r="D51" s="474" t="s">
        <v>5045</v>
      </c>
      <c r="E51" s="474" t="s">
        <v>5011</v>
      </c>
      <c r="F51" s="474" t="s">
        <v>5576</v>
      </c>
      <c r="G51" s="693" t="s">
        <v>5584</v>
      </c>
      <c r="H51" s="474" t="s">
        <v>5585</v>
      </c>
      <c r="I51" s="1664" t="s">
        <v>5586</v>
      </c>
      <c r="J51" s="474" t="s">
        <v>1940</v>
      </c>
      <c r="K51" s="554"/>
      <c r="L51" s="474"/>
      <c r="M51" s="474"/>
      <c r="N51" s="1536" t="str">
        <f t="shared" si="7"/>
        <v>U30</v>
      </c>
      <c r="O51" s="1537" t="s">
        <v>5587</v>
      </c>
      <c r="P51" s="474" t="s">
        <v>5044</v>
      </c>
    </row>
    <row r="52" spans="1:16" ht="18.75" x14ac:dyDescent="0.3">
      <c r="A52" s="474" t="str">
        <f t="shared" si="6"/>
        <v>U40 UNC at Greensboro</v>
      </c>
      <c r="B52" s="1329" t="s">
        <v>5046</v>
      </c>
      <c r="C52" s="1329" t="str">
        <f t="shared" si="8"/>
        <v>U40</v>
      </c>
      <c r="D52" s="474" t="s">
        <v>5047</v>
      </c>
      <c r="E52" s="474" t="s">
        <v>5011</v>
      </c>
      <c r="F52" s="474" t="s">
        <v>5576</v>
      </c>
      <c r="G52" s="693" t="s">
        <v>5588</v>
      </c>
      <c r="H52" s="474" t="s">
        <v>5589</v>
      </c>
      <c r="I52" s="1664" t="s">
        <v>5590</v>
      </c>
      <c r="J52" s="474" t="s">
        <v>1940</v>
      </c>
      <c r="K52" s="474"/>
      <c r="L52" s="474"/>
      <c r="M52" s="474"/>
      <c r="N52" s="1536" t="str">
        <f t="shared" si="7"/>
        <v>U40</v>
      </c>
      <c r="O52" s="1537" t="s">
        <v>5591</v>
      </c>
      <c r="P52" s="474" t="s">
        <v>5046</v>
      </c>
    </row>
    <row r="53" spans="1:16" ht="18.75" x14ac:dyDescent="0.3">
      <c r="A53" s="474" t="str">
        <f t="shared" si="6"/>
        <v>U50 UNC at Charlotte</v>
      </c>
      <c r="B53" s="1329" t="s">
        <v>5048</v>
      </c>
      <c r="C53" s="1329" t="str">
        <f t="shared" si="8"/>
        <v>U50</v>
      </c>
      <c r="D53" s="474" t="s">
        <v>5049</v>
      </c>
      <c r="E53" s="474" t="s">
        <v>5011</v>
      </c>
      <c r="F53" s="474" t="s">
        <v>5576</v>
      </c>
      <c r="G53" s="693" t="s">
        <v>5592</v>
      </c>
      <c r="H53" s="474" t="s">
        <v>5593</v>
      </c>
      <c r="I53" s="693" t="s">
        <v>5594</v>
      </c>
      <c r="J53" s="474" t="s">
        <v>1940</v>
      </c>
      <c r="K53" s="474"/>
      <c r="L53" s="474"/>
      <c r="M53" s="474"/>
      <c r="N53" s="1536" t="str">
        <f t="shared" si="7"/>
        <v>U50</v>
      </c>
      <c r="O53" s="1537" t="s">
        <v>5595</v>
      </c>
      <c r="P53" s="474" t="s">
        <v>5048</v>
      </c>
    </row>
    <row r="54" spans="1:16" ht="18.75" x14ac:dyDescent="0.3">
      <c r="A54" s="474" t="str">
        <f t="shared" si="6"/>
        <v>U55 UNC at Asheville</v>
      </c>
      <c r="B54" s="1329" t="s">
        <v>5050</v>
      </c>
      <c r="C54" s="1329" t="str">
        <f t="shared" si="8"/>
        <v>U55</v>
      </c>
      <c r="D54" s="474" t="s">
        <v>5051</v>
      </c>
      <c r="E54" s="474" t="s">
        <v>5011</v>
      </c>
      <c r="F54" s="474" t="s">
        <v>5576</v>
      </c>
      <c r="G54" s="693" t="s">
        <v>5596</v>
      </c>
      <c r="H54" s="474" t="s">
        <v>5597</v>
      </c>
      <c r="I54" s="474" t="s">
        <v>5598</v>
      </c>
      <c r="J54" s="474" t="s">
        <v>1940</v>
      </c>
      <c r="K54" s="474"/>
      <c r="L54" s="474"/>
      <c r="M54" s="474"/>
      <c r="N54" s="1536" t="str">
        <f t="shared" si="7"/>
        <v>U55</v>
      </c>
      <c r="O54" s="1537" t="s">
        <v>5599</v>
      </c>
      <c r="P54" s="474" t="s">
        <v>5050</v>
      </c>
    </row>
    <row r="55" spans="1:16" ht="18.75" x14ac:dyDescent="0.3">
      <c r="A55" s="474" t="str">
        <f t="shared" si="6"/>
        <v>U60 UNC at Wilmington</v>
      </c>
      <c r="B55" s="1329" t="s">
        <v>5052</v>
      </c>
      <c r="C55" s="1329" t="str">
        <f t="shared" si="8"/>
        <v>U60</v>
      </c>
      <c r="D55" s="474" t="s">
        <v>5053</v>
      </c>
      <c r="E55" s="474" t="s">
        <v>5011</v>
      </c>
      <c r="F55" s="474" t="s">
        <v>5576</v>
      </c>
      <c r="G55" s="693" t="s">
        <v>5600</v>
      </c>
      <c r="H55" s="474" t="s">
        <v>5601</v>
      </c>
      <c r="I55" s="1664" t="s">
        <v>5602</v>
      </c>
      <c r="J55" s="474" t="s">
        <v>1940</v>
      </c>
      <c r="K55" s="554"/>
      <c r="L55" s="474"/>
      <c r="M55" s="474"/>
      <c r="N55" s="1536" t="str">
        <f t="shared" si="7"/>
        <v>U60</v>
      </c>
      <c r="O55" s="1537" t="s">
        <v>5603</v>
      </c>
      <c r="P55" s="474" t="s">
        <v>5052</v>
      </c>
    </row>
    <row r="56" spans="1:16" ht="18.75" x14ac:dyDescent="0.3">
      <c r="A56" s="474" t="str">
        <f t="shared" si="6"/>
        <v>U65 East Carolina University</v>
      </c>
      <c r="B56" s="1329" t="s">
        <v>5054</v>
      </c>
      <c r="C56" s="1329" t="str">
        <f t="shared" si="8"/>
        <v>U65</v>
      </c>
      <c r="D56" s="474" t="s">
        <v>5055</v>
      </c>
      <c r="E56" s="474" t="s">
        <v>5011</v>
      </c>
      <c r="F56" s="474" t="s">
        <v>5576</v>
      </c>
      <c r="G56" s="693" t="s">
        <v>5604</v>
      </c>
      <c r="H56" s="474" t="s">
        <v>5605</v>
      </c>
      <c r="I56" s="1664" t="s">
        <v>5606</v>
      </c>
      <c r="J56" s="474" t="s">
        <v>1940</v>
      </c>
      <c r="K56" s="554"/>
      <c r="L56" s="474"/>
      <c r="M56" s="474"/>
      <c r="N56" s="1536" t="str">
        <f t="shared" si="7"/>
        <v>U65</v>
      </c>
      <c r="O56" s="1537" t="s">
        <v>5607</v>
      </c>
      <c r="P56" s="474" t="s">
        <v>5054</v>
      </c>
    </row>
    <row r="57" spans="1:16" ht="18.75" x14ac:dyDescent="0.3">
      <c r="A57" s="474" t="str">
        <f t="shared" si="6"/>
        <v>U70 North Carolina A&amp;T University</v>
      </c>
      <c r="B57" s="1329" t="s">
        <v>5056</v>
      </c>
      <c r="C57" s="1329" t="str">
        <f t="shared" si="8"/>
        <v>U70</v>
      </c>
      <c r="D57" s="474" t="s">
        <v>5057</v>
      </c>
      <c r="E57" s="474" t="s">
        <v>5011</v>
      </c>
      <c r="F57" s="474" t="s">
        <v>5576</v>
      </c>
      <c r="G57" s="693" t="s">
        <v>5608</v>
      </c>
      <c r="H57" s="474" t="s">
        <v>5609</v>
      </c>
      <c r="I57" s="1664" t="s">
        <v>5610</v>
      </c>
      <c r="J57" s="474" t="s">
        <v>1940</v>
      </c>
      <c r="K57" s="554"/>
      <c r="L57" s="474"/>
      <c r="M57" s="474"/>
      <c r="N57" s="1536" t="str">
        <f t="shared" si="7"/>
        <v>U70</v>
      </c>
      <c r="O57" s="1537" t="s">
        <v>5611</v>
      </c>
      <c r="P57" s="474" t="s">
        <v>5056</v>
      </c>
    </row>
    <row r="58" spans="1:16" ht="18.75" x14ac:dyDescent="0.3">
      <c r="A58" s="474" t="str">
        <f t="shared" si="6"/>
        <v>U75 Western Carolina University</v>
      </c>
      <c r="B58" s="1329" t="s">
        <v>5058</v>
      </c>
      <c r="C58" s="1329" t="str">
        <f t="shared" si="8"/>
        <v>U75</v>
      </c>
      <c r="D58" s="474" t="s">
        <v>5059</v>
      </c>
      <c r="E58" s="474" t="s">
        <v>5011</v>
      </c>
      <c r="F58" s="474" t="s">
        <v>5576</v>
      </c>
      <c r="G58" s="693" t="s">
        <v>5612</v>
      </c>
      <c r="H58" s="474" t="s">
        <v>5613</v>
      </c>
      <c r="I58" s="1664" t="s">
        <v>5614</v>
      </c>
      <c r="J58" s="474" t="s">
        <v>1940</v>
      </c>
      <c r="K58" s="474"/>
      <c r="L58" s="474"/>
      <c r="M58" s="474"/>
      <c r="N58" s="1536" t="str">
        <f t="shared" si="7"/>
        <v>U75</v>
      </c>
      <c r="O58" s="1537" t="s">
        <v>5615</v>
      </c>
      <c r="P58" s="474" t="s">
        <v>5058</v>
      </c>
    </row>
    <row r="59" spans="1:16" ht="18.75" x14ac:dyDescent="0.3">
      <c r="A59" s="474" t="str">
        <f t="shared" si="6"/>
        <v>U80 Appalachian State University</v>
      </c>
      <c r="B59" s="1329" t="s">
        <v>5060</v>
      </c>
      <c r="C59" s="1329" t="str">
        <f t="shared" si="8"/>
        <v>U80</v>
      </c>
      <c r="D59" s="474" t="s">
        <v>5061</v>
      </c>
      <c r="E59" s="474" t="s">
        <v>5011</v>
      </c>
      <c r="F59" s="474" t="s">
        <v>5576</v>
      </c>
      <c r="G59" s="693" t="s">
        <v>5616</v>
      </c>
      <c r="H59" s="474" t="s">
        <v>5617</v>
      </c>
      <c r="I59" s="1664" t="s">
        <v>5618</v>
      </c>
      <c r="J59" s="474" t="s">
        <v>1940</v>
      </c>
      <c r="K59" s="474"/>
      <c r="L59" s="474"/>
      <c r="M59" s="474"/>
      <c r="N59" s="1536" t="str">
        <f t="shared" si="7"/>
        <v>U80</v>
      </c>
      <c r="O59" s="1537" t="s">
        <v>5619</v>
      </c>
      <c r="P59" s="474" t="s">
        <v>5060</v>
      </c>
    </row>
    <row r="60" spans="1:16" ht="18.75" x14ac:dyDescent="0.3">
      <c r="A60" s="474" t="str">
        <f t="shared" si="6"/>
        <v>U82 UNC at Pembroke</v>
      </c>
      <c r="B60" s="1329" t="s">
        <v>5062</v>
      </c>
      <c r="C60" s="1329" t="str">
        <f t="shared" si="8"/>
        <v>U82</v>
      </c>
      <c r="D60" s="474" t="s">
        <v>5063</v>
      </c>
      <c r="E60" s="474" t="s">
        <v>5011</v>
      </c>
      <c r="F60" s="474" t="s">
        <v>5576</v>
      </c>
      <c r="G60" s="693" t="s">
        <v>5620</v>
      </c>
      <c r="H60" s="474" t="s">
        <v>5621</v>
      </c>
      <c r="I60" s="693" t="s">
        <v>5622</v>
      </c>
      <c r="J60" s="474" t="s">
        <v>1940</v>
      </c>
      <c r="K60" s="474"/>
      <c r="L60" s="474"/>
      <c r="M60" s="474"/>
      <c r="N60" s="1536" t="str">
        <f t="shared" si="7"/>
        <v>U82</v>
      </c>
      <c r="O60" s="1537" t="s">
        <v>5623</v>
      </c>
      <c r="P60" s="474" t="s">
        <v>5062</v>
      </c>
    </row>
    <row r="61" spans="1:16" ht="18.75" x14ac:dyDescent="0.3">
      <c r="A61" s="474" t="str">
        <f t="shared" si="6"/>
        <v>U84 Winston-Salem State University</v>
      </c>
      <c r="B61" s="1329" t="s">
        <v>5064</v>
      </c>
      <c r="C61" s="1329" t="str">
        <f t="shared" si="8"/>
        <v>U84</v>
      </c>
      <c r="D61" s="474" t="s">
        <v>5065</v>
      </c>
      <c r="E61" s="474" t="s">
        <v>5011</v>
      </c>
      <c r="F61" s="474" t="s">
        <v>5576</v>
      </c>
      <c r="G61" s="693" t="s">
        <v>6086</v>
      </c>
      <c r="H61" s="474" t="s">
        <v>5624</v>
      </c>
      <c r="I61" s="1665" t="s">
        <v>6087</v>
      </c>
      <c r="J61" s="474" t="s">
        <v>1940</v>
      </c>
      <c r="K61" s="474"/>
      <c r="L61" s="474"/>
      <c r="M61" s="474"/>
      <c r="N61" s="1536" t="str">
        <f t="shared" si="7"/>
        <v>U84</v>
      </c>
      <c r="O61" s="1537" t="s">
        <v>5625</v>
      </c>
      <c r="P61" s="474" t="s">
        <v>5064</v>
      </c>
    </row>
    <row r="62" spans="1:16" ht="18.75" x14ac:dyDescent="0.3">
      <c r="A62" s="474" t="str">
        <f t="shared" si="6"/>
        <v>U86 Elizabeth City State University</v>
      </c>
      <c r="B62" s="1329" t="s">
        <v>5066</v>
      </c>
      <c r="C62" s="1329" t="str">
        <f t="shared" si="8"/>
        <v>U86</v>
      </c>
      <c r="D62" s="474" t="s">
        <v>5067</v>
      </c>
      <c r="E62" s="474" t="s">
        <v>5011</v>
      </c>
      <c r="F62" s="474" t="s">
        <v>5576</v>
      </c>
      <c r="G62" s="693" t="s">
        <v>5626</v>
      </c>
      <c r="H62" s="474" t="s">
        <v>5627</v>
      </c>
      <c r="I62" s="1664" t="s">
        <v>5628</v>
      </c>
      <c r="J62" s="474" t="s">
        <v>1940</v>
      </c>
      <c r="K62" s="474"/>
      <c r="L62" s="474"/>
      <c r="M62" s="474"/>
      <c r="N62" s="1536" t="str">
        <f t="shared" si="7"/>
        <v>U86</v>
      </c>
      <c r="O62" s="1537" t="s">
        <v>5629</v>
      </c>
      <c r="P62" s="474" t="s">
        <v>5066</v>
      </c>
    </row>
    <row r="63" spans="1:16" ht="18.75" x14ac:dyDescent="0.3">
      <c r="A63" s="474" t="str">
        <f t="shared" si="6"/>
        <v>U88 Fayetteville State University</v>
      </c>
      <c r="B63" s="1329" t="s">
        <v>5068</v>
      </c>
      <c r="C63" s="1329" t="str">
        <f t="shared" si="8"/>
        <v>U88</v>
      </c>
      <c r="D63" s="474" t="s">
        <v>5069</v>
      </c>
      <c r="E63" s="474" t="s">
        <v>5011</v>
      </c>
      <c r="F63" s="474" t="s">
        <v>5576</v>
      </c>
      <c r="G63" s="693" t="s">
        <v>5630</v>
      </c>
      <c r="H63" s="474" t="s">
        <v>5631</v>
      </c>
      <c r="I63" s="1664" t="s">
        <v>5632</v>
      </c>
      <c r="J63" s="474" t="s">
        <v>1940</v>
      </c>
      <c r="K63" s="474"/>
      <c r="L63" s="474"/>
      <c r="M63" s="474"/>
      <c r="N63" s="1536" t="str">
        <f t="shared" si="7"/>
        <v>U88</v>
      </c>
      <c r="O63" s="1537" t="s">
        <v>5633</v>
      </c>
      <c r="P63" s="474" t="s">
        <v>5068</v>
      </c>
    </row>
    <row r="64" spans="1:16" ht="18.75" x14ac:dyDescent="0.3">
      <c r="A64" s="474" t="str">
        <f t="shared" si="6"/>
        <v>U90 North Carolina Central University</v>
      </c>
      <c r="B64" s="1329" t="s">
        <v>5070</v>
      </c>
      <c r="C64" s="1329" t="str">
        <f t="shared" si="8"/>
        <v>U90</v>
      </c>
      <c r="D64" s="474" t="s">
        <v>5071</v>
      </c>
      <c r="E64" s="474" t="s">
        <v>5011</v>
      </c>
      <c r="F64" s="474" t="s">
        <v>5576</v>
      </c>
      <c r="G64" s="693" t="s">
        <v>5634</v>
      </c>
      <c r="H64" s="474" t="s">
        <v>5635</v>
      </c>
      <c r="I64" s="1664" t="s">
        <v>5636</v>
      </c>
      <c r="J64" s="474" t="s">
        <v>1940</v>
      </c>
      <c r="K64" s="474"/>
      <c r="L64" s="474"/>
      <c r="M64" s="474"/>
      <c r="N64" s="1536" t="str">
        <f t="shared" si="7"/>
        <v>U90</v>
      </c>
      <c r="O64" s="1537" t="s">
        <v>5637</v>
      </c>
      <c r="P64" s="474" t="s">
        <v>5070</v>
      </c>
    </row>
    <row r="65" spans="1:16" ht="18.75" x14ac:dyDescent="0.3">
      <c r="A65" s="474" t="str">
        <f t="shared" si="6"/>
        <v>U92 UNC School of the Arts</v>
      </c>
      <c r="B65" s="1329" t="s">
        <v>5072</v>
      </c>
      <c r="C65" s="1329" t="str">
        <f t="shared" si="8"/>
        <v>U92</v>
      </c>
      <c r="D65" s="474" t="s">
        <v>5073</v>
      </c>
      <c r="E65" s="474" t="s">
        <v>5011</v>
      </c>
      <c r="F65" s="474" t="s">
        <v>5576</v>
      </c>
      <c r="G65" s="693" t="s">
        <v>6091</v>
      </c>
      <c r="H65" s="474" t="s">
        <v>6092</v>
      </c>
      <c r="I65" s="1664" t="s">
        <v>6093</v>
      </c>
      <c r="J65" s="474" t="s">
        <v>1940</v>
      </c>
      <c r="K65" s="474"/>
      <c r="L65" s="474"/>
      <c r="M65" s="474"/>
      <c r="N65" s="1536" t="str">
        <f t="shared" si="7"/>
        <v>U92</v>
      </c>
      <c r="O65" s="1537" t="s">
        <v>5638</v>
      </c>
      <c r="P65" s="474" t="s">
        <v>5072</v>
      </c>
    </row>
    <row r="66" spans="1:16" x14ac:dyDescent="0.25">
      <c r="A66" s="474" t="str">
        <f t="shared" si="6"/>
        <v>0A North Carolina Housing Finance Ag.</v>
      </c>
      <c r="B66" s="1329" t="s">
        <v>5081</v>
      </c>
      <c r="C66" s="1329" t="str">
        <f>TEXT(B66,"00")</f>
        <v>0A</v>
      </c>
      <c r="D66" s="474" t="s">
        <v>5082</v>
      </c>
      <c r="E66" s="474" t="s">
        <v>5083</v>
      </c>
      <c r="F66" s="474" t="s">
        <v>5516</v>
      </c>
      <c r="G66" s="693" t="s">
        <v>5639</v>
      </c>
      <c r="H66" s="474" t="s">
        <v>5640</v>
      </c>
      <c r="J66" s="693">
        <v>2611</v>
      </c>
      <c r="K66" s="554" t="s">
        <v>5641</v>
      </c>
      <c r="L66" s="474"/>
      <c r="M66" s="474"/>
      <c r="N66" s="1536" t="str">
        <f t="shared" si="7"/>
        <v>0A</v>
      </c>
      <c r="O66" s="1537" t="s">
        <v>5642</v>
      </c>
    </row>
    <row r="67" spans="1:16" x14ac:dyDescent="0.25">
      <c r="A67" s="474" t="str">
        <f t="shared" si="6"/>
        <v>Z2 NC Biotechnology Center</v>
      </c>
      <c r="B67" s="1329" t="s">
        <v>5084</v>
      </c>
      <c r="C67" s="1329" t="str">
        <f t="shared" ref="C67:C77" si="9">B67</f>
        <v>Z2</v>
      </c>
      <c r="D67" s="474" t="s">
        <v>5085</v>
      </c>
      <c r="E67" s="474" t="s">
        <v>5083</v>
      </c>
      <c r="F67" s="474" t="s">
        <v>5516</v>
      </c>
      <c r="G67" s="693" t="s">
        <v>6082</v>
      </c>
      <c r="H67" s="474" t="s">
        <v>5643</v>
      </c>
      <c r="I67" s="1664" t="s">
        <v>6083</v>
      </c>
      <c r="J67" s="693">
        <v>2618</v>
      </c>
      <c r="K67" s="474"/>
      <c r="L67" s="474"/>
      <c r="M67" s="474"/>
      <c r="N67" s="1536" t="str">
        <f t="shared" ref="N67:N77" si="10">C67</f>
        <v>Z2</v>
      </c>
      <c r="O67" s="1537" t="s">
        <v>5644</v>
      </c>
    </row>
    <row r="68" spans="1:16" x14ac:dyDescent="0.25">
      <c r="A68" s="474" t="str">
        <f t="shared" ref="A68:A99" si="11">C68&amp;" "&amp;D68</f>
        <v>Z3 NC Global TransPark Authority</v>
      </c>
      <c r="B68" s="1329" t="s">
        <v>5086</v>
      </c>
      <c r="C68" s="1329" t="str">
        <f t="shared" si="9"/>
        <v>Z3</v>
      </c>
      <c r="D68" s="474" t="s">
        <v>5087</v>
      </c>
      <c r="E68" s="474" t="s">
        <v>5083</v>
      </c>
      <c r="F68" s="474" t="s">
        <v>1825</v>
      </c>
      <c r="G68" s="693" t="s">
        <v>5645</v>
      </c>
      <c r="H68" s="474" t="s">
        <v>5646</v>
      </c>
      <c r="I68" s="1664" t="s">
        <v>5647</v>
      </c>
      <c r="J68" s="693">
        <v>2615</v>
      </c>
      <c r="K68" s="694"/>
      <c r="L68" s="474"/>
      <c r="M68" s="474"/>
      <c r="N68" s="1536" t="str">
        <f t="shared" si="10"/>
        <v>Z3</v>
      </c>
      <c r="O68" s="1537" t="s">
        <v>5648</v>
      </c>
    </row>
    <row r="69" spans="1:16" x14ac:dyDescent="0.25">
      <c r="A69" s="474" t="str">
        <f t="shared" si="11"/>
        <v>Z3F NC Global TransPark Authority Foundation</v>
      </c>
      <c r="B69" s="1329" t="s">
        <v>5088</v>
      </c>
      <c r="C69" s="1329" t="str">
        <f t="shared" si="9"/>
        <v>Z3F</v>
      </c>
      <c r="D69" s="474" t="s">
        <v>5089</v>
      </c>
      <c r="E69" s="474" t="s">
        <v>5083</v>
      </c>
      <c r="F69" s="474" t="s">
        <v>5516</v>
      </c>
      <c r="G69" s="693" t="s">
        <v>5645</v>
      </c>
      <c r="H69" s="474" t="s">
        <v>5646</v>
      </c>
      <c r="I69" s="1664" t="s">
        <v>5647</v>
      </c>
      <c r="J69" s="693">
        <v>2615</v>
      </c>
      <c r="K69" s="694" t="s">
        <v>5649</v>
      </c>
      <c r="L69" s="474"/>
      <c r="M69" s="474"/>
      <c r="N69" s="1536" t="str">
        <f t="shared" si="10"/>
        <v>Z3F</v>
      </c>
      <c r="O69" s="1537" t="s">
        <v>5648</v>
      </c>
    </row>
    <row r="70" spans="1:16" x14ac:dyDescent="0.25">
      <c r="A70" s="474" t="str">
        <f t="shared" si="11"/>
        <v>Z7 NC Partnership for Children</v>
      </c>
      <c r="B70" s="1329" t="s">
        <v>5090</v>
      </c>
      <c r="C70" s="1329" t="str">
        <f t="shared" si="9"/>
        <v>Z7</v>
      </c>
      <c r="D70" s="474" t="s">
        <v>5091</v>
      </c>
      <c r="E70" s="474" t="s">
        <v>5083</v>
      </c>
      <c r="F70" s="474" t="s">
        <v>5516</v>
      </c>
      <c r="G70" s="693" t="s">
        <v>5650</v>
      </c>
      <c r="H70" s="474" t="s">
        <v>5651</v>
      </c>
      <c r="J70" s="693">
        <v>2621</v>
      </c>
      <c r="K70" s="474"/>
      <c r="L70" s="474"/>
      <c r="M70" s="474"/>
      <c r="N70" s="1536" t="str">
        <f t="shared" si="10"/>
        <v>Z7</v>
      </c>
      <c r="O70" s="1537" t="s">
        <v>5652</v>
      </c>
    </row>
    <row r="71" spans="1:16" x14ac:dyDescent="0.25">
      <c r="A71" s="474" t="str">
        <f t="shared" si="11"/>
        <v>ZA NC State Ports Authority</v>
      </c>
      <c r="B71" s="1329" t="s">
        <v>5092</v>
      </c>
      <c r="C71" s="1329" t="str">
        <f t="shared" si="9"/>
        <v>ZA</v>
      </c>
      <c r="D71" s="474" t="s">
        <v>5093</v>
      </c>
      <c r="E71" s="474" t="s">
        <v>5083</v>
      </c>
      <c r="F71" s="474" t="s">
        <v>1825</v>
      </c>
      <c r="G71" s="693" t="s">
        <v>5653</v>
      </c>
      <c r="H71" s="474" t="s">
        <v>5654</v>
      </c>
      <c r="I71" s="1664" t="s">
        <v>5655</v>
      </c>
      <c r="J71" s="693">
        <v>2612</v>
      </c>
      <c r="K71" s="474"/>
      <c r="L71" s="474"/>
      <c r="M71" s="474"/>
      <c r="N71" s="1536" t="str">
        <f t="shared" si="10"/>
        <v>ZA</v>
      </c>
      <c r="O71" s="1537" t="s">
        <v>5656</v>
      </c>
    </row>
    <row r="72" spans="1:16" x14ac:dyDescent="0.25">
      <c r="A72" s="474" t="str">
        <f t="shared" si="11"/>
        <v>ZB State Education Assistance Authority</v>
      </c>
      <c r="B72" s="1329" t="s">
        <v>5094</v>
      </c>
      <c r="C72" s="1329" t="str">
        <f t="shared" si="9"/>
        <v>ZB</v>
      </c>
      <c r="D72" s="474" t="s">
        <v>5095</v>
      </c>
      <c r="E72" s="474" t="s">
        <v>5083</v>
      </c>
      <c r="F72" s="474" t="s">
        <v>5516</v>
      </c>
      <c r="G72" s="693" t="s">
        <v>5657</v>
      </c>
      <c r="H72" s="474" t="s">
        <v>5658</v>
      </c>
      <c r="I72" s="1664" t="s">
        <v>5659</v>
      </c>
      <c r="J72" s="693">
        <v>2620</v>
      </c>
      <c r="K72" s="694" t="s">
        <v>5660</v>
      </c>
      <c r="L72" s="474"/>
      <c r="M72" s="474"/>
      <c r="N72" s="1536" t="str">
        <f t="shared" si="10"/>
        <v>ZB</v>
      </c>
      <c r="O72" s="1537" t="s">
        <v>5661</v>
      </c>
    </row>
    <row r="73" spans="1:16" x14ac:dyDescent="0.25">
      <c r="A73" s="474" t="str">
        <f t="shared" si="11"/>
        <v>ZG Centennial Authority</v>
      </c>
      <c r="B73" s="1329" t="s">
        <v>5096</v>
      </c>
      <c r="C73" s="1329" t="str">
        <f t="shared" si="9"/>
        <v>ZG</v>
      </c>
      <c r="D73" s="474" t="s">
        <v>5097</v>
      </c>
      <c r="E73" s="474" t="s">
        <v>5083</v>
      </c>
      <c r="F73" s="474" t="s">
        <v>5516</v>
      </c>
      <c r="G73" s="693" t="s">
        <v>5662</v>
      </c>
      <c r="H73" s="474" t="s">
        <v>5663</v>
      </c>
      <c r="I73" s="1664" t="s">
        <v>5664</v>
      </c>
      <c r="J73" s="693">
        <v>2626</v>
      </c>
      <c r="K73" s="694" t="s">
        <v>5665</v>
      </c>
      <c r="L73" s="474"/>
      <c r="M73" s="474"/>
      <c r="N73" s="1536" t="str">
        <f t="shared" si="10"/>
        <v>ZG</v>
      </c>
      <c r="O73" s="1537" t="s">
        <v>5666</v>
      </c>
    </row>
    <row r="74" spans="1:16" x14ac:dyDescent="0.25">
      <c r="A74" s="474" t="str">
        <f t="shared" si="11"/>
        <v>ZH NC Railroad Company</v>
      </c>
      <c r="B74" s="1329" t="s">
        <v>5098</v>
      </c>
      <c r="C74" s="1329" t="str">
        <f t="shared" si="9"/>
        <v>ZH</v>
      </c>
      <c r="D74" s="474" t="s">
        <v>5099</v>
      </c>
      <c r="E74" s="474" t="s">
        <v>5083</v>
      </c>
      <c r="F74" s="474" t="s">
        <v>5516</v>
      </c>
      <c r="G74" s="693" t="s">
        <v>5667</v>
      </c>
      <c r="H74" s="474" t="s">
        <v>5668</v>
      </c>
      <c r="I74" s="1669" t="s">
        <v>5669</v>
      </c>
      <c r="J74" s="693">
        <v>2627</v>
      </c>
      <c r="K74" s="474"/>
      <c r="L74" s="474"/>
      <c r="M74" s="474"/>
      <c r="N74" s="1536" t="str">
        <f t="shared" si="10"/>
        <v>ZH</v>
      </c>
      <c r="O74" s="1537" t="s">
        <v>5670</v>
      </c>
    </row>
    <row r="75" spans="1:16" x14ac:dyDescent="0.25">
      <c r="A75" s="474" t="str">
        <f t="shared" si="11"/>
        <v>ZI The Golden LEAF, Inc.</v>
      </c>
      <c r="B75" s="1329" t="s">
        <v>5100</v>
      </c>
      <c r="C75" s="1329" t="str">
        <f t="shared" si="9"/>
        <v>ZI</v>
      </c>
      <c r="D75" s="474" t="s">
        <v>5101</v>
      </c>
      <c r="E75" s="474" t="s">
        <v>5083</v>
      </c>
      <c r="F75" s="474" t="s">
        <v>5516</v>
      </c>
      <c r="G75" s="693" t="s">
        <v>5671</v>
      </c>
      <c r="H75" s="474" t="s">
        <v>5672</v>
      </c>
      <c r="I75" s="1664" t="s">
        <v>5673</v>
      </c>
      <c r="J75" s="693">
        <v>2640</v>
      </c>
      <c r="K75" s="694" t="s">
        <v>5660</v>
      </c>
      <c r="L75" s="474"/>
      <c r="M75" s="474"/>
      <c r="N75" s="1536" t="str">
        <f t="shared" si="10"/>
        <v>ZI</v>
      </c>
      <c r="O75" s="1537" t="s">
        <v>5674</v>
      </c>
    </row>
    <row r="76" spans="1:16" x14ac:dyDescent="0.25">
      <c r="A76" s="474" t="str">
        <f t="shared" si="11"/>
        <v>ZL Gateway Research Park, Inc.</v>
      </c>
      <c r="B76" s="1329" t="s">
        <v>5074</v>
      </c>
      <c r="C76" s="1329" t="str">
        <f t="shared" si="9"/>
        <v>ZL</v>
      </c>
      <c r="D76" s="474" t="s">
        <v>5075</v>
      </c>
      <c r="E76" s="474" t="s">
        <v>5011</v>
      </c>
      <c r="F76" s="474" t="s">
        <v>5516</v>
      </c>
      <c r="G76" s="693" t="s">
        <v>5675</v>
      </c>
      <c r="H76" s="474" t="s">
        <v>5676</v>
      </c>
      <c r="I76" s="1664" t="s">
        <v>5677</v>
      </c>
      <c r="J76" s="693" t="s">
        <v>1940</v>
      </c>
      <c r="K76" s="694" t="s">
        <v>5678</v>
      </c>
      <c r="L76" s="474"/>
      <c r="M76" s="474"/>
      <c r="N76" s="1536" t="str">
        <f t="shared" si="10"/>
        <v>ZL</v>
      </c>
      <c r="O76" s="1537" t="s">
        <v>5679</v>
      </c>
    </row>
    <row r="77" spans="1:16" x14ac:dyDescent="0.25">
      <c r="A77" s="474" t="str">
        <f t="shared" si="11"/>
        <v>ZM Economic Development Partnership of NC</v>
      </c>
      <c r="B77" s="1329" t="s">
        <v>5103</v>
      </c>
      <c r="C77" s="1329" t="str">
        <f t="shared" si="9"/>
        <v>ZM</v>
      </c>
      <c r="D77" s="474" t="s">
        <v>5104</v>
      </c>
      <c r="E77" s="474" t="s">
        <v>5083</v>
      </c>
      <c r="F77" s="474" t="s">
        <v>5516</v>
      </c>
      <c r="G77" s="693" t="s">
        <v>5680</v>
      </c>
      <c r="H77" s="474" t="s">
        <v>5681</v>
      </c>
      <c r="I77" s="1664" t="s">
        <v>5682</v>
      </c>
      <c r="J77" s="693">
        <v>2644</v>
      </c>
      <c r="K77" s="694" t="s">
        <v>5683</v>
      </c>
      <c r="L77" s="474"/>
      <c r="M77" s="474"/>
      <c r="N77" s="1536" t="str">
        <f t="shared" si="10"/>
        <v>ZM</v>
      </c>
      <c r="O77" s="1537" t="s">
        <v>5684</v>
      </c>
    </row>
    <row r="78" spans="1:16" x14ac:dyDescent="0.25">
      <c r="A78" s="474" t="str">
        <f t="shared" si="11"/>
        <v>C0 Alamance Community College</v>
      </c>
      <c r="B78" s="1329" t="s">
        <v>5105</v>
      </c>
      <c r="C78" s="1329" t="s">
        <v>5105</v>
      </c>
      <c r="D78" s="474" t="s">
        <v>5106</v>
      </c>
      <c r="E78" s="474" t="s">
        <v>5107</v>
      </c>
      <c r="F78" s="474" t="s">
        <v>5516</v>
      </c>
      <c r="G78" s="693" t="s">
        <v>5685</v>
      </c>
      <c r="H78" s="474" t="s">
        <v>5686</v>
      </c>
      <c r="I78" s="1664" t="s">
        <v>5687</v>
      </c>
      <c r="J78" s="474" t="s">
        <v>1940</v>
      </c>
      <c r="K78" s="474"/>
      <c r="L78" s="474"/>
      <c r="M78" s="474"/>
      <c r="N78" s="1536"/>
      <c r="O78" s="1537"/>
    </row>
    <row r="79" spans="1:16" x14ac:dyDescent="0.25">
      <c r="A79" s="474" t="str">
        <f t="shared" si="11"/>
        <v>C2 Asheville-Buncombe Technical Community College</v>
      </c>
      <c r="B79" s="1329" t="s">
        <v>5108</v>
      </c>
      <c r="C79" s="1329" t="s">
        <v>5108</v>
      </c>
      <c r="D79" s="474" t="s">
        <v>5109</v>
      </c>
      <c r="E79" s="474" t="s">
        <v>5107</v>
      </c>
      <c r="F79" s="474" t="s">
        <v>5516</v>
      </c>
      <c r="G79" s="693" t="s">
        <v>5688</v>
      </c>
      <c r="H79" s="474" t="s">
        <v>5689</v>
      </c>
      <c r="I79" s="1666" t="s">
        <v>5690</v>
      </c>
      <c r="J79" s="474" t="s">
        <v>1940</v>
      </c>
      <c r="K79" s="474"/>
      <c r="L79" s="474"/>
      <c r="M79" s="474"/>
      <c r="N79" s="1536"/>
      <c r="O79" s="1537"/>
    </row>
    <row r="80" spans="1:16" x14ac:dyDescent="0.25">
      <c r="A80" s="474" t="str">
        <f t="shared" si="11"/>
        <v>C3 Beaufort County Community College</v>
      </c>
      <c r="B80" s="1329" t="s">
        <v>5110</v>
      </c>
      <c r="C80" s="1329" t="s">
        <v>5110</v>
      </c>
      <c r="D80" s="474" t="s">
        <v>5111</v>
      </c>
      <c r="E80" s="474" t="s">
        <v>5107</v>
      </c>
      <c r="F80" s="474" t="s">
        <v>5516</v>
      </c>
      <c r="G80" s="693" t="s">
        <v>5691</v>
      </c>
      <c r="H80" s="474" t="s">
        <v>5692</v>
      </c>
      <c r="I80" s="1666" t="s">
        <v>5693</v>
      </c>
      <c r="J80" s="474" t="s">
        <v>1940</v>
      </c>
      <c r="K80" s="474"/>
      <c r="L80" s="474"/>
      <c r="M80" s="474"/>
      <c r="N80" s="1536"/>
      <c r="O80" s="1537"/>
    </row>
    <row r="81" spans="1:15" x14ac:dyDescent="0.25">
      <c r="A81" s="474" t="str">
        <f t="shared" si="11"/>
        <v>C4 Bladen Community College</v>
      </c>
      <c r="B81" s="1329" t="s">
        <v>5112</v>
      </c>
      <c r="C81" s="1329" t="s">
        <v>5112</v>
      </c>
      <c r="D81" s="474" t="s">
        <v>5113</v>
      </c>
      <c r="E81" s="474" t="s">
        <v>5107</v>
      </c>
      <c r="F81" s="474" t="s">
        <v>5516</v>
      </c>
      <c r="G81" s="693" t="s">
        <v>5694</v>
      </c>
      <c r="H81" s="474" t="s">
        <v>5695</v>
      </c>
      <c r="I81" s="1666" t="s">
        <v>5696</v>
      </c>
      <c r="J81" s="474" t="s">
        <v>1940</v>
      </c>
      <c r="K81" s="474"/>
      <c r="L81" s="474"/>
      <c r="M81" s="474"/>
      <c r="N81" s="1536"/>
      <c r="O81" s="1537"/>
    </row>
    <row r="82" spans="1:15" x14ac:dyDescent="0.25">
      <c r="A82" s="474" t="str">
        <f t="shared" si="11"/>
        <v>C5 Blue Ridge Community College</v>
      </c>
      <c r="B82" s="1329" t="s">
        <v>5114</v>
      </c>
      <c r="C82" s="1329" t="s">
        <v>5114</v>
      </c>
      <c r="D82" s="474" t="s">
        <v>5115</v>
      </c>
      <c r="E82" s="474" t="s">
        <v>5107</v>
      </c>
      <c r="F82" s="474" t="s">
        <v>5516</v>
      </c>
      <c r="G82" s="693" t="s">
        <v>5697</v>
      </c>
      <c r="H82" s="474" t="s">
        <v>5698</v>
      </c>
      <c r="I82" s="1666" t="s">
        <v>5699</v>
      </c>
      <c r="J82" s="474" t="s">
        <v>1940</v>
      </c>
      <c r="K82" s="474"/>
      <c r="L82" s="474"/>
      <c r="M82" s="474"/>
      <c r="N82" s="1536"/>
      <c r="O82" s="1537"/>
    </row>
    <row r="83" spans="1:15" x14ac:dyDescent="0.25">
      <c r="A83" s="474" t="str">
        <f t="shared" si="11"/>
        <v>C6 Brunswick Community College</v>
      </c>
      <c r="B83" s="1329" t="s">
        <v>5116</v>
      </c>
      <c r="C83" s="1329" t="s">
        <v>5116</v>
      </c>
      <c r="D83" s="474" t="s">
        <v>5117</v>
      </c>
      <c r="E83" s="474" t="s">
        <v>5107</v>
      </c>
      <c r="F83" s="474" t="s">
        <v>5516</v>
      </c>
      <c r="G83" s="693" t="s">
        <v>5700</v>
      </c>
      <c r="H83" s="474" t="s">
        <v>5701</v>
      </c>
      <c r="I83" s="1666" t="s">
        <v>5702</v>
      </c>
      <c r="J83" s="474" t="s">
        <v>1940</v>
      </c>
      <c r="K83" s="474"/>
      <c r="L83" s="474"/>
      <c r="M83" s="474"/>
      <c r="N83" s="1536"/>
      <c r="O83" s="1537"/>
    </row>
    <row r="84" spans="1:15" x14ac:dyDescent="0.25">
      <c r="A84" s="474" t="str">
        <f t="shared" si="11"/>
        <v>C7 Caldwell Community College and Technical Institute</v>
      </c>
      <c r="B84" s="1329" t="s">
        <v>5118</v>
      </c>
      <c r="C84" s="1329" t="s">
        <v>5118</v>
      </c>
      <c r="D84" s="474" t="s">
        <v>5119</v>
      </c>
      <c r="E84" s="474" t="s">
        <v>5107</v>
      </c>
      <c r="F84" s="474" t="s">
        <v>5516</v>
      </c>
      <c r="G84" s="693" t="s">
        <v>5703</v>
      </c>
      <c r="H84" s="474" t="s">
        <v>5704</v>
      </c>
      <c r="I84" s="1667" t="s">
        <v>5705</v>
      </c>
      <c r="J84" s="474" t="s">
        <v>1940</v>
      </c>
      <c r="K84" s="474"/>
      <c r="L84" s="474"/>
      <c r="M84" s="474"/>
      <c r="N84" s="1536"/>
      <c r="O84" s="1537"/>
    </row>
    <row r="85" spans="1:15" x14ac:dyDescent="0.25">
      <c r="A85" s="474" t="str">
        <f t="shared" si="11"/>
        <v>C8 Cape Fear Community College</v>
      </c>
      <c r="B85" s="1329" t="s">
        <v>5120</v>
      </c>
      <c r="C85" s="1329" t="s">
        <v>5120</v>
      </c>
      <c r="D85" s="474" t="s">
        <v>5121</v>
      </c>
      <c r="E85" s="474" t="s">
        <v>5107</v>
      </c>
      <c r="F85" s="474" t="s">
        <v>5516</v>
      </c>
      <c r="G85" s="693" t="s">
        <v>5706</v>
      </c>
      <c r="H85" s="474" t="s">
        <v>5707</v>
      </c>
      <c r="I85" s="1666" t="s">
        <v>5708</v>
      </c>
      <c r="J85" s="474" t="s">
        <v>1940</v>
      </c>
      <c r="K85" s="474"/>
      <c r="L85" s="474"/>
      <c r="M85" s="474"/>
      <c r="N85" s="1536"/>
      <c r="O85" s="1537"/>
    </row>
    <row r="86" spans="1:15" x14ac:dyDescent="0.25">
      <c r="A86" s="474" t="str">
        <f t="shared" si="11"/>
        <v>C9 Carteret Community College</v>
      </c>
      <c r="B86" s="1329" t="s">
        <v>5122</v>
      </c>
      <c r="C86" s="1329" t="s">
        <v>5122</v>
      </c>
      <c r="D86" s="474" t="s">
        <v>5123</v>
      </c>
      <c r="E86" s="474" t="s">
        <v>5107</v>
      </c>
      <c r="F86" s="474" t="s">
        <v>5516</v>
      </c>
      <c r="G86" s="693" t="s">
        <v>5709</v>
      </c>
      <c r="H86" s="474" t="s">
        <v>5710</v>
      </c>
      <c r="I86" s="1666" t="s">
        <v>5711</v>
      </c>
      <c r="J86" s="474" t="s">
        <v>1940</v>
      </c>
      <c r="K86" s="474"/>
      <c r="L86" s="474"/>
      <c r="M86" s="474"/>
      <c r="N86" s="1536"/>
      <c r="O86" s="1537"/>
    </row>
    <row r="87" spans="1:15" x14ac:dyDescent="0.25">
      <c r="A87" s="474" t="str">
        <f t="shared" si="11"/>
        <v>CA Catawba Valley Community College</v>
      </c>
      <c r="B87" s="1329" t="s">
        <v>5124</v>
      </c>
      <c r="C87" s="1329" t="s">
        <v>5124</v>
      </c>
      <c r="D87" s="474" t="s">
        <v>5125</v>
      </c>
      <c r="E87" s="474" t="s">
        <v>5107</v>
      </c>
      <c r="F87" s="474" t="s">
        <v>5516</v>
      </c>
      <c r="G87" s="693" t="s">
        <v>5712</v>
      </c>
      <c r="H87" s="474" t="s">
        <v>5713</v>
      </c>
      <c r="I87" s="1666" t="s">
        <v>5714</v>
      </c>
      <c r="J87" s="474" t="s">
        <v>1940</v>
      </c>
      <c r="K87" s="474"/>
      <c r="L87" s="474"/>
      <c r="M87" s="474"/>
      <c r="N87" s="1536"/>
      <c r="O87" s="1537"/>
    </row>
    <row r="88" spans="1:15" x14ac:dyDescent="0.25">
      <c r="A88" s="474" t="str">
        <f t="shared" si="11"/>
        <v>CB Central Carolina Community College</v>
      </c>
      <c r="B88" s="1329" t="s">
        <v>5126</v>
      </c>
      <c r="C88" s="1329" t="s">
        <v>5126</v>
      </c>
      <c r="D88" s="474" t="s">
        <v>5127</v>
      </c>
      <c r="E88" s="474" t="s">
        <v>5107</v>
      </c>
      <c r="F88" s="474" t="s">
        <v>5516</v>
      </c>
      <c r="G88" s="693" t="s">
        <v>5715</v>
      </c>
      <c r="H88" s="474" t="s">
        <v>5716</v>
      </c>
      <c r="I88" s="1666" t="s">
        <v>5717</v>
      </c>
      <c r="J88" s="474" t="s">
        <v>1940</v>
      </c>
      <c r="K88" s="474"/>
      <c r="L88" s="474"/>
      <c r="M88" s="474"/>
      <c r="N88" s="1536"/>
      <c r="O88" s="1537"/>
    </row>
    <row r="89" spans="1:15" x14ac:dyDescent="0.25">
      <c r="A89" s="474" t="str">
        <f t="shared" si="11"/>
        <v>CC Central Piedmont Community College</v>
      </c>
      <c r="B89" s="1329" t="s">
        <v>5128</v>
      </c>
      <c r="C89" s="1329" t="s">
        <v>5128</v>
      </c>
      <c r="D89" s="474" t="s">
        <v>5129</v>
      </c>
      <c r="E89" s="474" t="s">
        <v>5107</v>
      </c>
      <c r="F89" s="474" t="s">
        <v>5516</v>
      </c>
      <c r="G89" s="693" t="s">
        <v>5718</v>
      </c>
      <c r="H89" s="474" t="s">
        <v>5719</v>
      </c>
      <c r="I89" s="1666" t="s">
        <v>5720</v>
      </c>
      <c r="J89" s="474" t="s">
        <v>1940</v>
      </c>
      <c r="K89" s="474"/>
      <c r="L89" s="474"/>
      <c r="M89" s="474"/>
      <c r="N89" s="1536"/>
      <c r="O89" s="1537"/>
    </row>
    <row r="90" spans="1:15" x14ac:dyDescent="0.25">
      <c r="A90" s="474" t="str">
        <f t="shared" si="11"/>
        <v>CD Cleveland Community College</v>
      </c>
      <c r="B90" s="1329" t="s">
        <v>5130</v>
      </c>
      <c r="C90" s="1329" t="s">
        <v>5130</v>
      </c>
      <c r="D90" s="474" t="s">
        <v>5131</v>
      </c>
      <c r="E90" s="474" t="s">
        <v>5107</v>
      </c>
      <c r="F90" s="474" t="s">
        <v>5516</v>
      </c>
      <c r="G90" s="693" t="s">
        <v>5721</v>
      </c>
      <c r="H90" s="474" t="s">
        <v>5722</v>
      </c>
      <c r="I90" s="1667" t="s">
        <v>5723</v>
      </c>
      <c r="J90" s="474" t="s">
        <v>1940</v>
      </c>
      <c r="K90" s="474"/>
      <c r="L90" s="474"/>
      <c r="M90" s="474"/>
      <c r="N90" s="1536"/>
      <c r="O90" s="1537"/>
    </row>
    <row r="91" spans="1:15" x14ac:dyDescent="0.25">
      <c r="A91" s="474" t="str">
        <f t="shared" si="11"/>
        <v>CE Coastal Carolina Community College</v>
      </c>
      <c r="B91" s="1329" t="s">
        <v>5132</v>
      </c>
      <c r="C91" s="1329" t="s">
        <v>5132</v>
      </c>
      <c r="D91" s="474" t="s">
        <v>5133</v>
      </c>
      <c r="E91" s="474" t="s">
        <v>5107</v>
      </c>
      <c r="F91" s="474" t="s">
        <v>5516</v>
      </c>
      <c r="G91" s="693" t="s">
        <v>5724</v>
      </c>
      <c r="H91" s="474" t="s">
        <v>5725</v>
      </c>
      <c r="I91" s="1667" t="s">
        <v>5726</v>
      </c>
      <c r="J91" s="474" t="s">
        <v>1940</v>
      </c>
      <c r="K91" s="474"/>
      <c r="L91" s="474"/>
      <c r="M91" s="474"/>
      <c r="N91" s="1536"/>
      <c r="O91" s="1537"/>
    </row>
    <row r="92" spans="1:15" x14ac:dyDescent="0.25">
      <c r="A92" s="474" t="str">
        <f t="shared" si="11"/>
        <v>CF College of the Albemarle</v>
      </c>
      <c r="B92" s="1329" t="s">
        <v>5134</v>
      </c>
      <c r="C92" s="1329" t="s">
        <v>5134</v>
      </c>
      <c r="D92" s="474" t="s">
        <v>5135</v>
      </c>
      <c r="E92" s="474" t="s">
        <v>5107</v>
      </c>
      <c r="F92" s="474" t="s">
        <v>5516</v>
      </c>
      <c r="G92" s="693" t="s">
        <v>5727</v>
      </c>
      <c r="H92" s="474" t="s">
        <v>5728</v>
      </c>
      <c r="I92" s="1666" t="s">
        <v>5729</v>
      </c>
      <c r="J92" s="474" t="s">
        <v>1940</v>
      </c>
      <c r="K92" s="474"/>
      <c r="L92" s="474"/>
      <c r="M92" s="474"/>
      <c r="N92" s="1536"/>
      <c r="O92" s="1537"/>
    </row>
    <row r="93" spans="1:15" x14ac:dyDescent="0.25">
      <c r="A93" s="474" t="str">
        <f t="shared" si="11"/>
        <v>CG Craven Community College</v>
      </c>
      <c r="B93" s="1329" t="s">
        <v>5136</v>
      </c>
      <c r="C93" s="1329" t="s">
        <v>5136</v>
      </c>
      <c r="D93" s="474" t="s">
        <v>5137</v>
      </c>
      <c r="E93" s="474" t="s">
        <v>5107</v>
      </c>
      <c r="F93" s="474" t="s">
        <v>5516</v>
      </c>
      <c r="G93" s="693" t="s">
        <v>5730</v>
      </c>
      <c r="H93" s="474" t="s">
        <v>5731</v>
      </c>
      <c r="I93" s="1671" t="s">
        <v>5732</v>
      </c>
      <c r="J93" s="474" t="s">
        <v>1940</v>
      </c>
      <c r="K93" s="474"/>
      <c r="L93" s="474"/>
      <c r="M93" s="474"/>
      <c r="N93" s="1536"/>
      <c r="O93" s="1537"/>
    </row>
    <row r="94" spans="1:15" x14ac:dyDescent="0.25">
      <c r="A94" s="474" t="str">
        <f t="shared" si="11"/>
        <v>CH Davidson-Davie Community College</v>
      </c>
      <c r="B94" s="1329" t="s">
        <v>5138</v>
      </c>
      <c r="C94" s="1329" t="s">
        <v>5138</v>
      </c>
      <c r="D94" s="474" t="s">
        <v>5733</v>
      </c>
      <c r="E94" s="474" t="s">
        <v>5107</v>
      </c>
      <c r="F94" s="474" t="s">
        <v>5516</v>
      </c>
      <c r="G94" s="693" t="s">
        <v>5734</v>
      </c>
      <c r="H94" s="474" t="s">
        <v>5735</v>
      </c>
      <c r="I94" s="1666" t="s">
        <v>5736</v>
      </c>
      <c r="J94" s="474" t="s">
        <v>1940</v>
      </c>
      <c r="K94" s="474"/>
      <c r="L94" s="474"/>
      <c r="M94" s="474"/>
      <c r="N94" s="1536"/>
      <c r="O94" s="1537"/>
    </row>
    <row r="95" spans="1:15" x14ac:dyDescent="0.25">
      <c r="A95" s="474" t="str">
        <f t="shared" si="11"/>
        <v>CJ Durham Technical Community College</v>
      </c>
      <c r="B95" s="1329" t="s">
        <v>5140</v>
      </c>
      <c r="C95" s="1329" t="s">
        <v>5140</v>
      </c>
      <c r="D95" s="474" t="s">
        <v>5141</v>
      </c>
      <c r="E95" s="474" t="s">
        <v>5107</v>
      </c>
      <c r="F95" s="474" t="s">
        <v>5516</v>
      </c>
      <c r="G95" s="693" t="s">
        <v>5737</v>
      </c>
      <c r="H95" s="474" t="s">
        <v>5738</v>
      </c>
      <c r="I95" s="1666" t="s">
        <v>5739</v>
      </c>
      <c r="J95" s="474" t="s">
        <v>1940</v>
      </c>
      <c r="K95" s="474"/>
      <c r="L95" s="474"/>
      <c r="M95" s="474"/>
      <c r="N95" s="1536"/>
      <c r="O95" s="1537"/>
    </row>
    <row r="96" spans="1:15" x14ac:dyDescent="0.25">
      <c r="A96" s="474" t="str">
        <f t="shared" si="11"/>
        <v>CK Edgecombe Community College</v>
      </c>
      <c r="B96" s="1329" t="s">
        <v>5142</v>
      </c>
      <c r="C96" s="1329" t="s">
        <v>5142</v>
      </c>
      <c r="D96" s="474" t="s">
        <v>5143</v>
      </c>
      <c r="E96" s="474" t="s">
        <v>5107</v>
      </c>
      <c r="F96" s="474" t="s">
        <v>5516</v>
      </c>
      <c r="G96" s="693" t="s">
        <v>5740</v>
      </c>
      <c r="H96" s="474" t="s">
        <v>5741</v>
      </c>
      <c r="I96" s="1666" t="s">
        <v>5742</v>
      </c>
      <c r="J96" s="474" t="s">
        <v>1940</v>
      </c>
      <c r="K96" s="474"/>
      <c r="L96" s="474"/>
      <c r="M96" s="474"/>
      <c r="N96" s="1536"/>
      <c r="O96" s="1537"/>
    </row>
    <row r="97" spans="1:15" x14ac:dyDescent="0.25">
      <c r="A97" s="474" t="str">
        <f t="shared" si="11"/>
        <v>CL Fayetteville Technical Community College</v>
      </c>
      <c r="B97" s="1329" t="s">
        <v>5144</v>
      </c>
      <c r="C97" s="1329" t="s">
        <v>5144</v>
      </c>
      <c r="D97" s="474" t="s">
        <v>5145</v>
      </c>
      <c r="E97" s="474" t="s">
        <v>5107</v>
      </c>
      <c r="F97" s="474" t="s">
        <v>5516</v>
      </c>
      <c r="G97" s="693" t="s">
        <v>5743</v>
      </c>
      <c r="H97" s="474" t="s">
        <v>5744</v>
      </c>
      <c r="I97" s="1666" t="s">
        <v>5745</v>
      </c>
      <c r="J97" s="474" t="s">
        <v>1940</v>
      </c>
      <c r="K97" s="474"/>
      <c r="L97" s="474"/>
      <c r="M97" s="474"/>
      <c r="N97" s="1536"/>
      <c r="O97" s="1537"/>
    </row>
    <row r="98" spans="1:15" x14ac:dyDescent="0.25">
      <c r="A98" s="474" t="str">
        <f t="shared" si="11"/>
        <v>CM Forsyth Technical Community College</v>
      </c>
      <c r="B98" s="1329" t="s">
        <v>5146</v>
      </c>
      <c r="C98" s="1329" t="s">
        <v>5146</v>
      </c>
      <c r="D98" s="474" t="s">
        <v>5147</v>
      </c>
      <c r="E98" s="474" t="s">
        <v>5107</v>
      </c>
      <c r="F98" s="474" t="s">
        <v>5516</v>
      </c>
      <c r="G98" s="693" t="s">
        <v>5746</v>
      </c>
      <c r="H98" s="474" t="s">
        <v>5747</v>
      </c>
      <c r="I98" s="1666" t="s">
        <v>5748</v>
      </c>
      <c r="J98" s="474" t="s">
        <v>1940</v>
      </c>
      <c r="K98" s="474"/>
      <c r="L98" s="474"/>
      <c r="M98" s="474"/>
      <c r="N98" s="1536"/>
      <c r="O98" s="1537"/>
    </row>
    <row r="99" spans="1:15" x14ac:dyDescent="0.25">
      <c r="A99" s="474" t="str">
        <f t="shared" si="11"/>
        <v>CN Gaston College</v>
      </c>
      <c r="B99" s="1329" t="s">
        <v>5148</v>
      </c>
      <c r="C99" s="1329" t="s">
        <v>5148</v>
      </c>
      <c r="D99" s="474" t="s">
        <v>5149</v>
      </c>
      <c r="E99" s="474" t="s">
        <v>5107</v>
      </c>
      <c r="F99" s="474" t="s">
        <v>5516</v>
      </c>
      <c r="G99" s="693" t="s">
        <v>5749</v>
      </c>
      <c r="H99" s="474" t="s">
        <v>5750</v>
      </c>
      <c r="I99" s="1666" t="s">
        <v>5751</v>
      </c>
      <c r="J99" s="474" t="s">
        <v>1940</v>
      </c>
      <c r="K99" s="474"/>
      <c r="L99" s="474"/>
      <c r="M99" s="474"/>
      <c r="N99" s="1536"/>
      <c r="O99" s="1537"/>
    </row>
    <row r="100" spans="1:15" x14ac:dyDescent="0.25">
      <c r="A100" s="474" t="str">
        <f t="shared" ref="A100:A135" si="12">C100&amp;" "&amp;D100</f>
        <v>CP Guilford Technical Community College</v>
      </c>
      <c r="B100" s="1329" t="s">
        <v>5150</v>
      </c>
      <c r="C100" s="1329" t="s">
        <v>5150</v>
      </c>
      <c r="D100" s="474" t="s">
        <v>5151</v>
      </c>
      <c r="E100" s="474" t="s">
        <v>5107</v>
      </c>
      <c r="F100" s="474" t="s">
        <v>5516</v>
      </c>
      <c r="G100" s="693" t="s">
        <v>5752</v>
      </c>
      <c r="H100" s="474" t="s">
        <v>5753</v>
      </c>
      <c r="I100" s="1668" t="s">
        <v>5754</v>
      </c>
      <c r="J100" s="474" t="s">
        <v>1940</v>
      </c>
      <c r="K100" s="474"/>
      <c r="L100" s="474"/>
      <c r="M100" s="474"/>
      <c r="N100" s="1536"/>
      <c r="O100" s="1537"/>
    </row>
    <row r="101" spans="1:15" x14ac:dyDescent="0.25">
      <c r="A101" s="474" t="str">
        <f t="shared" si="12"/>
        <v>CQ Halifax Community College</v>
      </c>
      <c r="B101" s="1329" t="s">
        <v>5152</v>
      </c>
      <c r="C101" s="1329" t="s">
        <v>5152</v>
      </c>
      <c r="D101" s="474" t="s">
        <v>5153</v>
      </c>
      <c r="E101" s="474" t="s">
        <v>5107</v>
      </c>
      <c r="F101" s="474" t="s">
        <v>5516</v>
      </c>
      <c r="G101" s="693" t="s">
        <v>5755</v>
      </c>
      <c r="H101" s="474" t="s">
        <v>5756</v>
      </c>
      <c r="I101" s="1666" t="s">
        <v>5757</v>
      </c>
      <c r="J101" s="474" t="s">
        <v>1940</v>
      </c>
      <c r="K101" s="474"/>
      <c r="L101" s="474"/>
      <c r="M101" s="474"/>
      <c r="N101" s="1536"/>
      <c r="O101" s="1537"/>
    </row>
    <row r="102" spans="1:15" x14ac:dyDescent="0.25">
      <c r="A102" s="474" t="str">
        <f t="shared" si="12"/>
        <v>CR Haywood Community College</v>
      </c>
      <c r="B102" s="1329" t="s">
        <v>5154</v>
      </c>
      <c r="C102" s="1329" t="s">
        <v>5154</v>
      </c>
      <c r="D102" s="474" t="s">
        <v>5155</v>
      </c>
      <c r="E102" s="474" t="s">
        <v>5107</v>
      </c>
      <c r="F102" s="474" t="s">
        <v>5516</v>
      </c>
      <c r="G102" s="693" t="s">
        <v>5758</v>
      </c>
      <c r="H102" s="474" t="s">
        <v>5759</v>
      </c>
      <c r="I102" s="1667" t="s">
        <v>5760</v>
      </c>
      <c r="J102" s="474" t="s">
        <v>1940</v>
      </c>
      <c r="K102" s="474"/>
      <c r="L102" s="474"/>
      <c r="M102" s="474"/>
      <c r="N102" s="1536"/>
      <c r="O102" s="1537"/>
    </row>
    <row r="103" spans="1:15" x14ac:dyDescent="0.25">
      <c r="A103" s="474" t="str">
        <f t="shared" si="12"/>
        <v>CS Isothermal Community College</v>
      </c>
      <c r="B103" s="1329" t="s">
        <v>5156</v>
      </c>
      <c r="C103" s="1329" t="s">
        <v>5156</v>
      </c>
      <c r="D103" s="474" t="s">
        <v>5157</v>
      </c>
      <c r="E103" s="474" t="s">
        <v>5107</v>
      </c>
      <c r="F103" s="474" t="s">
        <v>5516</v>
      </c>
      <c r="G103" s="693" t="s">
        <v>5761</v>
      </c>
      <c r="H103" s="474" t="s">
        <v>5762</v>
      </c>
      <c r="I103" s="1668" t="s">
        <v>5763</v>
      </c>
      <c r="J103" s="474" t="s">
        <v>1940</v>
      </c>
      <c r="K103" s="474"/>
      <c r="L103" s="474"/>
      <c r="M103" s="474"/>
      <c r="N103" s="1536"/>
      <c r="O103" s="1537"/>
    </row>
    <row r="104" spans="1:15" x14ac:dyDescent="0.25">
      <c r="A104" s="474" t="str">
        <f t="shared" si="12"/>
        <v>CT James Sprunt Community College</v>
      </c>
      <c r="B104" s="1329" t="s">
        <v>5158</v>
      </c>
      <c r="C104" s="1329" t="s">
        <v>5158</v>
      </c>
      <c r="D104" s="474" t="s">
        <v>5159</v>
      </c>
      <c r="E104" s="474" t="s">
        <v>5107</v>
      </c>
      <c r="F104" s="474" t="s">
        <v>5516</v>
      </c>
      <c r="G104" s="693" t="s">
        <v>5764</v>
      </c>
      <c r="H104" s="474" t="s">
        <v>5765</v>
      </c>
      <c r="I104" s="1667" t="s">
        <v>5766</v>
      </c>
      <c r="J104" s="474" t="s">
        <v>1940</v>
      </c>
      <c r="K104" s="474"/>
      <c r="L104" s="474"/>
      <c r="M104" s="474"/>
      <c r="N104" s="1536"/>
      <c r="O104" s="1537"/>
    </row>
    <row r="105" spans="1:15" x14ac:dyDescent="0.25">
      <c r="A105" s="474" t="str">
        <f t="shared" si="12"/>
        <v>CU Johnston Community College</v>
      </c>
      <c r="B105" s="1329" t="s">
        <v>5160</v>
      </c>
      <c r="C105" s="1329" t="s">
        <v>5160</v>
      </c>
      <c r="D105" s="474" t="s">
        <v>5161</v>
      </c>
      <c r="E105" s="474" t="s">
        <v>5107</v>
      </c>
      <c r="F105" s="474" t="s">
        <v>5516</v>
      </c>
      <c r="G105" s="693" t="s">
        <v>5767</v>
      </c>
      <c r="H105" s="474" t="s">
        <v>5768</v>
      </c>
      <c r="I105" s="1666" t="s">
        <v>5769</v>
      </c>
      <c r="J105" s="474" t="s">
        <v>1940</v>
      </c>
      <c r="K105" s="474"/>
      <c r="L105" s="474"/>
      <c r="M105" s="474"/>
      <c r="N105" s="1536"/>
      <c r="O105" s="1537"/>
    </row>
    <row r="106" spans="1:15" x14ac:dyDescent="0.25">
      <c r="A106" s="474" t="str">
        <f t="shared" si="12"/>
        <v>CV Lenoir Community College</v>
      </c>
      <c r="B106" s="1329" t="s">
        <v>5162</v>
      </c>
      <c r="C106" s="1329" t="s">
        <v>5162</v>
      </c>
      <c r="D106" s="474" t="s">
        <v>5163</v>
      </c>
      <c r="E106" s="474" t="s">
        <v>5107</v>
      </c>
      <c r="F106" s="474" t="s">
        <v>5516</v>
      </c>
      <c r="G106" s="693" t="s">
        <v>5770</v>
      </c>
      <c r="H106" s="474" t="s">
        <v>5771</v>
      </c>
      <c r="I106" s="1666" t="s">
        <v>5772</v>
      </c>
      <c r="J106" s="474" t="s">
        <v>1940</v>
      </c>
      <c r="K106" s="474"/>
      <c r="L106" s="474"/>
      <c r="M106" s="474"/>
      <c r="N106" s="1536"/>
      <c r="O106" s="1537"/>
    </row>
    <row r="107" spans="1:15" x14ac:dyDescent="0.25">
      <c r="A107" s="474" t="str">
        <f t="shared" si="12"/>
        <v>CW Martin Community College</v>
      </c>
      <c r="B107" s="1329" t="s">
        <v>5164</v>
      </c>
      <c r="C107" s="1329" t="s">
        <v>5164</v>
      </c>
      <c r="D107" s="474" t="s">
        <v>5165</v>
      </c>
      <c r="E107" s="474" t="s">
        <v>5107</v>
      </c>
      <c r="F107" s="474" t="s">
        <v>5516</v>
      </c>
      <c r="G107" s="693" t="s">
        <v>5773</v>
      </c>
      <c r="H107" s="474" t="s">
        <v>5774</v>
      </c>
      <c r="I107" s="1666" t="s">
        <v>5775</v>
      </c>
      <c r="J107" s="474" t="s">
        <v>1940</v>
      </c>
      <c r="K107" s="474"/>
      <c r="L107" s="474"/>
      <c r="M107" s="474"/>
      <c r="N107" s="1536"/>
      <c r="O107" s="1537"/>
    </row>
    <row r="108" spans="1:15" x14ac:dyDescent="0.25">
      <c r="A108" s="474" t="str">
        <f t="shared" si="12"/>
        <v>CX Mayland Community College</v>
      </c>
      <c r="B108" s="1329" t="s">
        <v>5166</v>
      </c>
      <c r="C108" s="1329" t="s">
        <v>5166</v>
      </c>
      <c r="D108" s="474" t="s">
        <v>5167</v>
      </c>
      <c r="E108" s="474" t="s">
        <v>5107</v>
      </c>
      <c r="F108" s="474" t="s">
        <v>5516</v>
      </c>
      <c r="G108" s="693" t="s">
        <v>5776</v>
      </c>
      <c r="H108" s="474" t="s">
        <v>5777</v>
      </c>
      <c r="I108" s="1666" t="s">
        <v>5778</v>
      </c>
      <c r="J108" s="474" t="s">
        <v>1940</v>
      </c>
      <c r="K108" s="474"/>
      <c r="L108" s="474"/>
      <c r="M108" s="474"/>
      <c r="N108" s="1536"/>
      <c r="O108" s="1537"/>
    </row>
    <row r="109" spans="1:15" x14ac:dyDescent="0.25">
      <c r="A109" s="474" t="str">
        <f t="shared" si="12"/>
        <v>CY McDowell Technical Community College</v>
      </c>
      <c r="B109" s="1329" t="s">
        <v>5168</v>
      </c>
      <c r="C109" s="1329" t="s">
        <v>5168</v>
      </c>
      <c r="D109" s="474" t="s">
        <v>5169</v>
      </c>
      <c r="E109" s="474" t="s">
        <v>5107</v>
      </c>
      <c r="F109" s="474" t="s">
        <v>5516</v>
      </c>
      <c r="G109" s="693" t="s">
        <v>5779</v>
      </c>
      <c r="H109" s="474" t="s">
        <v>5780</v>
      </c>
      <c r="I109" s="1666" t="s">
        <v>5781</v>
      </c>
      <c r="J109" s="474" t="s">
        <v>1940</v>
      </c>
      <c r="K109" s="474"/>
      <c r="L109" s="474"/>
      <c r="M109" s="474"/>
      <c r="N109" s="1536"/>
      <c r="O109" s="1537"/>
    </row>
    <row r="110" spans="1:15" x14ac:dyDescent="0.25">
      <c r="A110" s="474" t="str">
        <f t="shared" si="12"/>
        <v>CZ Mitchell Community College</v>
      </c>
      <c r="B110" s="1329" t="s">
        <v>5170</v>
      </c>
      <c r="C110" s="1329" t="s">
        <v>5170</v>
      </c>
      <c r="D110" s="474" t="s">
        <v>5171</v>
      </c>
      <c r="E110" s="474" t="s">
        <v>5107</v>
      </c>
      <c r="F110" s="474" t="s">
        <v>5516</v>
      </c>
      <c r="G110" s="693" t="s">
        <v>5782</v>
      </c>
      <c r="H110" s="474" t="s">
        <v>5783</v>
      </c>
      <c r="I110" s="1666" t="s">
        <v>5784</v>
      </c>
      <c r="J110" s="474" t="s">
        <v>1940</v>
      </c>
      <c r="K110" s="474"/>
      <c r="L110" s="474"/>
      <c r="M110" s="474"/>
      <c r="N110" s="1536"/>
      <c r="O110" s="1537"/>
    </row>
    <row r="111" spans="1:15" x14ac:dyDescent="0.25">
      <c r="A111" s="474" t="str">
        <f t="shared" si="12"/>
        <v>D0 Montgomery Community College</v>
      </c>
      <c r="B111" s="1329" t="s">
        <v>5172</v>
      </c>
      <c r="C111" s="1329" t="s">
        <v>5172</v>
      </c>
      <c r="D111" s="474" t="s">
        <v>5173</v>
      </c>
      <c r="E111" s="474" t="s">
        <v>5107</v>
      </c>
      <c r="F111" s="474" t="s">
        <v>5516</v>
      </c>
      <c r="G111" s="693" t="s">
        <v>5785</v>
      </c>
      <c r="H111" s="474" t="s">
        <v>5786</v>
      </c>
      <c r="I111" s="1667" t="s">
        <v>5787</v>
      </c>
      <c r="J111" s="474" t="s">
        <v>1940</v>
      </c>
      <c r="K111" s="474"/>
      <c r="L111" s="474"/>
      <c r="M111" s="474"/>
      <c r="N111" s="1536"/>
      <c r="O111" s="1537"/>
    </row>
    <row r="112" spans="1:15" x14ac:dyDescent="0.25">
      <c r="A112" s="474" t="str">
        <f t="shared" si="12"/>
        <v>D1 Nash Community College</v>
      </c>
      <c r="B112" s="1329" t="s">
        <v>5174</v>
      </c>
      <c r="C112" s="1329" t="s">
        <v>5174</v>
      </c>
      <c r="D112" s="474" t="s">
        <v>5175</v>
      </c>
      <c r="E112" s="474" t="s">
        <v>5107</v>
      </c>
      <c r="F112" s="474" t="s">
        <v>5516</v>
      </c>
      <c r="G112" s="693" t="s">
        <v>5788</v>
      </c>
      <c r="H112" s="474" t="s">
        <v>5789</v>
      </c>
      <c r="I112" s="1666" t="s">
        <v>5790</v>
      </c>
      <c r="J112" s="474" t="s">
        <v>1940</v>
      </c>
      <c r="K112" s="474"/>
      <c r="L112" s="474"/>
      <c r="M112" s="474"/>
      <c r="N112" s="1536"/>
      <c r="O112" s="1537"/>
    </row>
    <row r="113" spans="1:15" x14ac:dyDescent="0.25">
      <c r="A113" s="474" t="str">
        <f t="shared" si="12"/>
        <v>D2 Pamlico Community College</v>
      </c>
      <c r="B113" s="1329" t="s">
        <v>5176</v>
      </c>
      <c r="C113" s="1329" t="s">
        <v>5176</v>
      </c>
      <c r="D113" s="474" t="s">
        <v>5177</v>
      </c>
      <c r="E113" s="474" t="s">
        <v>5107</v>
      </c>
      <c r="F113" s="474" t="s">
        <v>5516</v>
      </c>
      <c r="G113" s="693" t="s">
        <v>5791</v>
      </c>
      <c r="H113" s="474" t="s">
        <v>5792</v>
      </c>
      <c r="I113" s="1667" t="s">
        <v>5793</v>
      </c>
      <c r="J113" s="474" t="s">
        <v>1940</v>
      </c>
      <c r="K113" s="474"/>
      <c r="L113" s="474"/>
      <c r="M113" s="474"/>
      <c r="N113" s="1536"/>
      <c r="O113" s="1537"/>
    </row>
    <row r="114" spans="1:15" x14ac:dyDescent="0.25">
      <c r="A114" s="474" t="str">
        <f t="shared" si="12"/>
        <v>D3 Piedmont Community College</v>
      </c>
      <c r="B114" s="1329" t="s">
        <v>5178</v>
      </c>
      <c r="C114" s="1329" t="s">
        <v>5178</v>
      </c>
      <c r="D114" s="474" t="s">
        <v>5179</v>
      </c>
      <c r="E114" s="474" t="s">
        <v>5107</v>
      </c>
      <c r="F114" s="474" t="s">
        <v>5516</v>
      </c>
      <c r="G114" s="693" t="s">
        <v>5794</v>
      </c>
      <c r="H114" s="474" t="s">
        <v>5795</v>
      </c>
      <c r="I114" s="1666" t="s">
        <v>5796</v>
      </c>
      <c r="J114" s="474" t="s">
        <v>1940</v>
      </c>
      <c r="K114" s="474"/>
      <c r="L114" s="474"/>
      <c r="M114" s="474"/>
      <c r="N114" s="1536"/>
      <c r="O114" s="1537"/>
    </row>
    <row r="115" spans="1:15" x14ac:dyDescent="0.25">
      <c r="A115" s="474" t="str">
        <f t="shared" si="12"/>
        <v>D4 Pitt Community College</v>
      </c>
      <c r="B115" s="1329" t="s">
        <v>5180</v>
      </c>
      <c r="C115" s="1329" t="s">
        <v>5180</v>
      </c>
      <c r="D115" s="474" t="s">
        <v>5181</v>
      </c>
      <c r="E115" s="474" t="s">
        <v>5107</v>
      </c>
      <c r="F115" s="474" t="s">
        <v>5516</v>
      </c>
      <c r="G115" s="693" t="s">
        <v>5797</v>
      </c>
      <c r="H115" s="474" t="s">
        <v>5798</v>
      </c>
      <c r="I115" s="1666" t="s">
        <v>5799</v>
      </c>
      <c r="J115" s="474" t="s">
        <v>1940</v>
      </c>
      <c r="K115" s="474"/>
      <c r="L115" s="474"/>
      <c r="M115" s="474"/>
      <c r="N115" s="1536"/>
      <c r="O115" s="1537"/>
    </row>
    <row r="116" spans="1:15" x14ac:dyDescent="0.25">
      <c r="A116" s="474" t="str">
        <f t="shared" si="12"/>
        <v>D5 Randolph Community College</v>
      </c>
      <c r="B116" s="1329" t="s">
        <v>5182</v>
      </c>
      <c r="C116" s="1329" t="s">
        <v>5182</v>
      </c>
      <c r="D116" s="474" t="s">
        <v>5183</v>
      </c>
      <c r="E116" s="474" t="s">
        <v>5107</v>
      </c>
      <c r="F116" s="474" t="s">
        <v>5516</v>
      </c>
      <c r="G116" s="693" t="s">
        <v>5800</v>
      </c>
      <c r="H116" s="474" t="s">
        <v>5801</v>
      </c>
      <c r="I116" s="1666" t="s">
        <v>5802</v>
      </c>
      <c r="J116" s="474" t="s">
        <v>1940</v>
      </c>
      <c r="K116" s="474"/>
      <c r="L116" s="474"/>
      <c r="M116" s="474"/>
      <c r="N116" s="1536"/>
      <c r="O116" s="1537"/>
    </row>
    <row r="117" spans="1:15" x14ac:dyDescent="0.25">
      <c r="A117" s="474" t="str">
        <f t="shared" si="12"/>
        <v>D6 Richmond Community College</v>
      </c>
      <c r="B117" s="1329" t="s">
        <v>5184</v>
      </c>
      <c r="C117" s="1329" t="s">
        <v>5184</v>
      </c>
      <c r="D117" s="474" t="s">
        <v>5185</v>
      </c>
      <c r="E117" s="474" t="s">
        <v>5107</v>
      </c>
      <c r="F117" s="474" t="s">
        <v>5516</v>
      </c>
      <c r="G117" s="693" t="s">
        <v>5803</v>
      </c>
      <c r="H117" s="474" t="s">
        <v>5804</v>
      </c>
      <c r="I117" s="1666" t="s">
        <v>5805</v>
      </c>
      <c r="J117" s="474" t="s">
        <v>1940</v>
      </c>
      <c r="K117" s="474"/>
      <c r="L117" s="474"/>
      <c r="M117" s="474"/>
      <c r="N117" s="1536"/>
      <c r="O117" s="1537"/>
    </row>
    <row r="118" spans="1:15" x14ac:dyDescent="0.25">
      <c r="A118" s="474" t="str">
        <f t="shared" si="12"/>
        <v>D7 Roanoke-Chowan Community College</v>
      </c>
      <c r="B118" s="1329" t="s">
        <v>5186</v>
      </c>
      <c r="C118" s="1329" t="s">
        <v>5186</v>
      </c>
      <c r="D118" s="474" t="s">
        <v>5187</v>
      </c>
      <c r="E118" s="474" t="s">
        <v>5107</v>
      </c>
      <c r="F118" s="474" t="s">
        <v>5516</v>
      </c>
      <c r="G118" s="693" t="s">
        <v>5806</v>
      </c>
      <c r="H118" s="474" t="s">
        <v>5807</v>
      </c>
      <c r="I118" s="1666" t="s">
        <v>5808</v>
      </c>
      <c r="J118" s="474" t="s">
        <v>1940</v>
      </c>
      <c r="K118" s="474"/>
      <c r="L118" s="474"/>
      <c r="M118" s="474"/>
      <c r="N118" s="1536"/>
      <c r="O118" s="1537"/>
    </row>
    <row r="119" spans="1:15" x14ac:dyDescent="0.25">
      <c r="A119" s="474" t="str">
        <f t="shared" si="12"/>
        <v>D8 Robeson Community College</v>
      </c>
      <c r="B119" s="1329" t="s">
        <v>5188</v>
      </c>
      <c r="C119" s="1329" t="s">
        <v>5188</v>
      </c>
      <c r="D119" s="474" t="s">
        <v>5189</v>
      </c>
      <c r="E119" s="474" t="s">
        <v>5107</v>
      </c>
      <c r="F119" s="474" t="s">
        <v>5516</v>
      </c>
      <c r="G119" s="693" t="s">
        <v>5809</v>
      </c>
      <c r="H119" s="474" t="s">
        <v>5810</v>
      </c>
      <c r="I119" s="1667" t="s">
        <v>5811</v>
      </c>
      <c r="J119" s="474" t="s">
        <v>1940</v>
      </c>
      <c r="K119" s="474"/>
      <c r="L119" s="474"/>
      <c r="M119" s="474"/>
      <c r="N119" s="1536"/>
      <c r="O119" s="1537"/>
    </row>
    <row r="120" spans="1:15" x14ac:dyDescent="0.25">
      <c r="A120" s="474" t="str">
        <f t="shared" si="12"/>
        <v>D9 Rockingham Community College</v>
      </c>
      <c r="B120" s="1329" t="s">
        <v>5190</v>
      </c>
      <c r="C120" s="1329" t="s">
        <v>5190</v>
      </c>
      <c r="D120" s="474" t="s">
        <v>5191</v>
      </c>
      <c r="E120" s="474" t="s">
        <v>5107</v>
      </c>
      <c r="F120" s="474" t="s">
        <v>5516</v>
      </c>
      <c r="G120" s="693" t="s">
        <v>5812</v>
      </c>
      <c r="H120" s="474" t="s">
        <v>5813</v>
      </c>
      <c r="I120" s="1666" t="s">
        <v>5814</v>
      </c>
      <c r="J120" s="474" t="s">
        <v>1940</v>
      </c>
      <c r="K120" s="474"/>
      <c r="L120" s="474"/>
      <c r="M120" s="474"/>
      <c r="N120" s="1536"/>
      <c r="O120" s="1537"/>
    </row>
    <row r="121" spans="1:15" x14ac:dyDescent="0.25">
      <c r="A121" s="474" t="str">
        <f t="shared" si="12"/>
        <v>DA Rowan-Cabarrus Community College</v>
      </c>
      <c r="B121" s="1329" t="s">
        <v>5192</v>
      </c>
      <c r="C121" s="1329" t="s">
        <v>5192</v>
      </c>
      <c r="D121" s="474" t="s">
        <v>5193</v>
      </c>
      <c r="E121" s="474" t="s">
        <v>5107</v>
      </c>
      <c r="F121" s="474" t="s">
        <v>5516</v>
      </c>
      <c r="G121" s="693" t="s">
        <v>5815</v>
      </c>
      <c r="H121" s="474" t="s">
        <v>5816</v>
      </c>
      <c r="I121" s="1666" t="s">
        <v>5817</v>
      </c>
      <c r="J121" s="474" t="s">
        <v>1940</v>
      </c>
      <c r="K121" s="474"/>
      <c r="L121" s="474"/>
      <c r="M121" s="474"/>
      <c r="N121" s="1536"/>
      <c r="O121" s="1537"/>
    </row>
    <row r="122" spans="1:15" x14ac:dyDescent="0.25">
      <c r="A122" s="474" t="str">
        <f t="shared" si="12"/>
        <v>DB Sampson Community College</v>
      </c>
      <c r="B122" s="1329" t="s">
        <v>5194</v>
      </c>
      <c r="C122" s="1329" t="s">
        <v>5194</v>
      </c>
      <c r="D122" s="474" t="s">
        <v>5195</v>
      </c>
      <c r="E122" s="474" t="s">
        <v>5107</v>
      </c>
      <c r="F122" s="474" t="s">
        <v>5516</v>
      </c>
      <c r="G122" s="693" t="s">
        <v>5818</v>
      </c>
      <c r="H122" s="474" t="s">
        <v>5819</v>
      </c>
      <c r="I122" s="1667" t="s">
        <v>5820</v>
      </c>
      <c r="J122" s="474" t="s">
        <v>1940</v>
      </c>
      <c r="K122" s="474"/>
      <c r="L122" s="474"/>
      <c r="M122" s="474"/>
      <c r="N122" s="1536"/>
      <c r="O122" s="1537"/>
    </row>
    <row r="123" spans="1:15" x14ac:dyDescent="0.25">
      <c r="A123" s="474" t="str">
        <f t="shared" si="12"/>
        <v>DC Sandhills Community College</v>
      </c>
      <c r="B123" s="1329" t="s">
        <v>5196</v>
      </c>
      <c r="C123" s="1329" t="s">
        <v>5196</v>
      </c>
      <c r="D123" s="474" t="s">
        <v>5197</v>
      </c>
      <c r="E123" s="474" t="s">
        <v>5107</v>
      </c>
      <c r="F123" s="474" t="s">
        <v>5516</v>
      </c>
      <c r="G123" s="693" t="s">
        <v>5821</v>
      </c>
      <c r="H123" s="474" t="s">
        <v>5822</v>
      </c>
      <c r="I123" s="1666" t="s">
        <v>5823</v>
      </c>
      <c r="J123" s="474" t="s">
        <v>1940</v>
      </c>
      <c r="K123" s="474"/>
      <c r="L123" s="474"/>
      <c r="M123" s="474"/>
      <c r="N123" s="1536"/>
      <c r="O123" s="1537"/>
    </row>
    <row r="124" spans="1:15" x14ac:dyDescent="0.25">
      <c r="A124" s="474" t="str">
        <f t="shared" si="12"/>
        <v>C1 South Piedmont Community College</v>
      </c>
      <c r="B124" s="1329" t="s">
        <v>5198</v>
      </c>
      <c r="C124" s="1329" t="s">
        <v>5198</v>
      </c>
      <c r="D124" s="474" t="s">
        <v>5199</v>
      </c>
      <c r="E124" s="474" t="s">
        <v>5107</v>
      </c>
      <c r="F124" s="474" t="s">
        <v>5516</v>
      </c>
      <c r="G124" s="693" t="s">
        <v>5824</v>
      </c>
      <c r="H124" s="474" t="s">
        <v>5825</v>
      </c>
      <c r="I124" s="1666" t="s">
        <v>5826</v>
      </c>
      <c r="J124" s="474" t="s">
        <v>1940</v>
      </c>
      <c r="K124" s="474"/>
      <c r="L124" s="474"/>
      <c r="M124" s="474"/>
      <c r="N124" s="1536"/>
      <c r="O124" s="1537"/>
    </row>
    <row r="125" spans="1:15" x14ac:dyDescent="0.25">
      <c r="A125" s="474" t="str">
        <f t="shared" si="12"/>
        <v>DD Southeastern Community College</v>
      </c>
      <c r="B125" s="1329" t="s">
        <v>5200</v>
      </c>
      <c r="C125" s="1329" t="s">
        <v>5200</v>
      </c>
      <c r="D125" s="474" t="s">
        <v>5201</v>
      </c>
      <c r="E125" s="474" t="s">
        <v>5107</v>
      </c>
      <c r="F125" s="474" t="s">
        <v>5516</v>
      </c>
      <c r="G125" s="693" t="s">
        <v>5827</v>
      </c>
      <c r="H125" s="474" t="s">
        <v>5828</v>
      </c>
      <c r="I125" s="1666" t="s">
        <v>5829</v>
      </c>
      <c r="J125" s="474" t="s">
        <v>1940</v>
      </c>
      <c r="K125" s="474"/>
      <c r="L125" s="474"/>
      <c r="M125" s="474"/>
      <c r="N125" s="1536"/>
      <c r="O125" s="1537"/>
    </row>
    <row r="126" spans="1:15" x14ac:dyDescent="0.25">
      <c r="A126" s="474" t="str">
        <f t="shared" si="12"/>
        <v>DE Southwestern Community College</v>
      </c>
      <c r="B126" s="1329" t="s">
        <v>5202</v>
      </c>
      <c r="C126" s="1329" t="s">
        <v>5202</v>
      </c>
      <c r="D126" s="474" t="s">
        <v>5203</v>
      </c>
      <c r="E126" s="474" t="s">
        <v>5107</v>
      </c>
      <c r="F126" s="474" t="s">
        <v>5516</v>
      </c>
      <c r="G126" s="693" t="s">
        <v>5830</v>
      </c>
      <c r="H126" s="474" t="s">
        <v>5831</v>
      </c>
      <c r="I126" s="1668" t="s">
        <v>5832</v>
      </c>
      <c r="J126" s="474" t="s">
        <v>1940</v>
      </c>
      <c r="K126" s="474"/>
      <c r="L126" s="474"/>
      <c r="M126" s="474"/>
      <c r="N126" s="1536"/>
      <c r="O126" s="1537"/>
    </row>
    <row r="127" spans="1:15" x14ac:dyDescent="0.25">
      <c r="A127" s="474" t="str">
        <f t="shared" si="12"/>
        <v>DF Stanly Community College</v>
      </c>
      <c r="B127" s="1329" t="s">
        <v>5204</v>
      </c>
      <c r="C127" s="1329" t="s">
        <v>5204</v>
      </c>
      <c r="D127" s="474" t="s">
        <v>5205</v>
      </c>
      <c r="E127" s="474" t="s">
        <v>5107</v>
      </c>
      <c r="F127" s="474" t="s">
        <v>5516</v>
      </c>
      <c r="G127" s="693" t="s">
        <v>5833</v>
      </c>
      <c r="H127" s="474" t="s">
        <v>5834</v>
      </c>
      <c r="I127" s="1666" t="s">
        <v>5835</v>
      </c>
      <c r="J127" s="474" t="s">
        <v>1940</v>
      </c>
      <c r="K127" s="474"/>
      <c r="L127" s="474"/>
      <c r="M127" s="474"/>
      <c r="N127" s="1536"/>
      <c r="O127" s="1537"/>
    </row>
    <row r="128" spans="1:15" x14ac:dyDescent="0.25">
      <c r="A128" s="474" t="str">
        <f t="shared" si="12"/>
        <v>DG Surry Community College</v>
      </c>
      <c r="B128" s="1329" t="s">
        <v>5206</v>
      </c>
      <c r="C128" s="1329" t="s">
        <v>5206</v>
      </c>
      <c r="D128" s="474" t="s">
        <v>5207</v>
      </c>
      <c r="E128" s="474" t="s">
        <v>5107</v>
      </c>
      <c r="F128" s="474" t="s">
        <v>5516</v>
      </c>
      <c r="G128" s="693" t="s">
        <v>5836</v>
      </c>
      <c r="H128" s="474" t="s">
        <v>5837</v>
      </c>
      <c r="I128" s="1666" t="s">
        <v>5838</v>
      </c>
      <c r="J128" s="474" t="s">
        <v>1940</v>
      </c>
      <c r="K128" s="474"/>
      <c r="L128" s="474"/>
      <c r="M128" s="474"/>
      <c r="N128" s="1536"/>
      <c r="O128" s="1537"/>
    </row>
    <row r="129" spans="1:15" x14ac:dyDescent="0.25">
      <c r="A129" s="474" t="str">
        <f t="shared" si="12"/>
        <v>DH Tri-County Community College</v>
      </c>
      <c r="B129" s="1329" t="s">
        <v>5208</v>
      </c>
      <c r="C129" s="1329" t="s">
        <v>5208</v>
      </c>
      <c r="D129" s="474" t="s">
        <v>5209</v>
      </c>
      <c r="E129" s="474" t="s">
        <v>5107</v>
      </c>
      <c r="F129" s="474" t="s">
        <v>5516</v>
      </c>
      <c r="G129" s="693" t="s">
        <v>5839</v>
      </c>
      <c r="H129" s="474" t="s">
        <v>5840</v>
      </c>
      <c r="I129" s="1666" t="s">
        <v>5841</v>
      </c>
      <c r="J129" s="474" t="s">
        <v>1940</v>
      </c>
      <c r="K129" s="474"/>
      <c r="L129" s="474"/>
      <c r="M129" s="474"/>
      <c r="N129" s="1536"/>
      <c r="O129" s="1537"/>
    </row>
    <row r="130" spans="1:15" x14ac:dyDescent="0.25">
      <c r="A130" s="474" t="str">
        <f t="shared" si="12"/>
        <v>DJ Vance-Granville Community College</v>
      </c>
      <c r="B130" s="1329" t="s">
        <v>5210</v>
      </c>
      <c r="C130" s="1329" t="s">
        <v>5210</v>
      </c>
      <c r="D130" s="474" t="s">
        <v>5211</v>
      </c>
      <c r="E130" s="474" t="s">
        <v>5107</v>
      </c>
      <c r="F130" s="474" t="s">
        <v>5516</v>
      </c>
      <c r="G130" s="693" t="s">
        <v>5842</v>
      </c>
      <c r="H130" s="474" t="s">
        <v>5843</v>
      </c>
      <c r="I130" s="1666" t="s">
        <v>5844</v>
      </c>
      <c r="J130" s="474" t="s">
        <v>1940</v>
      </c>
      <c r="K130" s="474"/>
      <c r="L130" s="474"/>
      <c r="M130" s="474"/>
      <c r="N130" s="1536"/>
      <c r="O130" s="1537"/>
    </row>
    <row r="131" spans="1:15" x14ac:dyDescent="0.25">
      <c r="A131" s="474" t="str">
        <f t="shared" si="12"/>
        <v>DK Wake Technical Community College</v>
      </c>
      <c r="B131" s="1329" t="s">
        <v>5212</v>
      </c>
      <c r="C131" s="1329" t="s">
        <v>5212</v>
      </c>
      <c r="D131" s="474" t="s">
        <v>5213</v>
      </c>
      <c r="E131" s="474" t="s">
        <v>5107</v>
      </c>
      <c r="F131" s="474" t="s">
        <v>5516</v>
      </c>
      <c r="G131" s="693" t="s">
        <v>5845</v>
      </c>
      <c r="H131" s="474" t="s">
        <v>5846</v>
      </c>
      <c r="I131" s="1667" t="s">
        <v>5847</v>
      </c>
      <c r="J131" s="474" t="s">
        <v>1940</v>
      </c>
      <c r="K131" s="474"/>
      <c r="L131" s="474"/>
      <c r="M131" s="474"/>
      <c r="N131" s="1536"/>
      <c r="O131" s="1537"/>
    </row>
    <row r="132" spans="1:15" x14ac:dyDescent="0.25">
      <c r="A132" s="474" t="str">
        <f t="shared" si="12"/>
        <v>DL Wayne Community College</v>
      </c>
      <c r="B132" s="1329" t="s">
        <v>5214</v>
      </c>
      <c r="C132" s="1329" t="s">
        <v>5214</v>
      </c>
      <c r="D132" s="474" t="s">
        <v>5215</v>
      </c>
      <c r="E132" s="474" t="s">
        <v>5107</v>
      </c>
      <c r="F132" s="474" t="s">
        <v>5516</v>
      </c>
      <c r="G132" s="693" t="s">
        <v>5848</v>
      </c>
      <c r="H132" s="474" t="s">
        <v>5849</v>
      </c>
      <c r="I132" s="1667" t="s">
        <v>5850</v>
      </c>
      <c r="J132" s="474" t="s">
        <v>1940</v>
      </c>
      <c r="K132" s="474"/>
      <c r="L132" s="474"/>
      <c r="M132" s="474"/>
      <c r="N132" s="1536"/>
      <c r="O132" s="1537"/>
    </row>
    <row r="133" spans="1:15" x14ac:dyDescent="0.25">
      <c r="A133" s="474" t="str">
        <f t="shared" si="12"/>
        <v>DM Western Piedmont Community College</v>
      </c>
      <c r="B133" s="1329" t="s">
        <v>5216</v>
      </c>
      <c r="C133" s="1329" t="s">
        <v>5216</v>
      </c>
      <c r="D133" s="474" t="s">
        <v>5217</v>
      </c>
      <c r="E133" s="474" t="s">
        <v>5107</v>
      </c>
      <c r="F133" s="474" t="s">
        <v>5516</v>
      </c>
      <c r="G133" s="693" t="s">
        <v>5851</v>
      </c>
      <c r="H133" s="474" t="s">
        <v>5852</v>
      </c>
      <c r="I133" s="1666" t="s">
        <v>5853</v>
      </c>
      <c r="J133" s="474" t="s">
        <v>1940</v>
      </c>
      <c r="K133" s="474"/>
      <c r="L133" s="474"/>
      <c r="M133" s="474"/>
      <c r="N133" s="1536"/>
      <c r="O133" s="1537"/>
    </row>
    <row r="134" spans="1:15" x14ac:dyDescent="0.25">
      <c r="A134" s="474" t="str">
        <f t="shared" si="12"/>
        <v>DN Wilkes Community College</v>
      </c>
      <c r="B134" s="1329" t="s">
        <v>5218</v>
      </c>
      <c r="C134" s="1329" t="s">
        <v>5218</v>
      </c>
      <c r="D134" s="474" t="s">
        <v>5219</v>
      </c>
      <c r="E134" s="474" t="s">
        <v>5107</v>
      </c>
      <c r="F134" s="474" t="s">
        <v>5516</v>
      </c>
      <c r="G134" s="693" t="s">
        <v>5854</v>
      </c>
      <c r="H134" s="474" t="s">
        <v>5855</v>
      </c>
      <c r="I134" s="1666" t="s">
        <v>5856</v>
      </c>
      <c r="J134" s="474" t="s">
        <v>1940</v>
      </c>
      <c r="K134" s="474"/>
      <c r="L134" s="474"/>
      <c r="M134" s="474"/>
      <c r="N134" s="1536"/>
      <c r="O134" s="1537"/>
    </row>
    <row r="135" spans="1:15" x14ac:dyDescent="0.25">
      <c r="A135" s="474" t="str">
        <f t="shared" si="12"/>
        <v>DP Wilson Community College</v>
      </c>
      <c r="B135" s="1329" t="s">
        <v>5220</v>
      </c>
      <c r="C135" s="1329" t="s">
        <v>5220</v>
      </c>
      <c r="D135" s="474" t="s">
        <v>5221</v>
      </c>
      <c r="E135" s="474" t="s">
        <v>5107</v>
      </c>
      <c r="F135" s="474" t="s">
        <v>5516</v>
      </c>
      <c r="G135" s="693" t="s">
        <v>5857</v>
      </c>
      <c r="H135" s="474" t="s">
        <v>5858</v>
      </c>
      <c r="I135" s="1664" t="s">
        <v>5859</v>
      </c>
      <c r="J135" s="474" t="s">
        <v>1940</v>
      </c>
      <c r="K135" s="474"/>
      <c r="L135" s="474"/>
      <c r="M135" s="474"/>
      <c r="N135" s="1536"/>
      <c r="O135" s="1537"/>
    </row>
    <row r="136" spans="1:15" x14ac:dyDescent="0.25">
      <c r="A136" s="474"/>
      <c r="B136" s="1329" t="s">
        <v>5860</v>
      </c>
      <c r="C136" s="1329"/>
      <c r="D136" s="474"/>
      <c r="E136" s="474"/>
      <c r="F136" s="474"/>
      <c r="J136" s="474"/>
      <c r="K136" s="474"/>
      <c r="L136" s="474"/>
      <c r="M136" s="474"/>
      <c r="N136" s="1536"/>
    </row>
    <row r="138" spans="1:15" x14ac:dyDescent="0.25">
      <c r="A138" s="474"/>
      <c r="B138" s="474"/>
      <c r="C138" s="474" t="s">
        <v>5861</v>
      </c>
      <c r="D138" s="474"/>
      <c r="E138" s="474"/>
      <c r="F138" s="474"/>
      <c r="J138" s="474"/>
      <c r="K138" s="474"/>
      <c r="L138" s="474"/>
      <c r="M138" s="474"/>
    </row>
    <row r="139" spans="1:15" x14ac:dyDescent="0.25">
      <c r="A139" s="474"/>
      <c r="B139" s="474"/>
      <c r="C139" s="474" t="s">
        <v>5160</v>
      </c>
      <c r="D139" s="474" t="s">
        <v>5862</v>
      </c>
      <c r="E139" s="474"/>
      <c r="F139" s="474"/>
      <c r="J139" s="474"/>
      <c r="K139" s="474"/>
      <c r="L139" s="474"/>
      <c r="M139" s="474"/>
    </row>
    <row r="140" spans="1:15" x14ac:dyDescent="0.25">
      <c r="A140" s="474"/>
      <c r="B140" s="474"/>
      <c r="C140" s="474" t="s">
        <v>4610</v>
      </c>
      <c r="D140" s="474" t="s">
        <v>5863</v>
      </c>
      <c r="E140" s="474"/>
      <c r="F140" s="474"/>
      <c r="J140" s="474"/>
      <c r="K140" s="474"/>
      <c r="L140" s="474"/>
      <c r="M140" s="474"/>
    </row>
    <row r="141" spans="1:15" x14ac:dyDescent="0.25">
      <c r="A141" s="474"/>
      <c r="B141" s="474"/>
      <c r="C141" s="474" t="s">
        <v>5128</v>
      </c>
      <c r="D141" s="474" t="s">
        <v>5864</v>
      </c>
      <c r="E141" s="474"/>
      <c r="F141" s="474"/>
      <c r="J141" s="474"/>
      <c r="K141" s="474"/>
      <c r="L141" s="474"/>
      <c r="M141" s="474"/>
    </row>
    <row r="142" spans="1:15" x14ac:dyDescent="0.25">
      <c r="A142" s="474"/>
      <c r="B142" s="474"/>
      <c r="C142" s="554" t="s">
        <v>5865</v>
      </c>
      <c r="D142" s="474" t="s">
        <v>5866</v>
      </c>
      <c r="E142" s="474"/>
      <c r="F142" s="474"/>
      <c r="J142" s="474"/>
      <c r="K142" s="474"/>
      <c r="L142" s="474"/>
      <c r="M142" s="474"/>
    </row>
    <row r="143" spans="1:15" x14ac:dyDescent="0.25">
      <c r="A143" s="474"/>
      <c r="B143" s="474"/>
      <c r="C143" s="474" t="s">
        <v>1823</v>
      </c>
      <c r="D143" s="460" t="s">
        <v>5867</v>
      </c>
      <c r="E143" s="474"/>
      <c r="F143" s="474"/>
      <c r="J143" s="474"/>
      <c r="K143" s="474"/>
      <c r="L143" s="474"/>
      <c r="M143" s="474"/>
    </row>
    <row r="144" spans="1:15" x14ac:dyDescent="0.25">
      <c r="A144" s="474"/>
      <c r="B144" s="474"/>
      <c r="C144" s="474" t="s">
        <v>5516</v>
      </c>
      <c r="D144" s="460" t="s">
        <v>5868</v>
      </c>
      <c r="E144" s="474"/>
      <c r="F144" s="474"/>
      <c r="J144" s="474"/>
      <c r="K144" s="474"/>
      <c r="L144" s="474"/>
      <c r="M144" s="474"/>
    </row>
    <row r="146" spans="1:12" x14ac:dyDescent="0.25">
      <c r="A146" s="474"/>
      <c r="B146" s="474"/>
      <c r="C146" s="474" t="s">
        <v>5869</v>
      </c>
      <c r="D146" s="474"/>
      <c r="E146" s="474"/>
      <c r="F146" s="474"/>
      <c r="J146" s="474"/>
      <c r="K146" s="474"/>
      <c r="L146" s="474"/>
    </row>
    <row r="147" spans="1:12" x14ac:dyDescent="0.25">
      <c r="A147" s="474"/>
      <c r="B147" s="474"/>
      <c r="C147" s="474" t="s">
        <v>5870</v>
      </c>
      <c r="D147" s="474"/>
      <c r="E147" s="474"/>
      <c r="F147" s="474"/>
      <c r="J147" s="474"/>
      <c r="K147" s="474"/>
      <c r="L147" s="474"/>
    </row>
    <row r="148" spans="1:12" x14ac:dyDescent="0.25">
      <c r="A148" s="474"/>
      <c r="B148" s="474"/>
      <c r="C148" s="474"/>
      <c r="D148" s="474"/>
      <c r="E148" s="474"/>
      <c r="F148" s="474"/>
      <c r="J148" s="474"/>
      <c r="K148" s="474"/>
      <c r="L148" s="474"/>
    </row>
    <row r="150" spans="1:12" x14ac:dyDescent="0.25">
      <c r="A150" s="474" t="str">
        <f>C150&amp;" "&amp;D150</f>
        <v xml:space="preserve"> </v>
      </c>
      <c r="B150" s="474">
        <v>40</v>
      </c>
      <c r="C150" s="1329"/>
      <c r="D150" s="474"/>
      <c r="E150" s="474"/>
      <c r="F150" s="474"/>
      <c r="G150" s="693"/>
      <c r="J150" s="474"/>
      <c r="K150" s="474"/>
      <c r="L150" s="474" t="b">
        <f>ISTEXT(B150)</f>
        <v>0</v>
      </c>
    </row>
  </sheetData>
  <sheetProtection algorithmName="SHA-512" hashValue="oqf7+dG09jGU8ys0D3Jb2LT9ILAQ/SUkvfrd6hLGzF5uDdyDkp3Qf3ZMIWQgrjw7mjIkYh6okq4TJ39fMzj0Lg==" saltValue="L7XVOEXTqV8EhNhiBaczpw==" spinCount="100000" sheet="1" autoFilter="0"/>
  <autoFilter ref="A1:M136" xr:uid="{D5EACDEB-6328-405E-9C04-2B41E6186EF1}"/>
  <customSheetViews>
    <customSheetView guid="{9FCFC836-1CA5-48BF-958D-24D2EA94B219}" hiddenColumns="1" topLeftCell="C1">
      <pane ySplit="2" topLeftCell="A3" activePane="bottomLeft" state="frozen"/>
      <selection pane="bottomLeft" activeCell="H3" sqref="H3"/>
      <pageMargins left="0" right="0" top="0" bottom="0" header="0" footer="0"/>
      <printOptions gridLines="1"/>
      <pageSetup scale="97" orientation="portrait" r:id="rId1"/>
      <headerFooter alignWithMargins="0"/>
    </customSheetView>
    <customSheetView guid="{B08879A4-635B-4C39-9937-AC7883D562FC}" hiddenColumns="1" topLeftCell="C1">
      <pane ySplit="2" topLeftCell="A3" activePane="bottomLeft" state="frozen"/>
      <selection pane="bottomLeft" activeCell="H3" sqref="H3"/>
      <pageMargins left="0" right="0" top="0" bottom="0" header="0" footer="0"/>
      <printOptions gridLines="1"/>
      <pageSetup scale="97" orientation="portrait" r:id="rId2"/>
      <headerFooter alignWithMargins="0"/>
    </customSheetView>
  </customSheetViews>
  <phoneticPr fontId="16" type="noConversion"/>
  <hyperlinks>
    <hyperlink ref="D1" location="Index!A1" display="Office of the State Controller" xr:uid="{00000000-0004-0000-5D00-000000000000}"/>
    <hyperlink ref="I10" r:id="rId3" xr:uid="{AE92FF8A-27E4-4979-80B5-59731C015FBA}"/>
    <hyperlink ref="I52" r:id="rId4" xr:uid="{E2E1B54C-5499-4993-8A02-25CCEEAF32B7}"/>
    <hyperlink ref="I55" r:id="rId5" xr:uid="{782A4252-3FC5-4A27-914E-3C26E45935A1}"/>
    <hyperlink ref="I73" r:id="rId6" xr:uid="{C4CB592C-E7EF-4F13-AF83-31A00BDF0236}"/>
    <hyperlink ref="I14" r:id="rId7" xr:uid="{2E987D4B-9097-49C1-980F-A355C238E235}"/>
    <hyperlink ref="I27" r:id="rId8" xr:uid="{EBD7C83A-14CF-4893-A101-A11DA2221889}"/>
    <hyperlink ref="I46" r:id="rId9" xr:uid="{AD19E83C-5ADE-4C82-B92F-6E3DB9EEAB15}"/>
    <hyperlink ref="I47" r:id="rId10" xr:uid="{C6193E76-F88E-468A-9FCB-5925AAC20FDD}"/>
    <hyperlink ref="I48" r:id="rId11" xr:uid="{B4140F17-FEA5-4820-8E1B-9798CB500A88}"/>
    <hyperlink ref="I59" r:id="rId12" xr:uid="{A109FE85-BC3F-4776-8E2C-2AC642F2583D}"/>
    <hyperlink ref="I67" r:id="rId13" xr:uid="{EEE4E0A6-4560-4C44-88FC-D6965029B349}"/>
    <hyperlink ref="I75" r:id="rId14" xr:uid="{AE24EE8F-AFC1-481A-8512-BA2F0353B476}"/>
    <hyperlink ref="I3" r:id="rId15" xr:uid="{81A28B72-6B1A-41E5-96B3-D3349693B935}"/>
    <hyperlink ref="I13" r:id="rId16" xr:uid="{DB4C5B8A-EA0F-4C1F-A5BC-9A50B3E5BE12}"/>
    <hyperlink ref="I15" r:id="rId17" xr:uid="{F873EB5E-D062-4200-A180-0BDA78E4C34F}"/>
    <hyperlink ref="I19" r:id="rId18" xr:uid="{454F4495-916D-4898-B5A5-1EF124A46E15}"/>
    <hyperlink ref="I28" r:id="rId19" xr:uid="{DD3A714C-F059-455A-B403-4FDFD42BFA4B}"/>
    <hyperlink ref="I57" r:id="rId20" xr:uid="{DFFFD3E0-F4DB-41C9-8225-F60E0DE9A3B1}"/>
    <hyperlink ref="I58" r:id="rId21" xr:uid="{C718CC1C-A787-4331-9BB1-F79D7A586AD3}"/>
    <hyperlink ref="I5" r:id="rId22" xr:uid="{E6D902A9-9F3F-41ED-83C4-111A442E8309}"/>
    <hyperlink ref="I9" r:id="rId23" xr:uid="{33517CE5-C463-4CFD-8286-08427031DAE7}"/>
    <hyperlink ref="I44" r:id="rId24" xr:uid="{8DE4C497-1A34-417C-8F87-3CBB21A6EACF}"/>
    <hyperlink ref="I49" r:id="rId25" xr:uid="{F4D5F5F9-1C37-491A-B33F-F5B1ABDFC551}"/>
    <hyperlink ref="I62" r:id="rId26" xr:uid="{15EA3FD6-7108-4CC1-AC15-935A69B18833}"/>
    <hyperlink ref="I72" r:id="rId27" xr:uid="{DDF6B4DE-4600-490B-B80B-9283107D8520}"/>
    <hyperlink ref="I61" r:id="rId28" xr:uid="{3D3FFA43-5BAF-464C-A5B6-E9894FD263E8}"/>
    <hyperlink ref="I78" r:id="rId29" xr:uid="{5CF364E5-1AE1-4C48-AC21-A4761B50A0F6}"/>
    <hyperlink ref="I79" r:id="rId30" display="mailto:kristabellcertain@abtech.edu" xr:uid="{CAC60D88-11A9-40A9-A5FA-487C057D330B}"/>
    <hyperlink ref="I80" r:id="rId31" display="mailto:gay.edwards@BeaufortCCC.edu" xr:uid="{CB139E5E-BD17-4C27-B47A-98E4CEA0AED1}"/>
    <hyperlink ref="I81" r:id="rId32" display="mailto:ljacobs@bladencc.edu" xr:uid="{2217D79A-3FA6-4AD0-BA73-6673BD04226A}"/>
    <hyperlink ref="I82" r:id="rId33" display="mailto:carolyna@blueridge.edu" xr:uid="{25575E14-489E-4AA2-B25F-739258D23E70}"/>
    <hyperlink ref="I83" r:id="rId34" display="mailto:culpeppers@brunswickcc.edu" xr:uid="{2E36C65C-A759-49C5-A029-320BC8450E63}"/>
    <hyperlink ref="I85" r:id="rId35" display="mailto:lcolley@cfcc.edu" xr:uid="{E8E0437F-0335-4AF5-8F04-EB00C80E4F61}"/>
    <hyperlink ref="I86" r:id="rId36" display="mailto:cumbied@carteret.edu" xr:uid="{ABC5674D-E679-49EC-BD8E-6441FF114C58}"/>
    <hyperlink ref="I87" r:id="rId37" display="mailto:sswanson109@cvcc.edu" xr:uid="{9E0493B1-4124-4869-ACBF-B11D4769FB2D}"/>
    <hyperlink ref="I88" r:id="rId38" display="mailto:bbrid219@cccc.edu" xr:uid="{02090E6F-7E3E-4FAC-8F0E-8D6E2BD9FBE1}"/>
    <hyperlink ref="I89" r:id="rId39" display="mailto:lauren.gates@cpcc.edu" xr:uid="{8D93366D-88BD-4DE8-9376-EC7A87AD753A}"/>
    <hyperlink ref="I92" r:id="rId40" display="mailto:susan_gentry@albemarle.edu" xr:uid="{CC5AA28C-AEBC-4C47-AD40-B34F7F074ADA}"/>
    <hyperlink ref="I94" r:id="rId41" display="mailto:jennifer_starsick@davidsondavie.edu" xr:uid="{905E2F02-A9ED-4CBD-B41B-8EE21105CE24}"/>
    <hyperlink ref="I95" r:id="rId42" display="mailto:kleitsch@durhamtech.edu" xr:uid="{41ADD15F-D988-4835-BFF1-372D1581A7CE}"/>
    <hyperlink ref="I96" r:id="rId43" display="mailto:twittyp@edgecombe.edu" xr:uid="{3431C479-7801-42DB-85FF-31E7A3A9E2FC}"/>
    <hyperlink ref="I97" r:id="rId44" display="mailto:deaverr@faytechcc.edu" xr:uid="{84CBAB82-52B3-45A3-9C25-3EF355A14933}"/>
    <hyperlink ref="I98" r:id="rId45" display="mailto:kalexander@forsythtech.edu" xr:uid="{92DF1540-EC78-4721-A78A-16C9EFEE5ECC}"/>
    <hyperlink ref="I99" r:id="rId46" display="mailto:alman.shelly@gaston.edu" xr:uid="{1C485761-F41F-4308-9205-072750346549}"/>
    <hyperlink ref="I100" r:id="rId47" xr:uid="{E9256AB8-48BF-4EB3-8629-B0E3B0C16B3F}"/>
    <hyperlink ref="I101" r:id="rId48" display="mailto:ssmith640@halifaxcc.edu" xr:uid="{161806D4-3E0A-4D49-ACF6-811EA8F73EA4}"/>
    <hyperlink ref="I103" r:id="rId49" xr:uid="{9B56B464-B844-4149-9FC3-ED9DE4A9D25A}"/>
    <hyperlink ref="I105" r:id="rId50" display="mailto:dgwebb@johnstoncc.edu" xr:uid="{5C3812DC-7B95-4019-9B2E-B28D5209CA6F}"/>
    <hyperlink ref="I106" r:id="rId51" xr:uid="{92A502E5-9281-40FD-89D4-578D1913CA26}"/>
    <hyperlink ref="I107" r:id="rId52" display="mailto:tammy.bailey@martincc.edu" xr:uid="{D356A3CF-FD75-4FF2-A42B-D70DFF3B5596}"/>
    <hyperlink ref="I108" r:id="rId53" display="mailto:crenfro@mayland.edu" xr:uid="{E539EFD1-3885-46B6-AB05-A2CB97718960}"/>
    <hyperlink ref="I109" r:id="rId54" xr:uid="{FD15945E-DF46-4963-AE28-CBF5447C5A04}"/>
    <hyperlink ref="I110" r:id="rId55" display="mailto:jharris@mitchellcc.edu" xr:uid="{C833E672-A18D-4042-B7CF-5C034DFE79A1}"/>
    <hyperlink ref="I112" r:id="rId56" display="mailto:cjdornseif810@nashcc.edu" xr:uid="{27439B89-55CD-4276-B6BE-AD722AFD158E}"/>
    <hyperlink ref="I114" r:id="rId57" display="mailto:Beverly.murphy@piedmontcc.edu" xr:uid="{CA5B6220-1C47-4058-9517-85390DB6A03E}"/>
    <hyperlink ref="I115" r:id="rId58" display="mailto:apeaden@email.pittcc.edu" xr:uid="{55E71ED0-44CE-4B39-9FAD-1FD40E308D17}"/>
    <hyperlink ref="I116" r:id="rId59" display="mailto:cebiby@randolph.edu" xr:uid="{3C323FF5-CAF2-4E0E-B13B-2474AFFAB96A}"/>
    <hyperlink ref="I117" r:id="rId60" display="mailto:dccashwell@richmondcc.edu" xr:uid="{988F9877-E406-45AB-A8F6-1A4246CB6D6C}"/>
    <hyperlink ref="I118" r:id="rId61" display="mailto:carriedouglas8479@roanokechowan.edu" xr:uid="{6656191C-78E9-4E69-B39B-BC1B44A6C929}"/>
    <hyperlink ref="I120" r:id="rId62" display="mailto:mooreg6174@rockinghamcc.edu" xr:uid="{4B01A869-5ECF-4F89-B3BB-401AAC324C4A}"/>
    <hyperlink ref="I121" r:id="rId63" display="mailto:Norma.brice@rccc.edu" xr:uid="{47A49249-8D96-4DE7-9944-B6A83F2D4DA3}"/>
    <hyperlink ref="I123" r:id="rId64" display="mailto:dupontm@sandhills.edu" xr:uid="{B93AB87E-990E-40D0-BA37-37104413230C}"/>
    <hyperlink ref="I124" r:id="rId65" display="mailto:jricketts2@spcc.edu" xr:uid="{7A35446F-BA09-4182-8829-2492612D8EF9}"/>
    <hyperlink ref="I125" r:id="rId66" display="mailto:donna.turbeville@sccnc.edu" xr:uid="{006C0211-642A-4401-BDFB-2F32AFCF9CBB}"/>
    <hyperlink ref="I127" r:id="rId67" display="mailto:kbradshaw9661@stanly.edu" xr:uid="{54D2AB3F-37B4-4E54-AD0C-94A876479FCF}"/>
    <hyperlink ref="I128" r:id="rId68" display="mailto:martint@surry.edu" xr:uid="{8D3D0D7E-36FC-45BC-B183-D596CDADAB49}"/>
    <hyperlink ref="I129" r:id="rId69" display="mailto:bvespasian@tricountycc.edu" xr:uid="{8110C944-F834-4C3A-8F87-5C5E55D2A4E7}"/>
    <hyperlink ref="I130" r:id="rId70" xr:uid="{F048CBE5-B4A1-4ED2-BC70-243A94516BFE}"/>
    <hyperlink ref="I133" r:id="rId71" display="mailto:marney@wpcc.edu" xr:uid="{2C0A11A7-3A45-4C17-A0FF-22569F2CE6B6}"/>
    <hyperlink ref="I134" r:id="rId72" display="mailto:cahuffman078@wilkescc.edu" xr:uid="{57244E99-6229-49B6-A857-61A18DD8119E}"/>
    <hyperlink ref="I7" r:id="rId73" xr:uid="{35AF2C85-8F6C-4F37-98FA-46D9B50DB6EE}"/>
    <hyperlink ref="I11" r:id="rId74" display="mailto:sue.kearney@dpi.nc.gov" xr:uid="{F9B8B162-DF32-4C07-9FDA-4D97EE6DE666}"/>
    <hyperlink ref="I53" r:id="rId75" display="mailto:Mrobe138@uncc.edu" xr:uid="{207F75B3-F256-4B80-AFD2-20B2F859E8D0}"/>
    <hyperlink ref="I74" r:id="rId76" xr:uid="{F3E17E32-9F96-495A-9364-0CA45D321BDB}"/>
    <hyperlink ref="I8" r:id="rId77" xr:uid="{A1A05E12-A319-4AB9-BA59-49B0FE18CEA7}"/>
    <hyperlink ref="I26" r:id="rId78" xr:uid="{FA41F03E-0A25-4151-808F-926F4CC64955}"/>
    <hyperlink ref="I43" r:id="rId79" xr:uid="{AACD4A27-1541-485C-A6F1-F41AB7ED4FDC}"/>
    <hyperlink ref="I45" r:id="rId80" xr:uid="{283D82F6-2D87-4A52-983F-809D452290CC}"/>
    <hyperlink ref="I65" r:id="rId81" xr:uid="{2D319E3B-B4FC-4927-8309-723A3F19AB53}"/>
    <hyperlink ref="I77" r:id="rId82" xr:uid="{C4736EF7-C4C3-44E8-9012-4C067D433111}"/>
    <hyperlink ref="I135" r:id="rId83" xr:uid="{8A3D383C-FDD3-483E-9602-8D0478E1916C}"/>
    <hyperlink ref="I12" r:id="rId84" xr:uid="{0B818A20-91D6-4199-87BD-AD8C7105B2A7}"/>
    <hyperlink ref="I42" r:id="rId85" xr:uid="{BE1328EF-FD09-42AF-A151-AB0F15D68532}"/>
    <hyperlink ref="I51" r:id="rId86" xr:uid="{ACE5B963-05E0-4539-ACC4-6B2602F7D046}"/>
    <hyperlink ref="I64" r:id="rId87" xr:uid="{DC67EEBB-C3B6-4B35-8A11-D87925792B9A}"/>
    <hyperlink ref="I76" r:id="rId88" xr:uid="{05711D63-C518-483E-87B7-A179AFBBAD51}"/>
    <hyperlink ref="I93" r:id="rId89" xr:uid="{F4EE86DE-F19F-41F9-92DA-F7B427AD36E5}"/>
    <hyperlink ref="I50" r:id="rId90" xr:uid="{DAED03EB-811A-40F9-950E-3F89B57AE43F}"/>
    <hyperlink ref="I38" r:id="rId91" xr:uid="{5E5EAA7A-066C-4ED2-B82D-764250881A0A}"/>
    <hyperlink ref="I68" r:id="rId92" xr:uid="{E39AC599-B56A-4918-BB33-5F2516593519}"/>
    <hyperlink ref="I69" r:id="rId93" xr:uid="{4782AD40-F512-4CC1-B788-D81AF6E681EA}"/>
    <hyperlink ref="I71" r:id="rId94" xr:uid="{61ADF6E5-9627-4549-BD8A-F919A9024761}"/>
    <hyperlink ref="I63" r:id="rId95" xr:uid="{0152B088-37D6-4F93-93D0-4A38FD6F2C1C}"/>
    <hyperlink ref="I56" r:id="rId96" xr:uid="{996625C9-DFFC-474D-9953-36F837ACF48F}"/>
    <hyperlink ref="I126" r:id="rId97" xr:uid="{E8A18CC2-8402-49AA-BF9C-3041B7CA6EE2}"/>
    <hyperlink ref="I39" r:id="rId98" xr:uid="{79184649-D44D-4036-AD48-FA337D44536A}"/>
    <hyperlink ref="I21" r:id="rId99" xr:uid="{9AFA6246-E9E4-47A2-9810-D75F7021CCD7}"/>
    <hyperlink ref="I4" r:id="rId100" xr:uid="{F7A44DDB-679D-4476-AA92-5CAA105FE94E}"/>
    <hyperlink ref="I29" r:id="rId101" display="mailto:Ryan.Hertel@unchealth.unc.edu" xr:uid="{61988207-91C3-45DA-8564-8395A689C589}"/>
    <hyperlink ref="I30" r:id="rId102" display="mailto:Jeffrey.Stevens@unchealth.unc.edu" xr:uid="{AD4D3711-3EB6-4A88-B306-C47FBA223DCD}"/>
    <hyperlink ref="I31" r:id="rId103" display="mailto:Michael.Griffin@unchealth.unc.edu" xr:uid="{C28681AC-E60D-4250-B11A-2127DB8FC547}"/>
    <hyperlink ref="I32" r:id="rId104" display="mailto:David.Sims@unchealth.unc.edu" xr:uid="{BE679855-D921-4B3A-9ECE-F598C58F5445}"/>
    <hyperlink ref="I33" r:id="rId105" display="mailto:Lisa.Cox2@unchealth.unc.edu" xr:uid="{CB0191CB-C6D4-4B3B-85C0-471FF04367E1}"/>
    <hyperlink ref="I34" r:id="rId106" display="mailto:Lisa.Cox2@unchealth.unc.edu" xr:uid="{2599416F-2F09-4B8C-8EB4-55F96D6F8C69}"/>
    <hyperlink ref="I35" r:id="rId107" display="mailto:Carolyn.Perkins@unchealth.unc.edu" xr:uid="{2A62780F-CC02-4804-87BA-941AA269710B}"/>
    <hyperlink ref="I36" r:id="rId108" display="mailto:William.Hostermanjr@unchealth.unc.edu" xr:uid="{CD871B45-7029-4680-9D55-F5C0078AB3C2}"/>
    <hyperlink ref="I37" r:id="rId109" display="mailto:Jeffrey.Stevens@unchealth.unc.edu" xr:uid="{7F63DB72-EDD0-4572-9E07-50339BF64400}"/>
    <hyperlink ref="I17" r:id="rId110" xr:uid="{C7921D87-067D-49D2-B8DB-FBED81EF38FD}"/>
    <hyperlink ref="I25" r:id="rId111" xr:uid="{330E0DB8-C64C-432F-9D5B-E1256A34B094}"/>
    <hyperlink ref="I20" r:id="rId112" xr:uid="{E63821FA-4FF2-4BB0-B18D-0B0041A06B43}"/>
  </hyperlinks>
  <printOptions headings="1"/>
  <pageMargins left="0.43" right="0.18" top="0.5" bottom="0.5" header="0.5" footer="0.5"/>
  <pageSetup scale="97" orientation="landscape" r:id="rId113"/>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3"/>
  <dimension ref="A1:C14"/>
  <sheetViews>
    <sheetView workbookViewId="0">
      <selection activeCell="C21" sqref="C21"/>
    </sheetView>
  </sheetViews>
  <sheetFormatPr defaultRowHeight="12.75" x14ac:dyDescent="0.2"/>
  <cols>
    <col min="1" max="1" width="17.42578125" customWidth="1"/>
    <col min="2" max="2" width="15.42578125" bestFit="1" customWidth="1"/>
    <col min="3" max="3" width="28.42578125" bestFit="1" customWidth="1"/>
  </cols>
  <sheetData>
    <row r="1" spans="1:3" ht="15.75" x14ac:dyDescent="0.25">
      <c r="A1" s="1215" t="s">
        <v>0</v>
      </c>
    </row>
    <row r="2" spans="1:3" ht="15.75" x14ac:dyDescent="0.25">
      <c r="A2" s="1216" t="s">
        <v>206</v>
      </c>
    </row>
    <row r="4" spans="1:3" ht="15.75" x14ac:dyDescent="0.25">
      <c r="A4" s="1218" t="s">
        <v>5871</v>
      </c>
      <c r="B4" s="1218" t="s">
        <v>5872</v>
      </c>
      <c r="C4" s="1218" t="s">
        <v>5873</v>
      </c>
    </row>
    <row r="5" spans="1:3" ht="15.75" x14ac:dyDescent="0.25">
      <c r="A5" s="693" t="s">
        <v>5874</v>
      </c>
      <c r="B5" s="693" t="s">
        <v>5875</v>
      </c>
      <c r="C5" s="1217" t="s">
        <v>5876</v>
      </c>
    </row>
    <row r="6" spans="1:3" ht="15.75" x14ac:dyDescent="0.25">
      <c r="A6" s="693" t="s">
        <v>5877</v>
      </c>
      <c r="B6" s="693" t="s">
        <v>5878</v>
      </c>
      <c r="C6" s="1217" t="s">
        <v>5879</v>
      </c>
    </row>
    <row r="7" spans="1:3" ht="15.75" x14ac:dyDescent="0.25">
      <c r="A7" s="693" t="s">
        <v>5880</v>
      </c>
      <c r="B7" s="693" t="s">
        <v>5881</v>
      </c>
      <c r="C7" s="1217" t="s">
        <v>5882</v>
      </c>
    </row>
    <row r="8" spans="1:3" ht="15.75" x14ac:dyDescent="0.25">
      <c r="A8" s="693" t="s">
        <v>5883</v>
      </c>
      <c r="B8" s="693" t="s">
        <v>5884</v>
      </c>
      <c r="C8" s="1217" t="s">
        <v>5885</v>
      </c>
    </row>
    <row r="9" spans="1:3" ht="15.75" x14ac:dyDescent="0.25">
      <c r="A9" s="693" t="s">
        <v>5886</v>
      </c>
      <c r="B9" s="693" t="s">
        <v>5887</v>
      </c>
      <c r="C9" s="1217" t="s">
        <v>5888</v>
      </c>
    </row>
    <row r="10" spans="1:3" ht="15.75" x14ac:dyDescent="0.25">
      <c r="A10" s="693" t="s">
        <v>5889</v>
      </c>
      <c r="B10" s="693" t="s">
        <v>5890</v>
      </c>
      <c r="C10" s="1217" t="s">
        <v>5891</v>
      </c>
    </row>
    <row r="11" spans="1:3" ht="15.75" x14ac:dyDescent="0.25">
      <c r="A11" s="693" t="s">
        <v>5892</v>
      </c>
      <c r="B11" s="693" t="s">
        <v>5893</v>
      </c>
      <c r="C11" s="1217" t="s">
        <v>5894</v>
      </c>
    </row>
    <row r="12" spans="1:3" ht="15.75" x14ac:dyDescent="0.25">
      <c r="A12" s="693" t="s">
        <v>5895</v>
      </c>
      <c r="B12" s="693" t="s">
        <v>5896</v>
      </c>
      <c r="C12" s="1217" t="s">
        <v>5897</v>
      </c>
    </row>
    <row r="13" spans="1:3" ht="15.75" x14ac:dyDescent="0.25">
      <c r="A13" s="693" t="s">
        <v>5898</v>
      </c>
      <c r="B13" s="693" t="s">
        <v>5899</v>
      </c>
      <c r="C13" s="1397" t="s">
        <v>5900</v>
      </c>
    </row>
    <row r="14" spans="1:3" ht="15.75" x14ac:dyDescent="0.25">
      <c r="A14" s="693"/>
      <c r="C14" s="1217"/>
    </row>
  </sheetData>
  <sheetProtection algorithmName="SHA-512" hashValue="a5qox67v9afql20v+lTxWPLitDKhNlxeQ/D/SApUMrryAtEyeS74eojJGpOkPLL9jl9atGsCneXaGlzICMvImA==" saltValue="GIetUR24U5su0dOlc6zsqQ==" spinCount="100000" sheet="1" objects="1" scenarios="1" autoFilter="0"/>
  <sortState xmlns:xlrd2="http://schemas.microsoft.com/office/spreadsheetml/2017/richdata2" ref="A7:C14">
    <sortCondition ref="A7:A14"/>
  </sortState>
  <hyperlinks>
    <hyperlink ref="A1" location="Index!A1" display="Office of the State Controller" xr:uid="{00000000-0004-0000-5E00-000000000000}"/>
    <hyperlink ref="C10" r:id="rId1" display="mailto:ellen.rockefeller@osc.nc.gov" xr:uid="{00000000-0004-0000-5E00-000003000000}"/>
    <hyperlink ref="C5" r:id="rId2" display="mailto:Kim.Battle@osc.nc.gov" xr:uid="{00000000-0004-0000-5E00-000007000000}"/>
    <hyperlink ref="C7" r:id="rId3" display="mailto:Joannie.Burtoft@osc.nc.gov" xr:uid="{00000000-0004-0000-5E00-000009000000}"/>
    <hyperlink ref="C11" r:id="rId4" display="mailto:Virginia.Sisson@osc.nc.gov" xr:uid="{00000000-0004-0000-5E00-00000B000000}"/>
    <hyperlink ref="C12" r:id="rId5" xr:uid="{0FFBA45E-DBD1-4011-BF36-9E81C25034DE}"/>
    <hyperlink ref="C13" r:id="rId6" xr:uid="{5B0F9C9C-8AE3-4C28-80CF-A7A91BF8AAC9}"/>
    <hyperlink ref="C9" r:id="rId7" display="mailto:John.Krellner@osc.nc.gov" xr:uid="{0E4418F3-20E4-40DE-9759-5219A974F78F}"/>
    <hyperlink ref="C8" r:id="rId8" xr:uid="{9316D16C-2D6B-415C-96D0-2C7FC804D668}"/>
    <hyperlink ref="C6" r:id="rId9" xr:uid="{0772C546-A701-4E19-B1E8-2DE7A70EDFE6}"/>
  </hyperlinks>
  <pageMargins left="0.7" right="0.7" top="0.75" bottom="0.75" header="0.3" footer="0.3"/>
  <pageSetup orientation="portrait" r:id="rId1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0"/>
  <dimension ref="A1:G10"/>
  <sheetViews>
    <sheetView workbookViewId="0">
      <selection activeCell="R35" sqref="R35"/>
    </sheetView>
  </sheetViews>
  <sheetFormatPr defaultColWidth="9.42578125" defaultRowHeight="15.75" x14ac:dyDescent="0.25"/>
  <cols>
    <col min="1" max="1" width="10.42578125" style="231" bestFit="1" customWidth="1"/>
    <col min="2" max="16384" width="9.42578125" style="231"/>
  </cols>
  <sheetData>
    <row r="1" spans="1:7" x14ac:dyDescent="0.25">
      <c r="A1" s="610" t="s">
        <v>5901</v>
      </c>
      <c r="B1" s="474"/>
      <c r="C1" s="474"/>
      <c r="D1" s="474"/>
      <c r="E1" s="474"/>
      <c r="F1" s="474"/>
      <c r="G1" s="474"/>
    </row>
    <row r="2" spans="1:7" x14ac:dyDescent="0.25">
      <c r="A2" s="1988">
        <v>45107</v>
      </c>
      <c r="B2" s="474" t="s">
        <v>5902</v>
      </c>
      <c r="C2" s="474"/>
      <c r="D2" s="474"/>
      <c r="E2" s="474"/>
      <c r="F2" s="474"/>
      <c r="G2" s="474"/>
    </row>
    <row r="3" spans="1:7" x14ac:dyDescent="0.25">
      <c r="A3" s="1988">
        <v>44743</v>
      </c>
      <c r="B3" s="474" t="s">
        <v>5903</v>
      </c>
      <c r="C3" s="474"/>
      <c r="D3" s="474"/>
      <c r="E3" s="474"/>
      <c r="F3" s="474"/>
      <c r="G3" s="474"/>
    </row>
    <row r="4" spans="1:7" x14ac:dyDescent="0.25">
      <c r="A4" s="1988">
        <v>44742</v>
      </c>
      <c r="B4" s="474" t="s">
        <v>5904</v>
      </c>
      <c r="C4" s="474"/>
      <c r="D4" s="474"/>
      <c r="E4" s="474"/>
      <c r="F4" s="474"/>
      <c r="G4" s="474"/>
    </row>
    <row r="5" spans="1:7" x14ac:dyDescent="0.25">
      <c r="A5" s="1988">
        <v>45108</v>
      </c>
      <c r="B5" s="474" t="s">
        <v>5905</v>
      </c>
      <c r="C5" s="474"/>
      <c r="D5" s="474"/>
      <c r="E5" s="474"/>
      <c r="F5" s="474"/>
      <c r="G5" s="474"/>
    </row>
    <row r="6" spans="1:7" x14ac:dyDescent="0.25">
      <c r="A6" s="1988">
        <v>45473</v>
      </c>
      <c r="B6" s="474" t="s">
        <v>5906</v>
      </c>
      <c r="C6" s="474"/>
      <c r="D6" s="474"/>
      <c r="E6" s="474"/>
      <c r="F6" s="474"/>
      <c r="G6" s="474"/>
    </row>
    <row r="8" spans="1:7" x14ac:dyDescent="0.25">
      <c r="A8" s="728" t="s">
        <v>5907</v>
      </c>
      <c r="B8" s="729"/>
      <c r="C8" s="729"/>
      <c r="D8" s="729"/>
      <c r="E8" s="729"/>
      <c r="F8" s="729"/>
      <c r="G8" s="729"/>
    </row>
    <row r="9" spans="1:7" x14ac:dyDescent="0.25">
      <c r="A9" s="729" t="s">
        <v>5908</v>
      </c>
      <c r="B9" s="729"/>
      <c r="C9" s="729"/>
      <c r="D9" s="729"/>
      <c r="E9" s="729"/>
      <c r="F9" s="729"/>
      <c r="G9" s="729"/>
    </row>
    <row r="10" spans="1:7" x14ac:dyDescent="0.25">
      <c r="A10" s="729" t="s">
        <v>5909</v>
      </c>
      <c r="B10" s="729"/>
      <c r="C10" s="729"/>
      <c r="D10" s="729"/>
      <c r="E10" s="729"/>
      <c r="F10" s="729"/>
      <c r="G10" s="729"/>
    </row>
  </sheetData>
  <sheetProtection algorithmName="SHA-512" hashValue="BV+hMr5qgkZU1B+mI/9h0NkROUWAUGU9depgsMBqBXx9GCDxWkk6iHuZCIkTc5Bv1KrV8Rwr4fP7AndTvsbHpA==" saltValue="GyPWdKZJm0koNAobEXMP5A==" spinCount="100000" sheet="1" objects="1" scenarios="1" autoFilter="0"/>
  <customSheetViews>
    <customSheetView guid="{9FCFC836-1CA5-48BF-958D-24D2EA94B219}">
      <selection activeCell="A6" sqref="A6"/>
      <pageMargins left="0" right="0" top="0" bottom="0" header="0" footer="0"/>
      <headerFooter alignWithMargins="0"/>
    </customSheetView>
    <customSheetView guid="{B08879A4-635B-4C39-9937-AC7883D562FC}">
      <selection activeCell="A6" sqref="A6"/>
      <pageMargins left="0" right="0" top="0" bottom="0" header="0" footer="0"/>
      <headerFooter alignWithMargins="0"/>
    </customSheetView>
  </customSheetViews>
  <phoneticPr fontId="16" type="noConversion"/>
  <pageMargins left="0.75" right="0.75" top="1" bottom="1" header="0.5" footer="0.5"/>
  <pageSetup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78"/>
  <dimension ref="A1:AC50"/>
  <sheetViews>
    <sheetView zoomScaleNormal="100" workbookViewId="0">
      <pane ySplit="1" topLeftCell="A2" activePane="bottomLeft" state="frozen"/>
      <selection activeCell="R35" sqref="R35"/>
      <selection pane="bottomLeft" activeCell="R35" sqref="R35"/>
    </sheetView>
  </sheetViews>
  <sheetFormatPr defaultColWidth="9.42578125" defaultRowHeight="15.75" x14ac:dyDescent="0.25"/>
  <cols>
    <col min="1" max="1" width="12.5703125" style="231" bestFit="1" customWidth="1"/>
    <col min="2" max="2" width="13.5703125" style="231" bestFit="1" customWidth="1"/>
    <col min="3" max="3" width="2.42578125" style="231" bestFit="1" customWidth="1"/>
    <col min="4" max="4" width="9.5703125" style="231" bestFit="1" customWidth="1"/>
    <col min="5" max="5" width="5.5703125" style="231" bestFit="1" customWidth="1"/>
    <col min="6" max="6" width="60.42578125" style="231" customWidth="1"/>
    <col min="7" max="7" width="6" style="231" bestFit="1" customWidth="1"/>
    <col min="8" max="8" width="11.42578125" style="231" bestFit="1" customWidth="1"/>
    <col min="9" max="10" width="10.42578125" style="231" bestFit="1" customWidth="1"/>
    <col min="11" max="16" width="10.42578125" style="231" customWidth="1"/>
    <col min="17" max="17" width="0.5703125" style="231" customWidth="1"/>
    <col min="18" max="18" width="9.42578125" style="231"/>
    <col min="19" max="19" width="0.5703125" style="231" customWidth="1"/>
    <col min="20" max="28" width="9.42578125" style="231"/>
    <col min="29" max="29" width="9.42578125" style="301"/>
    <col min="30" max="16384" width="9.42578125" style="231"/>
  </cols>
  <sheetData>
    <row r="1" spans="1:22" s="406" customFormat="1" x14ac:dyDescent="0.25">
      <c r="A1" s="2192" t="s">
        <v>5910</v>
      </c>
      <c r="B1" s="2192" t="s">
        <v>5911</v>
      </c>
      <c r="C1" s="2192"/>
      <c r="D1" s="2192" t="s">
        <v>5912</v>
      </c>
      <c r="E1" s="2192" t="s">
        <v>5913</v>
      </c>
      <c r="F1" s="2192" t="s">
        <v>5914</v>
      </c>
      <c r="G1" s="2192" t="s">
        <v>78</v>
      </c>
      <c r="H1" s="1989"/>
      <c r="I1" s="1989"/>
      <c r="J1" s="1989"/>
      <c r="K1" s="1989"/>
      <c r="L1" s="1989"/>
      <c r="M1" s="1989"/>
      <c r="N1" s="1989"/>
      <c r="O1" s="1989"/>
      <c r="P1" s="1989"/>
      <c r="Q1" s="1989"/>
      <c r="R1" s="1989"/>
      <c r="S1" s="1989"/>
      <c r="T1" s="1989"/>
      <c r="U1" s="1989"/>
      <c r="V1" s="1989"/>
    </row>
    <row r="2" spans="1:22" x14ac:dyDescent="0.25">
      <c r="A2" s="887" t="str">
        <f ca="1">E2&amp;D2</f>
        <v>IndexFALSE</v>
      </c>
      <c r="B2" s="887" t="str">
        <f ca="1">E2&amp;C2&amp;D2</f>
        <v>IndexaFALSE</v>
      </c>
      <c r="C2" s="887" t="s">
        <v>380</v>
      </c>
      <c r="D2" s="887" t="b">
        <f ca="1">+R2</f>
        <v>0</v>
      </c>
      <c r="E2" s="887" t="s">
        <v>62</v>
      </c>
      <c r="F2" s="887" t="s">
        <v>5915</v>
      </c>
      <c r="G2" s="887"/>
      <c r="H2" s="887" t="str">
        <f ca="1">MID(CELL("filename"),SEARCH("[",CELL("filename"))+1, SEARCH("]",CELL("filename"))-SEARCH("[",CELL("filename"))-1)</f>
        <v>2023NCASexcl (7).xlsx</v>
      </c>
      <c r="I2" s="887" t="str">
        <f>Index!E10&amp;"p.xlsx"</f>
        <v>01p.xlsx</v>
      </c>
      <c r="J2" s="887"/>
      <c r="K2" s="887"/>
      <c r="L2" s="887"/>
      <c r="M2" s="887"/>
      <c r="N2" s="887"/>
      <c r="O2" s="887"/>
      <c r="P2" s="887"/>
      <c r="Q2" s="887"/>
      <c r="R2" s="887" t="b">
        <f ca="1">+H2=I2</f>
        <v>0</v>
      </c>
      <c r="S2" s="887"/>
      <c r="T2" s="887"/>
      <c r="U2" s="887"/>
      <c r="V2" s="887"/>
    </row>
    <row r="3" spans="1:22" x14ac:dyDescent="0.25">
      <c r="A3" s="887" t="str">
        <f>E3&amp;D3</f>
        <v>201FALSE</v>
      </c>
      <c r="B3" s="887" t="str">
        <f>E3&amp;C3&amp;D3</f>
        <v>201aFALSE</v>
      </c>
      <c r="C3" s="887" t="s">
        <v>380</v>
      </c>
      <c r="D3" s="887" t="b">
        <f t="shared" ref="D3:D50" si="0">IF(G3="NA",TRUE,+R3)</f>
        <v>0</v>
      </c>
      <c r="E3" s="887">
        <v>201</v>
      </c>
      <c r="F3" s="887" t="s">
        <v>5916</v>
      </c>
      <c r="G3" s="887">
        <f t="shared" ref="G3:G25" si="1">INDEX(IdxTable,MATCH($E3,IdxSheetNum,0),2)</f>
        <v>0</v>
      </c>
      <c r="H3" s="887" t="b">
        <f>ISBLANK('201'!D8)</f>
        <v>1</v>
      </c>
      <c r="I3" s="887"/>
      <c r="J3" s="887"/>
      <c r="K3" s="887"/>
      <c r="L3" s="887"/>
      <c r="M3" s="887"/>
      <c r="N3" s="887"/>
      <c r="O3" s="887"/>
      <c r="P3" s="887"/>
      <c r="Q3" s="887"/>
      <c r="R3" s="887" t="b">
        <f>NOT(H3)</f>
        <v>0</v>
      </c>
      <c r="S3" s="887"/>
      <c r="T3" s="887"/>
      <c r="U3" s="887"/>
      <c r="V3" s="887"/>
    </row>
    <row r="4" spans="1:22" x14ac:dyDescent="0.25">
      <c r="A4" s="887" t="str">
        <f>E4&amp;D4</f>
        <v>201TRUE</v>
      </c>
      <c r="B4" s="887" t="str">
        <f>E4&amp;C4&amp;D4</f>
        <v>201bTRUE</v>
      </c>
      <c r="C4" s="887" t="s">
        <v>381</v>
      </c>
      <c r="D4" s="887" t="b">
        <f t="shared" si="0"/>
        <v>1</v>
      </c>
      <c r="E4" s="887">
        <v>201</v>
      </c>
      <c r="F4" s="887" t="s">
        <v>5917</v>
      </c>
      <c r="G4" s="887">
        <f t="shared" si="1"/>
        <v>0</v>
      </c>
      <c r="H4" s="887">
        <f>+'201'!R44</f>
        <v>0</v>
      </c>
      <c r="I4" s="887"/>
      <c r="J4" s="887"/>
      <c r="K4" s="887"/>
      <c r="L4" s="887"/>
      <c r="M4" s="887"/>
      <c r="N4" s="887"/>
      <c r="O4" s="887"/>
      <c r="P4" s="887"/>
      <c r="Q4" s="887"/>
      <c r="R4" s="887" t="b">
        <f>H4=0</f>
        <v>1</v>
      </c>
      <c r="S4" s="887"/>
      <c r="T4" s="887"/>
      <c r="U4" s="887"/>
      <c r="V4" s="887"/>
    </row>
    <row r="5" spans="1:22" x14ac:dyDescent="0.25">
      <c r="A5" s="887" t="str">
        <f>E5&amp;D5</f>
        <v>210FALSE</v>
      </c>
      <c r="B5" s="887" t="str">
        <f>E5&amp;C5&amp;D5</f>
        <v>210aFALSE</v>
      </c>
      <c r="C5" s="887" t="s">
        <v>380</v>
      </c>
      <c r="D5" s="887" t="b">
        <f t="shared" si="0"/>
        <v>0</v>
      </c>
      <c r="E5" s="887">
        <v>210</v>
      </c>
      <c r="F5" s="887" t="s">
        <v>5916</v>
      </c>
      <c r="G5" s="887">
        <f t="shared" si="1"/>
        <v>0</v>
      </c>
      <c r="H5" s="887" t="b">
        <f>ISBLANK('210'!D7)</f>
        <v>1</v>
      </c>
      <c r="I5" s="887"/>
      <c r="J5" s="887"/>
      <c r="K5" s="887"/>
      <c r="L5" s="887"/>
      <c r="M5" s="887"/>
      <c r="N5" s="887"/>
      <c r="O5" s="887"/>
      <c r="P5" s="887"/>
      <c r="Q5" s="887"/>
      <c r="R5" s="887" t="b">
        <f>NOT(H5)</f>
        <v>0</v>
      </c>
      <c r="S5" s="887"/>
      <c r="T5" s="887"/>
      <c r="U5" s="887"/>
      <c r="V5" s="887"/>
    </row>
    <row r="6" spans="1:22" x14ac:dyDescent="0.25">
      <c r="A6" s="887" t="e">
        <f t="shared" ref="A6:A14" si="2">E6&amp;D6</f>
        <v>#REF!</v>
      </c>
      <c r="B6" s="887" t="e">
        <f t="shared" ref="B6:B14" si="3">E6&amp;C6&amp;D6</f>
        <v>#REF!</v>
      </c>
      <c r="C6" s="887" t="s">
        <v>381</v>
      </c>
      <c r="D6" s="887" t="e">
        <f t="shared" si="0"/>
        <v>#REF!</v>
      </c>
      <c r="E6" s="887">
        <v>301</v>
      </c>
      <c r="F6" s="887" t="s">
        <v>5918</v>
      </c>
      <c r="G6" s="887">
        <f t="shared" si="1"/>
        <v>0</v>
      </c>
      <c r="H6" s="887" t="e">
        <f>SUM('301'!#REF!,'301'!G47,'301'!I47,'301'!K47)</f>
        <v>#REF!</v>
      </c>
      <c r="I6" s="887" t="e">
        <f>SUM('301'!#REF!,'301'!#REF!,'301'!#REF!,'301'!#REF!)</f>
        <v>#REF!</v>
      </c>
      <c r="J6" s="887"/>
      <c r="K6" s="887"/>
      <c r="L6" s="887"/>
      <c r="M6" s="887"/>
      <c r="N6" s="887"/>
      <c r="O6" s="887"/>
      <c r="P6" s="887"/>
      <c r="Q6" s="887"/>
      <c r="R6" s="887" t="e">
        <f>NOT(OR(T6,U6))</f>
        <v>#REF!</v>
      </c>
      <c r="S6" s="887"/>
      <c r="T6" s="887" t="e">
        <f>AND(H6&gt;0,I6=0)</f>
        <v>#REF!</v>
      </c>
      <c r="U6" s="887" t="e">
        <f>AND(I6&gt;0,H6=0)</f>
        <v>#REF!</v>
      </c>
      <c r="V6" s="887"/>
    </row>
    <row r="7" spans="1:22" x14ac:dyDescent="0.25">
      <c r="A7" s="887" t="str">
        <f t="shared" si="2"/>
        <v>305TRUE</v>
      </c>
      <c r="B7" s="887" t="str">
        <f t="shared" si="3"/>
        <v>305aTRUE</v>
      </c>
      <c r="C7" s="887" t="s">
        <v>380</v>
      </c>
      <c r="D7" s="887" t="b">
        <f t="shared" si="0"/>
        <v>1</v>
      </c>
      <c r="E7" s="887">
        <v>305</v>
      </c>
      <c r="F7" s="887" t="s">
        <v>5919</v>
      </c>
      <c r="G7" s="887">
        <f t="shared" si="1"/>
        <v>0</v>
      </c>
      <c r="H7" s="887">
        <f>+'305'!E32</f>
        <v>0</v>
      </c>
      <c r="I7" s="887">
        <f>+'305'!M32</f>
        <v>0</v>
      </c>
      <c r="J7" s="887">
        <f>+'305'!I32</f>
        <v>0</v>
      </c>
      <c r="K7" s="887">
        <f>+'305'!K32</f>
        <v>0</v>
      </c>
      <c r="L7" s="887"/>
      <c r="M7" s="887"/>
      <c r="N7" s="887"/>
      <c r="O7" s="887"/>
      <c r="P7" s="887"/>
      <c r="Q7" s="887"/>
      <c r="R7" s="887" t="b">
        <f>IF(T7,TRUE,U7)</f>
        <v>1</v>
      </c>
      <c r="S7" s="887"/>
      <c r="T7" s="887" t="b">
        <f>AND(H7=0,I7=0)</f>
        <v>1</v>
      </c>
      <c r="U7" s="887" t="b">
        <f>IF(OR(H7&lt;&gt;0,I7&lt;&gt;0),AND(J7&lt;&gt;0,K7&lt;&gt;0),FALSE)</f>
        <v>0</v>
      </c>
      <c r="V7" s="887"/>
    </row>
    <row r="8" spans="1:22" x14ac:dyDescent="0.25">
      <c r="A8" s="887" t="str">
        <f>E8&amp;D8</f>
        <v>305TRUE</v>
      </c>
      <c r="B8" s="887" t="str">
        <f>E8&amp;C8&amp;D8</f>
        <v>305bTRUE</v>
      </c>
      <c r="C8" s="887" t="s">
        <v>381</v>
      </c>
      <c r="D8" s="887" t="b">
        <f t="shared" si="0"/>
        <v>1</v>
      </c>
      <c r="E8" s="887">
        <v>305</v>
      </c>
      <c r="F8" s="887" t="s">
        <v>5916</v>
      </c>
      <c r="G8" s="887">
        <f t="shared" si="1"/>
        <v>0</v>
      </c>
      <c r="H8" s="887" t="b">
        <f>ISBLANK('305'!D8)</f>
        <v>0</v>
      </c>
      <c r="I8" s="887"/>
      <c r="J8" s="887"/>
      <c r="K8" s="887"/>
      <c r="L8" s="887"/>
      <c r="M8" s="887"/>
      <c r="N8" s="887"/>
      <c r="O8" s="887"/>
      <c r="P8" s="887"/>
      <c r="Q8" s="887"/>
      <c r="R8" s="887" t="b">
        <f>NOT(H8)</f>
        <v>1</v>
      </c>
      <c r="S8" s="887"/>
      <c r="T8" s="887"/>
      <c r="U8" s="887"/>
      <c r="V8" s="887"/>
    </row>
    <row r="9" spans="1:22" x14ac:dyDescent="0.25">
      <c r="A9" s="887" t="str">
        <f t="shared" si="2"/>
        <v>310FALSE</v>
      </c>
      <c r="B9" s="887" t="str">
        <f t="shared" si="3"/>
        <v>310aFALSE</v>
      </c>
      <c r="C9" s="887" t="s">
        <v>380</v>
      </c>
      <c r="D9" s="887" t="b">
        <f t="shared" si="0"/>
        <v>0</v>
      </c>
      <c r="E9" s="887">
        <v>310</v>
      </c>
      <c r="F9" s="887" t="s">
        <v>5919</v>
      </c>
      <c r="G9" s="887">
        <f t="shared" si="1"/>
        <v>0</v>
      </c>
      <c r="H9" s="887" t="str">
        <f>+'310'!E33</f>
        <v/>
      </c>
      <c r="I9" s="887">
        <f>+'310'!M33</f>
        <v>0</v>
      </c>
      <c r="J9" s="887">
        <f>+'310'!I33</f>
        <v>0</v>
      </c>
      <c r="K9" s="887">
        <f>+'310'!K33</f>
        <v>0</v>
      </c>
      <c r="L9" s="887"/>
      <c r="M9" s="887"/>
      <c r="N9" s="887"/>
      <c r="O9" s="887"/>
      <c r="P9" s="887"/>
      <c r="Q9" s="887"/>
      <c r="R9" s="887" t="b">
        <f>IF(T9,TRUE,U9)</f>
        <v>0</v>
      </c>
      <c r="S9" s="887"/>
      <c r="T9" s="887" t="b">
        <f>AND(H9=0,I9=0)</f>
        <v>0</v>
      </c>
      <c r="U9" s="887" t="b">
        <f>IF(OR(H9&lt;&gt;0,I9&lt;&gt;0),AND(J9&lt;&gt;0,K9&lt;&gt;0),FALSE)</f>
        <v>0</v>
      </c>
      <c r="V9" s="887"/>
    </row>
    <row r="10" spans="1:22" x14ac:dyDescent="0.25">
      <c r="A10" s="887" t="str">
        <f t="shared" si="2"/>
        <v>310FALSE</v>
      </c>
      <c r="B10" s="887" t="str">
        <f t="shared" si="3"/>
        <v>310bFALSE</v>
      </c>
      <c r="C10" s="887" t="s">
        <v>381</v>
      </c>
      <c r="D10" s="887" t="b">
        <f t="shared" si="0"/>
        <v>0</v>
      </c>
      <c r="E10" s="887">
        <v>310</v>
      </c>
      <c r="F10" s="887" t="s">
        <v>5916</v>
      </c>
      <c r="G10" s="887">
        <f t="shared" si="1"/>
        <v>0</v>
      </c>
      <c r="H10" s="887" t="b">
        <f>ISBLANK('310'!D8)</f>
        <v>1</v>
      </c>
      <c r="I10" s="887"/>
      <c r="J10" s="887"/>
      <c r="K10" s="887"/>
      <c r="L10" s="887"/>
      <c r="M10" s="887"/>
      <c r="N10" s="887"/>
      <c r="O10" s="887"/>
      <c r="P10" s="887"/>
      <c r="Q10" s="887"/>
      <c r="R10" s="887" t="b">
        <f>NOT(H10)</f>
        <v>0</v>
      </c>
      <c r="S10" s="887"/>
      <c r="T10" s="887"/>
      <c r="U10" s="887"/>
      <c r="V10" s="887"/>
    </row>
    <row r="11" spans="1:22" x14ac:dyDescent="0.25">
      <c r="A11" s="887" t="str">
        <f t="shared" si="2"/>
        <v>315TRUE</v>
      </c>
      <c r="B11" s="887" t="str">
        <f t="shared" si="3"/>
        <v>315bTRUE</v>
      </c>
      <c r="C11" s="887" t="s">
        <v>381</v>
      </c>
      <c r="D11" s="887" t="b">
        <f t="shared" si="0"/>
        <v>1</v>
      </c>
      <c r="E11" s="887">
        <v>315</v>
      </c>
      <c r="F11" s="887" t="s">
        <v>5920</v>
      </c>
      <c r="G11" s="887">
        <f t="shared" si="1"/>
        <v>0</v>
      </c>
      <c r="H11" s="887">
        <f>+'315'!FROM315</f>
        <v>0</v>
      </c>
      <c r="I11" s="887">
        <f>+'315'!_TO315</f>
        <v>0</v>
      </c>
      <c r="J11" s="887"/>
      <c r="K11" s="887"/>
      <c r="L11" s="887"/>
      <c r="M11" s="887"/>
      <c r="N11" s="887"/>
      <c r="O11" s="887"/>
      <c r="P11" s="887"/>
      <c r="Q11" s="887"/>
      <c r="R11" s="887" t="b">
        <f>H11&lt;=I11</f>
        <v>1</v>
      </c>
      <c r="S11" s="887"/>
      <c r="T11" s="887"/>
      <c r="U11" s="887"/>
      <c r="V11" s="887"/>
    </row>
    <row r="12" spans="1:22" x14ac:dyDescent="0.25">
      <c r="A12" s="887" t="str">
        <f t="shared" si="2"/>
        <v>315TRUE</v>
      </c>
      <c r="B12" s="887" t="str">
        <f t="shared" si="3"/>
        <v>315cTRUE</v>
      </c>
      <c r="C12" s="887" t="s">
        <v>382</v>
      </c>
      <c r="D12" s="887" t="b">
        <f t="shared" si="0"/>
        <v>1</v>
      </c>
      <c r="E12" s="887">
        <v>315</v>
      </c>
      <c r="F12" s="887" t="s">
        <v>5921</v>
      </c>
      <c r="G12" s="887">
        <f t="shared" si="1"/>
        <v>0</v>
      </c>
      <c r="H12" s="887">
        <f>+Index!B34</f>
        <v>0</v>
      </c>
      <c r="I12" s="887" t="b">
        <f>ISBLANK('315'!$D15)</f>
        <v>1</v>
      </c>
      <c r="J12" s="887" t="b">
        <f>ISBLANK('315'!$D17)</f>
        <v>1</v>
      </c>
      <c r="K12" s="887" t="b">
        <f>ISBLANK('315'!$D19)</f>
        <v>1</v>
      </c>
      <c r="L12" s="887" t="b">
        <f>ISBLANK('315'!$D21)</f>
        <v>1</v>
      </c>
      <c r="M12" s="887" t="b">
        <f>ISBLANK('315'!$D23)</f>
        <v>1</v>
      </c>
      <c r="N12" s="887" t="b">
        <f>ISBLANK('315'!$D25)</f>
        <v>1</v>
      </c>
      <c r="O12" s="887" t="b">
        <f>ISBLANK('315'!$D27)</f>
        <v>1</v>
      </c>
      <c r="P12" s="887" t="b">
        <f>AND(I12,J12,K12,L12,M12,N12,O12)</f>
        <v>1</v>
      </c>
      <c r="Q12" s="887"/>
      <c r="R12" s="887" t="b">
        <f>IF(OR(H12="NA",T12&gt;5),TRUE,FALSE)</f>
        <v>1</v>
      </c>
      <c r="S12" s="887"/>
      <c r="T12" s="887">
        <f>COUNTIF(I12:O12,TRUE)</f>
        <v>7</v>
      </c>
      <c r="U12" s="887"/>
      <c r="V12" s="887"/>
    </row>
    <row r="13" spans="1:22" x14ac:dyDescent="0.25">
      <c r="A13" s="887" t="str">
        <f t="shared" si="2"/>
        <v>315FALSE</v>
      </c>
      <c r="B13" s="887" t="str">
        <f t="shared" si="3"/>
        <v>315dFALSE</v>
      </c>
      <c r="C13" s="887" t="s">
        <v>383</v>
      </c>
      <c r="D13" s="887" t="b">
        <f t="shared" si="0"/>
        <v>0</v>
      </c>
      <c r="E13" s="887">
        <v>315</v>
      </c>
      <c r="F13" s="887" t="s">
        <v>5922</v>
      </c>
      <c r="G13" s="887">
        <f t="shared" si="1"/>
        <v>0</v>
      </c>
      <c r="H13" s="887">
        <f>+Index!$B$34</f>
        <v>0</v>
      </c>
      <c r="I13" s="887" t="b">
        <f>ISBLANK('315'!_OID315)</f>
        <v>1</v>
      </c>
      <c r="J13" s="887"/>
      <c r="K13" s="887"/>
      <c r="L13" s="887"/>
      <c r="M13" s="887"/>
      <c r="N13" s="887"/>
      <c r="O13" s="887"/>
      <c r="P13" s="887"/>
      <c r="Q13" s="887"/>
      <c r="R13" s="887" t="b">
        <f>OR(AND(H13="NA",I13),I13=FALSE)</f>
        <v>0</v>
      </c>
      <c r="S13" s="887"/>
      <c r="T13" s="887"/>
      <c r="U13" s="887"/>
      <c r="V13" s="887"/>
    </row>
    <row r="14" spans="1:22" x14ac:dyDescent="0.25">
      <c r="A14" s="887" t="str">
        <f t="shared" si="2"/>
        <v>315FALSE</v>
      </c>
      <c r="B14" s="887" t="str">
        <f t="shared" si="3"/>
        <v>315eFALSE</v>
      </c>
      <c r="C14" s="887" t="s">
        <v>384</v>
      </c>
      <c r="D14" s="887" t="b">
        <f t="shared" si="0"/>
        <v>0</v>
      </c>
      <c r="E14" s="887">
        <v>315</v>
      </c>
      <c r="F14" s="887" t="s">
        <v>5923</v>
      </c>
      <c r="G14" s="887">
        <f t="shared" si="1"/>
        <v>0</v>
      </c>
      <c r="H14" s="887">
        <f>+Index!$B$34</f>
        <v>0</v>
      </c>
      <c r="I14" s="887" t="b">
        <f>ISBLANK('315'!FROM315)</f>
        <v>1</v>
      </c>
      <c r="J14" s="887"/>
      <c r="K14" s="887"/>
      <c r="L14" s="887"/>
      <c r="M14" s="887"/>
      <c r="N14" s="887"/>
      <c r="O14" s="887"/>
      <c r="P14" s="887"/>
      <c r="Q14" s="887"/>
      <c r="R14" s="887" t="b">
        <f>OR(AND(H14="NA",I14),I14=FALSE)</f>
        <v>0</v>
      </c>
      <c r="S14" s="887"/>
      <c r="T14" s="887"/>
      <c r="U14" s="887"/>
      <c r="V14" s="887"/>
    </row>
    <row r="15" spans="1:22" x14ac:dyDescent="0.25">
      <c r="A15" s="887" t="str">
        <f t="shared" ref="A15:A25" si="4">E15&amp;D15</f>
        <v>315FALSE</v>
      </c>
      <c r="B15" s="887" t="str">
        <f t="shared" ref="B15:B25" si="5">E15&amp;C15&amp;D15</f>
        <v>315fFALSE</v>
      </c>
      <c r="C15" s="887" t="s">
        <v>385</v>
      </c>
      <c r="D15" s="887" t="b">
        <f t="shared" si="0"/>
        <v>0</v>
      </c>
      <c r="E15" s="887">
        <v>315</v>
      </c>
      <c r="F15" s="887" t="s">
        <v>5924</v>
      </c>
      <c r="G15" s="887">
        <f t="shared" si="1"/>
        <v>0</v>
      </c>
      <c r="H15" s="887">
        <f>+Index!$B$34</f>
        <v>0</v>
      </c>
      <c r="I15" s="887" t="b">
        <f>ISBLANK('315'!_TO315)</f>
        <v>1</v>
      </c>
      <c r="J15" s="887"/>
      <c r="K15" s="887"/>
      <c r="L15" s="887"/>
      <c r="M15" s="887"/>
      <c r="N15" s="887"/>
      <c r="O15" s="887"/>
      <c r="P15" s="887"/>
      <c r="Q15" s="887"/>
      <c r="R15" s="887" t="b">
        <f>OR(AND(H15="NA",I15),I15=FALSE)</f>
        <v>0</v>
      </c>
      <c r="S15" s="887"/>
      <c r="T15" s="887"/>
      <c r="U15" s="887"/>
      <c r="V15" s="887"/>
    </row>
    <row r="16" spans="1:22" x14ac:dyDescent="0.25">
      <c r="A16" s="887" t="str">
        <f t="shared" si="4"/>
        <v>315FALSE</v>
      </c>
      <c r="B16" s="887" t="str">
        <f t="shared" si="5"/>
        <v>315gFALSE</v>
      </c>
      <c r="C16" s="887" t="s">
        <v>386</v>
      </c>
      <c r="D16" s="887" t="b">
        <f t="shared" si="0"/>
        <v>0</v>
      </c>
      <c r="E16" s="887">
        <v>315</v>
      </c>
      <c r="F16" s="887" t="s">
        <v>5925</v>
      </c>
      <c r="G16" s="887">
        <f t="shared" si="1"/>
        <v>0</v>
      </c>
      <c r="H16" s="887">
        <f>+Index!$B$34</f>
        <v>0</v>
      </c>
      <c r="I16" s="887" t="b">
        <f>ISBLANK('315'!_FMD315)</f>
        <v>1</v>
      </c>
      <c r="J16" s="887"/>
      <c r="K16" s="887"/>
      <c r="L16" s="887"/>
      <c r="M16" s="887"/>
      <c r="N16" s="887"/>
      <c r="O16" s="887"/>
      <c r="P16" s="887"/>
      <c r="Q16" s="887"/>
      <c r="R16" s="887" t="b">
        <f>OR(AND(H16="NA",I16),I16=FALSE)</f>
        <v>0</v>
      </c>
      <c r="S16" s="887"/>
      <c r="T16" s="887"/>
      <c r="U16" s="887"/>
      <c r="V16" s="887"/>
    </row>
    <row r="17" spans="1:22" x14ac:dyDescent="0.25">
      <c r="A17" s="887" t="str">
        <f t="shared" si="4"/>
        <v>320TRUE</v>
      </c>
      <c r="B17" s="887" t="str">
        <f t="shared" si="5"/>
        <v>320bTRUE</v>
      </c>
      <c r="C17" s="887" t="s">
        <v>381</v>
      </c>
      <c r="D17" s="887" t="b">
        <f t="shared" si="0"/>
        <v>1</v>
      </c>
      <c r="E17" s="887">
        <v>320</v>
      </c>
      <c r="F17" s="887" t="s">
        <v>5920</v>
      </c>
      <c r="G17" s="887">
        <f t="shared" si="1"/>
        <v>0</v>
      </c>
      <c r="H17" s="887">
        <f>+[0]!FROM320</f>
        <v>0</v>
      </c>
      <c r="I17" s="887">
        <f>+[0]!__TO320</f>
        <v>0</v>
      </c>
      <c r="J17" s="887"/>
      <c r="K17" s="887"/>
      <c r="L17" s="887"/>
      <c r="M17" s="887"/>
      <c r="N17" s="887"/>
      <c r="O17" s="887"/>
      <c r="P17" s="887"/>
      <c r="Q17" s="887"/>
      <c r="R17" s="887" t="b">
        <f>H17&lt;=I17</f>
        <v>1</v>
      </c>
      <c r="S17" s="887"/>
      <c r="T17" s="887"/>
      <c r="U17" s="887"/>
      <c r="V17" s="887"/>
    </row>
    <row r="18" spans="1:22" x14ac:dyDescent="0.25">
      <c r="A18" s="887" t="str">
        <f t="shared" si="4"/>
        <v>320TRUE</v>
      </c>
      <c r="B18" s="887" t="str">
        <f t="shared" si="5"/>
        <v>320cTRUE</v>
      </c>
      <c r="C18" s="887" t="s">
        <v>382</v>
      </c>
      <c r="D18" s="887" t="b">
        <f t="shared" si="0"/>
        <v>1</v>
      </c>
      <c r="E18" s="887">
        <v>320</v>
      </c>
      <c r="F18" s="887" t="s">
        <v>5921</v>
      </c>
      <c r="G18" s="887">
        <f t="shared" si="1"/>
        <v>0</v>
      </c>
      <c r="H18" s="887">
        <f>+Index!B40</f>
        <v>0</v>
      </c>
      <c r="I18" s="887" t="b">
        <f>ISBLANK('320'!$D15)</f>
        <v>1</v>
      </c>
      <c r="J18" s="887" t="b">
        <f>ISBLANK('320'!$D17)</f>
        <v>1</v>
      </c>
      <c r="K18" s="887" t="b">
        <f>ISBLANK('320'!$D19)</f>
        <v>1</v>
      </c>
      <c r="L18" s="887" t="b">
        <f>ISBLANK('320'!$D21)</f>
        <v>1</v>
      </c>
      <c r="M18" s="887" t="b">
        <f>ISBLANK('320'!$D23)</f>
        <v>1</v>
      </c>
      <c r="N18" s="887" t="b">
        <f>ISBLANK('320'!$D25)</f>
        <v>1</v>
      </c>
      <c r="O18" s="887" t="b">
        <f>ISBLANK('320'!$D27)</f>
        <v>1</v>
      </c>
      <c r="P18" s="887" t="b">
        <f>AND(I18,J18,K18,L18,M18,N18,O18)</f>
        <v>1</v>
      </c>
      <c r="Q18" s="887" t="b">
        <f>ISBLANK('320'!#REF!)</f>
        <v>0</v>
      </c>
      <c r="R18" s="887" t="b">
        <f>IF(OR(H18="NA",T18&gt;5),TRUE,FALSE)</f>
        <v>1</v>
      </c>
      <c r="S18" s="887"/>
      <c r="T18" s="887">
        <f>COUNTIF(I18:O18,TRUE)</f>
        <v>7</v>
      </c>
      <c r="U18" s="887"/>
      <c r="V18" s="887"/>
    </row>
    <row r="19" spans="1:22" x14ac:dyDescent="0.25">
      <c r="A19" s="887" t="str">
        <f t="shared" si="4"/>
        <v>320FALSE</v>
      </c>
      <c r="B19" s="887" t="str">
        <f t="shared" si="5"/>
        <v>320dFALSE</v>
      </c>
      <c r="C19" s="887" t="s">
        <v>383</v>
      </c>
      <c r="D19" s="887" t="b">
        <f t="shared" si="0"/>
        <v>0</v>
      </c>
      <c r="E19" s="887">
        <v>320</v>
      </c>
      <c r="F19" s="887" t="s">
        <v>5922</v>
      </c>
      <c r="G19" s="887">
        <f t="shared" si="1"/>
        <v>0</v>
      </c>
      <c r="H19" s="887">
        <f>Index!$B$35</f>
        <v>0</v>
      </c>
      <c r="I19" s="887" t="b">
        <f>ISBLANK([0]!__OID320)</f>
        <v>1</v>
      </c>
      <c r="J19" s="887"/>
      <c r="K19" s="887"/>
      <c r="L19" s="887"/>
      <c r="M19" s="887"/>
      <c r="N19" s="887"/>
      <c r="O19" s="887"/>
      <c r="P19" s="887"/>
      <c r="Q19" s="887"/>
      <c r="R19" s="887" t="b">
        <f>OR(AND(H19="NA",I19),I19=FALSE)</f>
        <v>0</v>
      </c>
      <c r="S19" s="887"/>
      <c r="T19" s="887"/>
      <c r="U19" s="887"/>
      <c r="V19" s="887"/>
    </row>
    <row r="20" spans="1:22" x14ac:dyDescent="0.25">
      <c r="A20" s="887" t="str">
        <f t="shared" si="4"/>
        <v>320FALSE</v>
      </c>
      <c r="B20" s="887" t="str">
        <f t="shared" si="5"/>
        <v>320eFALSE</v>
      </c>
      <c r="C20" s="887" t="s">
        <v>384</v>
      </c>
      <c r="D20" s="887" t="b">
        <f t="shared" si="0"/>
        <v>0</v>
      </c>
      <c r="E20" s="887">
        <v>320</v>
      </c>
      <c r="F20" s="887" t="s">
        <v>5923</v>
      </c>
      <c r="G20" s="887">
        <f t="shared" si="1"/>
        <v>0</v>
      </c>
      <c r="H20" s="887">
        <f>Index!$B$35</f>
        <v>0</v>
      </c>
      <c r="I20" s="887" t="b">
        <f>ISBLANK([0]!FROM320)</f>
        <v>1</v>
      </c>
      <c r="J20" s="887"/>
      <c r="K20" s="887"/>
      <c r="L20" s="887"/>
      <c r="M20" s="887"/>
      <c r="N20" s="887"/>
      <c r="O20" s="887"/>
      <c r="P20" s="887"/>
      <c r="Q20" s="887"/>
      <c r="R20" s="887" t="b">
        <f>OR(AND(H20="NA",I20),I20=FALSE)</f>
        <v>0</v>
      </c>
      <c r="S20" s="887"/>
      <c r="T20" s="887"/>
      <c r="U20" s="887"/>
      <c r="V20" s="887"/>
    </row>
    <row r="21" spans="1:22" x14ac:dyDescent="0.25">
      <c r="A21" s="887" t="str">
        <f t="shared" si="4"/>
        <v>320FALSE</v>
      </c>
      <c r="B21" s="887" t="str">
        <f t="shared" si="5"/>
        <v>320fFALSE</v>
      </c>
      <c r="C21" s="887" t="s">
        <v>385</v>
      </c>
      <c r="D21" s="887" t="b">
        <f t="shared" si="0"/>
        <v>0</v>
      </c>
      <c r="E21" s="887">
        <v>320</v>
      </c>
      <c r="F21" s="887" t="s">
        <v>5924</v>
      </c>
      <c r="G21" s="887">
        <f t="shared" si="1"/>
        <v>0</v>
      </c>
      <c r="H21" s="887">
        <f>Index!$B$35</f>
        <v>0</v>
      </c>
      <c r="I21" s="887" t="b">
        <f>ISBLANK([0]!__TO320)</f>
        <v>1</v>
      </c>
      <c r="J21" s="887"/>
      <c r="K21" s="887"/>
      <c r="L21" s="887"/>
      <c r="M21" s="887"/>
      <c r="N21" s="887"/>
      <c r="O21" s="887"/>
      <c r="P21" s="887"/>
      <c r="Q21" s="887"/>
      <c r="R21" s="887" t="b">
        <f>OR(AND(H21="NA",I21),I21=FALSE)</f>
        <v>0</v>
      </c>
      <c r="S21" s="887"/>
      <c r="T21" s="887"/>
      <c r="U21" s="887"/>
      <c r="V21" s="887"/>
    </row>
    <row r="22" spans="1:22" x14ac:dyDescent="0.25">
      <c r="A22" s="887" t="str">
        <f t="shared" si="4"/>
        <v>320FALSE</v>
      </c>
      <c r="B22" s="887" t="str">
        <f t="shared" si="5"/>
        <v>320gFALSE</v>
      </c>
      <c r="C22" s="887" t="s">
        <v>386</v>
      </c>
      <c r="D22" s="887" t="b">
        <f t="shared" si="0"/>
        <v>0</v>
      </c>
      <c r="E22" s="887">
        <v>320</v>
      </c>
      <c r="F22" s="887" t="s">
        <v>5925</v>
      </c>
      <c r="G22" s="887">
        <f t="shared" si="1"/>
        <v>0</v>
      </c>
      <c r="H22" s="887">
        <f>Index!$B$35</f>
        <v>0</v>
      </c>
      <c r="I22" s="887" t="b">
        <f>ISBLANK([0]!__FMD320)</f>
        <v>1</v>
      </c>
      <c r="J22" s="887"/>
      <c r="K22" s="887"/>
      <c r="L22" s="887"/>
      <c r="M22" s="887"/>
      <c r="N22" s="887"/>
      <c r="O22" s="887"/>
      <c r="P22" s="887"/>
      <c r="Q22" s="887"/>
      <c r="R22" s="887" t="b">
        <f>OR(AND(H22="NA",I22),I22=FALSE)</f>
        <v>0</v>
      </c>
      <c r="S22" s="887"/>
      <c r="T22" s="887"/>
      <c r="U22" s="887"/>
      <c r="V22" s="887"/>
    </row>
    <row r="23" spans="1:22" x14ac:dyDescent="0.25">
      <c r="A23" s="887" t="str">
        <f t="shared" si="4"/>
        <v>325FALSE</v>
      </c>
      <c r="B23" s="887" t="str">
        <f t="shared" si="5"/>
        <v>325aFALSE</v>
      </c>
      <c r="C23" s="887" t="s">
        <v>380</v>
      </c>
      <c r="D23" s="887" t="b">
        <f t="shared" si="0"/>
        <v>0</v>
      </c>
      <c r="E23" s="887">
        <v>325</v>
      </c>
      <c r="F23" s="887" t="s">
        <v>5916</v>
      </c>
      <c r="G23" s="887">
        <f t="shared" si="1"/>
        <v>0</v>
      </c>
      <c r="H23" s="887" t="b">
        <f>ISBLANK('325'!G7)</f>
        <v>1</v>
      </c>
      <c r="I23" s="887"/>
      <c r="J23" s="887"/>
      <c r="K23" s="887"/>
      <c r="L23" s="887"/>
      <c r="M23" s="887"/>
      <c r="N23" s="887"/>
      <c r="O23" s="887"/>
      <c r="P23" s="887"/>
      <c r="Q23" s="887"/>
      <c r="R23" s="887" t="b">
        <f>NOT(H23)</f>
        <v>0</v>
      </c>
      <c r="S23" s="887"/>
      <c r="T23" s="887"/>
      <c r="U23" s="887"/>
      <c r="V23" s="887"/>
    </row>
    <row r="24" spans="1:22" x14ac:dyDescent="0.25">
      <c r="A24" s="887" t="str">
        <f t="shared" si="4"/>
        <v>345FALSE</v>
      </c>
      <c r="B24" s="887" t="str">
        <f t="shared" si="5"/>
        <v>345aFALSE</v>
      </c>
      <c r="C24" s="887" t="s">
        <v>380</v>
      </c>
      <c r="D24" s="887" t="b">
        <f t="shared" si="0"/>
        <v>0</v>
      </c>
      <c r="E24" s="887">
        <v>345</v>
      </c>
      <c r="F24" s="887" t="s">
        <v>5926</v>
      </c>
      <c r="G24" s="887">
        <f t="shared" si="1"/>
        <v>0</v>
      </c>
      <c r="H24" s="887" t="b">
        <f>ISBLANK('345'!F30)</f>
        <v>1</v>
      </c>
      <c r="I24" s="887" t="b">
        <f>ISBLANK('345'!I30)</f>
        <v>1</v>
      </c>
      <c r="J24" s="887" t="b">
        <f>ISBLANK('345'!F39)</f>
        <v>1</v>
      </c>
      <c r="K24" s="887" t="b">
        <f>ISBLANK('345'!I39)</f>
        <v>1</v>
      </c>
      <c r="L24" s="887" t="b">
        <f>ISBLANK('345'!K52)</f>
        <v>1</v>
      </c>
      <c r="M24" s="887" t="b">
        <f>ISBLANK('345'!K53)</f>
        <v>1</v>
      </c>
      <c r="N24" s="887"/>
      <c r="O24" s="887"/>
      <c r="P24" s="887"/>
      <c r="Q24" s="887"/>
      <c r="R24" s="887" t="b">
        <f>NOT(OR(T24,U24,V24))</f>
        <v>0</v>
      </c>
      <c r="S24" s="887"/>
      <c r="T24" s="887" t="b">
        <f>AND(H24,I24)</f>
        <v>1</v>
      </c>
      <c r="U24" s="887" t="b">
        <f>AND(J24,K24)</f>
        <v>1</v>
      </c>
      <c r="V24" s="887" t="b">
        <f>AND(L24,M24)</f>
        <v>1</v>
      </c>
    </row>
    <row r="25" spans="1:22" x14ac:dyDescent="0.25">
      <c r="A25" s="887" t="str">
        <f t="shared" si="4"/>
        <v>355FALSE</v>
      </c>
      <c r="B25" s="887" t="str">
        <f t="shared" si="5"/>
        <v>355aFALSE</v>
      </c>
      <c r="C25" s="887" t="s">
        <v>380</v>
      </c>
      <c r="D25" s="887" t="b">
        <f t="shared" si="0"/>
        <v>0</v>
      </c>
      <c r="E25" s="887">
        <v>355</v>
      </c>
      <c r="F25" s="887" t="s">
        <v>5926</v>
      </c>
      <c r="G25" s="887">
        <f t="shared" si="1"/>
        <v>0</v>
      </c>
      <c r="H25" s="887" t="b">
        <f>ISBLANK('355'!C29)</f>
        <v>1</v>
      </c>
      <c r="I25" s="887" t="b">
        <f>ISBLANK('355'!E29)</f>
        <v>1</v>
      </c>
      <c r="J25" s="887" t="b">
        <f>ISBLANK('355'!J43)</f>
        <v>1</v>
      </c>
      <c r="K25" s="887" t="b">
        <f>ISBLANK('355'!L43)</f>
        <v>1</v>
      </c>
      <c r="L25" s="887"/>
      <c r="M25" s="887"/>
      <c r="N25" s="887"/>
      <c r="O25" s="887"/>
      <c r="P25" s="887"/>
      <c r="Q25" s="887"/>
      <c r="R25" s="887" t="b">
        <f>NOT(OR(T25,U25))</f>
        <v>0</v>
      </c>
      <c r="S25" s="887"/>
      <c r="T25" s="887" t="b">
        <f>AND(H25,I25)</f>
        <v>1</v>
      </c>
      <c r="U25" s="887" t="b">
        <f>AND(J25,K25)</f>
        <v>1</v>
      </c>
      <c r="V25" s="887"/>
    </row>
    <row r="26" spans="1:22" x14ac:dyDescent="0.25">
      <c r="A26" s="887" t="str">
        <f t="shared" ref="A26:A31" si="6">E26&amp;D26</f>
        <v>420TRUE</v>
      </c>
      <c r="B26" s="887" t="str">
        <f t="shared" ref="B26:B31" si="7">E26&amp;C26&amp;D26</f>
        <v>420bTRUE</v>
      </c>
      <c r="C26" s="887" t="s">
        <v>381</v>
      </c>
      <c r="D26" s="887" t="b">
        <f t="shared" si="0"/>
        <v>1</v>
      </c>
      <c r="E26" s="887">
        <v>420</v>
      </c>
      <c r="F26" s="887" t="s">
        <v>5927</v>
      </c>
      <c r="G26" s="887">
        <f t="shared" ref="G26:G50" si="8">INDEX(IdxTable,MATCH($E26,IdxSheetNum,0),2)</f>
        <v>0</v>
      </c>
      <c r="H26" s="887">
        <f>SUM('420'!E19:E21)</f>
        <v>0</v>
      </c>
      <c r="I26" s="887">
        <f>SUM('420'!F19:F21)</f>
        <v>0</v>
      </c>
      <c r="J26" s="887">
        <f>SUM('420'!G19:G21)</f>
        <v>0</v>
      </c>
      <c r="K26" s="887">
        <f>SUM('420'!H19:H21)</f>
        <v>0</v>
      </c>
      <c r="L26" s="887">
        <f>SUM('420'!I19:I21)</f>
        <v>0</v>
      </c>
      <c r="M26" s="887"/>
      <c r="N26" s="887"/>
      <c r="O26" s="887"/>
      <c r="P26" s="887"/>
      <c r="Q26" s="887"/>
      <c r="R26" s="887" t="b">
        <f>+T26=0</f>
        <v>1</v>
      </c>
      <c r="S26" s="887"/>
      <c r="T26" s="887">
        <f>+H26-I26</f>
        <v>0</v>
      </c>
      <c r="U26" s="887"/>
      <c r="V26" s="887"/>
    </row>
    <row r="27" spans="1:22" x14ac:dyDescent="0.25">
      <c r="A27" s="887" t="str">
        <f t="shared" si="6"/>
        <v>501TRUE</v>
      </c>
      <c r="B27" s="887" t="str">
        <f t="shared" si="7"/>
        <v>501aTRUE</v>
      </c>
      <c r="C27" s="887" t="s">
        <v>380</v>
      </c>
      <c r="D27" s="887" t="b">
        <f t="shared" si="0"/>
        <v>1</v>
      </c>
      <c r="E27" s="887">
        <v>501</v>
      </c>
      <c r="F27" s="887" t="s">
        <v>5928</v>
      </c>
      <c r="G27" s="887">
        <f t="shared" si="8"/>
        <v>0</v>
      </c>
      <c r="H27" s="887">
        <f>+'501'!R33</f>
        <v>0</v>
      </c>
      <c r="I27" s="887"/>
      <c r="J27" s="887"/>
      <c r="K27" s="887"/>
      <c r="L27" s="887"/>
      <c r="M27" s="887"/>
      <c r="N27" s="887"/>
      <c r="O27" s="887"/>
      <c r="P27" s="887"/>
      <c r="Q27" s="887"/>
      <c r="R27" s="887" t="b">
        <f>H27=0</f>
        <v>1</v>
      </c>
      <c r="S27" s="887"/>
      <c r="T27" s="887"/>
      <c r="U27" s="887"/>
      <c r="V27" s="887"/>
    </row>
    <row r="28" spans="1:22" x14ac:dyDescent="0.25">
      <c r="A28" s="887" t="str">
        <f t="shared" si="6"/>
        <v>501TRUE</v>
      </c>
      <c r="B28" s="887" t="str">
        <f t="shared" si="7"/>
        <v>501bTRUE</v>
      </c>
      <c r="C28" s="887" t="s">
        <v>381</v>
      </c>
      <c r="D28" s="887" t="b">
        <f t="shared" si="0"/>
        <v>1</v>
      </c>
      <c r="E28" s="887">
        <v>501</v>
      </c>
      <c r="F28" s="887" t="s">
        <v>5929</v>
      </c>
      <c r="G28" s="887">
        <f t="shared" si="8"/>
        <v>0</v>
      </c>
      <c r="H28" s="887">
        <f>+'501'!V32</f>
        <v>0</v>
      </c>
      <c r="I28" s="887"/>
      <c r="J28" s="887"/>
      <c r="K28" s="887"/>
      <c r="L28" s="887"/>
      <c r="M28" s="887"/>
      <c r="N28" s="887"/>
      <c r="O28" s="887"/>
      <c r="P28" s="887"/>
      <c r="Q28" s="887"/>
      <c r="R28" s="887" t="b">
        <f>+H28=0</f>
        <v>1</v>
      </c>
      <c r="S28" s="887"/>
      <c r="T28" s="887"/>
      <c r="U28" s="887"/>
      <c r="V28" s="887"/>
    </row>
    <row r="29" spans="1:22" x14ac:dyDescent="0.25">
      <c r="A29" s="887" t="str">
        <f t="shared" si="6"/>
        <v>505FALSE</v>
      </c>
      <c r="B29" s="887" t="str">
        <f t="shared" si="7"/>
        <v>505aFALSE</v>
      </c>
      <c r="C29" s="887" t="s">
        <v>380</v>
      </c>
      <c r="D29" s="887" t="b">
        <f t="shared" si="0"/>
        <v>0</v>
      </c>
      <c r="E29" s="887">
        <v>505</v>
      </c>
      <c r="F29" s="887" t="s">
        <v>5916</v>
      </c>
      <c r="G29" s="887">
        <f t="shared" si="8"/>
        <v>0</v>
      </c>
      <c r="H29" s="887" t="b">
        <f>ISBLANK('505'!D9)</f>
        <v>1</v>
      </c>
      <c r="I29" s="887"/>
      <c r="J29" s="887"/>
      <c r="K29" s="887"/>
      <c r="L29" s="887"/>
      <c r="M29" s="887"/>
      <c r="N29" s="887"/>
      <c r="O29" s="887"/>
      <c r="P29" s="887"/>
      <c r="Q29" s="887"/>
      <c r="R29" s="887" t="b">
        <f t="shared" ref="R29:R35" si="9">NOT(H29)</f>
        <v>0</v>
      </c>
      <c r="S29" s="887"/>
      <c r="T29" s="887"/>
      <c r="U29" s="887"/>
      <c r="V29" s="887"/>
    </row>
    <row r="30" spans="1:22" x14ac:dyDescent="0.25">
      <c r="A30" s="887" t="str">
        <f t="shared" si="6"/>
        <v>510FALSE</v>
      </c>
      <c r="B30" s="887" t="str">
        <f t="shared" si="7"/>
        <v>510aFALSE</v>
      </c>
      <c r="C30" s="887" t="s">
        <v>380</v>
      </c>
      <c r="D30" s="887" t="b">
        <f t="shared" si="0"/>
        <v>0</v>
      </c>
      <c r="E30" s="887">
        <v>510</v>
      </c>
      <c r="F30" s="887" t="s">
        <v>5916</v>
      </c>
      <c r="G30" s="887">
        <f t="shared" si="8"/>
        <v>0</v>
      </c>
      <c r="H30" s="887" t="b">
        <f>ISBLANK('510'!D9)</f>
        <v>1</v>
      </c>
      <c r="I30" s="887"/>
      <c r="J30" s="887"/>
      <c r="K30" s="887"/>
      <c r="L30" s="887"/>
      <c r="M30" s="887"/>
      <c r="N30" s="887"/>
      <c r="O30" s="887"/>
      <c r="P30" s="887"/>
      <c r="Q30" s="887"/>
      <c r="R30" s="887" t="b">
        <f t="shared" si="9"/>
        <v>0</v>
      </c>
      <c r="S30" s="887"/>
      <c r="T30" s="887"/>
      <c r="U30" s="887"/>
      <c r="V30" s="887"/>
    </row>
    <row r="31" spans="1:22" x14ac:dyDescent="0.25">
      <c r="A31" s="887" t="str">
        <f t="shared" si="6"/>
        <v>515FALSE</v>
      </c>
      <c r="B31" s="887" t="str">
        <f t="shared" si="7"/>
        <v>515aFALSE</v>
      </c>
      <c r="C31" s="887" t="s">
        <v>380</v>
      </c>
      <c r="D31" s="887" t="b">
        <f t="shared" si="0"/>
        <v>0</v>
      </c>
      <c r="E31" s="887">
        <v>515</v>
      </c>
      <c r="F31" s="887" t="s">
        <v>5916</v>
      </c>
      <c r="G31" s="887">
        <f t="shared" si="8"/>
        <v>0</v>
      </c>
      <c r="H31" s="887" t="b">
        <f>ISBLANK('515'!D9)</f>
        <v>1</v>
      </c>
      <c r="I31" s="887"/>
      <c r="J31" s="887"/>
      <c r="K31" s="887"/>
      <c r="L31" s="887"/>
      <c r="M31" s="887"/>
      <c r="N31" s="887"/>
      <c r="O31" s="887"/>
      <c r="P31" s="887"/>
      <c r="Q31" s="887"/>
      <c r="R31" s="887" t="b">
        <f t="shared" si="9"/>
        <v>0</v>
      </c>
      <c r="S31" s="887"/>
      <c r="T31" s="887"/>
      <c r="U31" s="887"/>
      <c r="V31" s="887"/>
    </row>
    <row r="32" spans="1:22" x14ac:dyDescent="0.25">
      <c r="A32" s="887" t="str">
        <f>E32&amp;D32</f>
        <v>520FALSE</v>
      </c>
      <c r="B32" s="887" t="str">
        <f>E32&amp;C32&amp;D32</f>
        <v>520aFALSE</v>
      </c>
      <c r="C32" s="887" t="s">
        <v>380</v>
      </c>
      <c r="D32" s="887" t="b">
        <f t="shared" si="0"/>
        <v>0</v>
      </c>
      <c r="E32" s="887">
        <v>520</v>
      </c>
      <c r="F32" s="887" t="s">
        <v>5916</v>
      </c>
      <c r="G32" s="887">
        <f t="shared" si="8"/>
        <v>0</v>
      </c>
      <c r="H32" s="887" t="b">
        <f>ISBLANK('520'!D9)</f>
        <v>1</v>
      </c>
      <c r="I32" s="887"/>
      <c r="J32" s="887"/>
      <c r="K32" s="887"/>
      <c r="L32" s="887"/>
      <c r="M32" s="887"/>
      <c r="N32" s="887"/>
      <c r="O32" s="887"/>
      <c r="P32" s="887"/>
      <c r="Q32" s="887"/>
      <c r="R32" s="887" t="b">
        <f t="shared" si="9"/>
        <v>0</v>
      </c>
      <c r="S32" s="887"/>
      <c r="T32" s="887"/>
      <c r="U32" s="887"/>
      <c r="V32" s="887"/>
    </row>
    <row r="33" spans="1:22" x14ac:dyDescent="0.25">
      <c r="A33" s="887" t="str">
        <f>E33&amp;D33</f>
        <v>525FALSE</v>
      </c>
      <c r="B33" s="887" t="str">
        <f>E33&amp;C33&amp;D33</f>
        <v>525aFALSE</v>
      </c>
      <c r="C33" s="887" t="s">
        <v>380</v>
      </c>
      <c r="D33" s="887" t="b">
        <f t="shared" si="0"/>
        <v>0</v>
      </c>
      <c r="E33" s="887">
        <v>525</v>
      </c>
      <c r="F33" s="887" t="s">
        <v>5916</v>
      </c>
      <c r="G33" s="887">
        <f t="shared" si="8"/>
        <v>0</v>
      </c>
      <c r="H33" s="887" t="b">
        <f>ISBLANK('525'!D9)</f>
        <v>1</v>
      </c>
      <c r="I33" s="887"/>
      <c r="J33" s="887"/>
      <c r="K33" s="887"/>
      <c r="L33" s="887"/>
      <c r="M33" s="887"/>
      <c r="N33" s="887"/>
      <c r="O33" s="887"/>
      <c r="P33" s="887"/>
      <c r="Q33" s="887"/>
      <c r="R33" s="887" t="b">
        <f t="shared" si="9"/>
        <v>0</v>
      </c>
      <c r="S33" s="887"/>
      <c r="T33" s="887"/>
      <c r="U33" s="887"/>
      <c r="V33" s="887"/>
    </row>
    <row r="34" spans="1:22" x14ac:dyDescent="0.25">
      <c r="A34" s="887" t="str">
        <f>E34&amp;D34</f>
        <v>530FALSE</v>
      </c>
      <c r="B34" s="887" t="str">
        <f>E34&amp;C34&amp;D34</f>
        <v>530aFALSE</v>
      </c>
      <c r="C34" s="887" t="s">
        <v>380</v>
      </c>
      <c r="D34" s="887" t="b">
        <f t="shared" si="0"/>
        <v>0</v>
      </c>
      <c r="E34" s="887">
        <v>530</v>
      </c>
      <c r="F34" s="887" t="s">
        <v>5916</v>
      </c>
      <c r="G34" s="887">
        <f t="shared" si="8"/>
        <v>0</v>
      </c>
      <c r="H34" s="887" t="b">
        <f>ISBLANK('530'!D9)</f>
        <v>1</v>
      </c>
      <c r="I34" s="887"/>
      <c r="J34" s="887"/>
      <c r="K34" s="887"/>
      <c r="L34" s="887"/>
      <c r="M34" s="887"/>
      <c r="N34" s="887"/>
      <c r="O34" s="887"/>
      <c r="P34" s="887"/>
      <c r="Q34" s="887"/>
      <c r="R34" s="887" t="b">
        <f t="shared" si="9"/>
        <v>0</v>
      </c>
      <c r="S34" s="887"/>
      <c r="T34" s="887"/>
      <c r="U34" s="887"/>
      <c r="V34" s="887"/>
    </row>
    <row r="35" spans="1:22" x14ac:dyDescent="0.25">
      <c r="A35" s="887" t="str">
        <f>E35&amp;D35</f>
        <v>535FALSE</v>
      </c>
      <c r="B35" s="887" t="str">
        <f>E35&amp;C35&amp;D35</f>
        <v>535aFALSE</v>
      </c>
      <c r="C35" s="887" t="s">
        <v>380</v>
      </c>
      <c r="D35" s="887" t="b">
        <f t="shared" si="0"/>
        <v>0</v>
      </c>
      <c r="E35" s="887">
        <v>535</v>
      </c>
      <c r="F35" s="887" t="s">
        <v>5916</v>
      </c>
      <c r="G35" s="887">
        <f t="shared" si="8"/>
        <v>0</v>
      </c>
      <c r="H35" s="887" t="b">
        <f>ISBLANK('535'!D7)</f>
        <v>1</v>
      </c>
      <c r="I35" s="887"/>
      <c r="J35" s="887"/>
      <c r="K35" s="887"/>
      <c r="L35" s="887"/>
      <c r="M35" s="887"/>
      <c r="N35" s="887"/>
      <c r="O35" s="887"/>
      <c r="P35" s="887"/>
      <c r="Q35" s="887"/>
      <c r="R35" s="887" t="b">
        <f t="shared" si="9"/>
        <v>0</v>
      </c>
      <c r="S35" s="887"/>
      <c r="T35" s="887"/>
      <c r="U35" s="887"/>
      <c r="V35" s="887"/>
    </row>
    <row r="36" spans="1:22" x14ac:dyDescent="0.25">
      <c r="A36" s="887" t="str">
        <f>E36&amp;D36</f>
        <v>535TRUE</v>
      </c>
      <c r="B36" s="887" t="str">
        <f>E36&amp;C36&amp;D36</f>
        <v>535bTRUE</v>
      </c>
      <c r="C36" s="887" t="s">
        <v>381</v>
      </c>
      <c r="D36" s="887" t="b">
        <f t="shared" si="0"/>
        <v>1</v>
      </c>
      <c r="E36" s="887">
        <v>535</v>
      </c>
      <c r="F36" s="887" t="s">
        <v>5929</v>
      </c>
      <c r="G36" s="887">
        <f t="shared" si="8"/>
        <v>0</v>
      </c>
      <c r="H36" s="887">
        <f>+'535'!R21+'535'!R34</f>
        <v>0</v>
      </c>
      <c r="I36" s="887"/>
      <c r="J36" s="887"/>
      <c r="K36" s="887"/>
      <c r="L36" s="887"/>
      <c r="M36" s="887"/>
      <c r="N36" s="887"/>
      <c r="O36" s="887"/>
      <c r="P36" s="887"/>
      <c r="Q36" s="887"/>
      <c r="R36" s="887" t="b">
        <f>+H36=0</f>
        <v>1</v>
      </c>
      <c r="S36" s="887"/>
      <c r="T36" s="887"/>
      <c r="U36" s="887"/>
      <c r="V36" s="887"/>
    </row>
    <row r="37" spans="1:22" x14ac:dyDescent="0.25">
      <c r="A37" s="887" t="str">
        <f t="shared" ref="A37:A50" si="10">E37&amp;D37</f>
        <v>565TRUE</v>
      </c>
      <c r="B37" s="887" t="str">
        <f t="shared" ref="B37:B50" si="11">E37&amp;C37&amp;D37</f>
        <v>565aTRUE</v>
      </c>
      <c r="C37" s="887" t="s">
        <v>380</v>
      </c>
      <c r="D37" s="887" t="b">
        <f t="shared" si="0"/>
        <v>1</v>
      </c>
      <c r="E37" s="887">
        <v>565</v>
      </c>
      <c r="F37" s="887" t="s">
        <v>5930</v>
      </c>
      <c r="G37" s="887">
        <f t="shared" si="8"/>
        <v>0</v>
      </c>
      <c r="H37" s="887">
        <f>+'565'!W29</f>
        <v>0</v>
      </c>
      <c r="I37" s="887"/>
      <c r="J37" s="887"/>
      <c r="K37" s="887"/>
      <c r="L37" s="887"/>
      <c r="M37" s="887"/>
      <c r="N37" s="887"/>
      <c r="O37" s="887"/>
      <c r="P37" s="887"/>
      <c r="Q37" s="887"/>
      <c r="R37" s="887" t="b">
        <f>AND(H37=0,I37=0)</f>
        <v>1</v>
      </c>
      <c r="S37" s="887"/>
      <c r="T37" s="887"/>
      <c r="U37" s="887"/>
      <c r="V37" s="887"/>
    </row>
    <row r="38" spans="1:22" x14ac:dyDescent="0.25">
      <c r="A38" s="887" t="str">
        <f t="shared" si="10"/>
        <v>565TRUE</v>
      </c>
      <c r="B38" s="887" t="str">
        <f t="shared" si="11"/>
        <v>565bTRUE</v>
      </c>
      <c r="C38" s="887" t="s">
        <v>381</v>
      </c>
      <c r="D38" s="887" t="b">
        <f t="shared" si="0"/>
        <v>1</v>
      </c>
      <c r="E38" s="887">
        <v>565</v>
      </c>
      <c r="F38" s="887" t="s">
        <v>5929</v>
      </c>
      <c r="G38" s="887">
        <f t="shared" si="8"/>
        <v>0</v>
      </c>
      <c r="H38" s="887">
        <f>+'565'!P29</f>
        <v>0</v>
      </c>
      <c r="I38" s="887"/>
      <c r="J38" s="887"/>
      <c r="K38" s="887"/>
      <c r="L38" s="887"/>
      <c r="M38" s="887"/>
      <c r="N38" s="887"/>
      <c r="O38" s="887"/>
      <c r="P38" s="887"/>
      <c r="Q38" s="887"/>
      <c r="R38" s="887" t="b">
        <f>AND(H38=0,I38=0)</f>
        <v>1</v>
      </c>
      <c r="S38" s="887"/>
      <c r="T38" s="887"/>
      <c r="U38" s="887"/>
      <c r="V38" s="887"/>
    </row>
    <row r="39" spans="1:22" x14ac:dyDescent="0.25">
      <c r="A39" s="887" t="str">
        <f t="shared" si="10"/>
        <v>570FALSE</v>
      </c>
      <c r="B39" s="887" t="str">
        <f t="shared" si="11"/>
        <v>570aFALSE</v>
      </c>
      <c r="C39" s="887" t="s">
        <v>380</v>
      </c>
      <c r="D39" s="887" t="b">
        <f t="shared" si="0"/>
        <v>0</v>
      </c>
      <c r="E39" s="887">
        <v>570</v>
      </c>
      <c r="F39" s="887" t="s">
        <v>5916</v>
      </c>
      <c r="G39" s="887">
        <f t="shared" si="8"/>
        <v>0</v>
      </c>
      <c r="H39" s="887" t="b">
        <f>ISBLANK('570'!D7)</f>
        <v>1</v>
      </c>
      <c r="I39" s="887"/>
      <c r="J39" s="887"/>
      <c r="K39" s="887"/>
      <c r="L39" s="887"/>
      <c r="M39" s="887"/>
      <c r="N39" s="887"/>
      <c r="O39" s="887"/>
      <c r="P39" s="887"/>
      <c r="Q39" s="887"/>
      <c r="R39" s="887" t="b">
        <f>NOT(H39)</f>
        <v>0</v>
      </c>
      <c r="S39" s="887"/>
      <c r="T39" s="887"/>
      <c r="U39" s="887"/>
      <c r="V39" s="887"/>
    </row>
    <row r="40" spans="1:22" x14ac:dyDescent="0.25">
      <c r="A40" s="887" t="e">
        <f t="shared" si="10"/>
        <v>#N/A</v>
      </c>
      <c r="B40" s="887" t="e">
        <f t="shared" si="11"/>
        <v>#N/A</v>
      </c>
      <c r="C40" s="887" t="s">
        <v>380</v>
      </c>
      <c r="D40" s="887" t="e">
        <f t="shared" si="0"/>
        <v>#N/A</v>
      </c>
      <c r="E40" s="887">
        <v>601</v>
      </c>
      <c r="F40" s="887" t="s">
        <v>5916</v>
      </c>
      <c r="G40" s="887" t="e">
        <f t="shared" si="8"/>
        <v>#N/A</v>
      </c>
      <c r="H40" s="887" t="b">
        <f>ISBLANK(#REF!)</f>
        <v>0</v>
      </c>
      <c r="I40" s="887"/>
      <c r="J40" s="887"/>
      <c r="K40" s="887"/>
      <c r="L40" s="887"/>
      <c r="M40" s="887"/>
      <c r="N40" s="887"/>
      <c r="O40" s="887"/>
      <c r="P40" s="887"/>
      <c r="Q40" s="887"/>
      <c r="R40" s="887" t="b">
        <f>NOT(H40)</f>
        <v>1</v>
      </c>
      <c r="S40" s="887"/>
      <c r="T40" s="887"/>
      <c r="U40" s="887"/>
      <c r="V40" s="887"/>
    </row>
    <row r="41" spans="1:22" x14ac:dyDescent="0.25">
      <c r="A41" s="887" t="e">
        <f t="shared" si="10"/>
        <v>#N/A</v>
      </c>
      <c r="B41" s="887" t="e">
        <f t="shared" si="11"/>
        <v>#N/A</v>
      </c>
      <c r="C41" s="887" t="s">
        <v>381</v>
      </c>
      <c r="D41" s="887" t="e">
        <f t="shared" si="0"/>
        <v>#N/A</v>
      </c>
      <c r="E41" s="887">
        <v>601</v>
      </c>
      <c r="F41" s="887" t="s">
        <v>5931</v>
      </c>
      <c r="G41" s="887" t="e">
        <f t="shared" si="8"/>
        <v>#N/A</v>
      </c>
      <c r="H41" s="887" t="b">
        <f>ISBLANK(#REF!)</f>
        <v>0</v>
      </c>
      <c r="I41" s="887"/>
      <c r="J41" s="887"/>
      <c r="K41" s="887"/>
      <c r="L41" s="887"/>
      <c r="M41" s="887"/>
      <c r="N41" s="887"/>
      <c r="O41" s="887"/>
      <c r="P41" s="887"/>
      <c r="Q41" s="887"/>
      <c r="R41" s="887" t="b">
        <f>NOT(H41)</f>
        <v>1</v>
      </c>
      <c r="S41" s="887"/>
      <c r="T41" s="887"/>
      <c r="U41" s="887"/>
      <c r="V41" s="887"/>
    </row>
    <row r="42" spans="1:22" x14ac:dyDescent="0.25">
      <c r="A42" s="887" t="e">
        <f t="shared" si="10"/>
        <v>#N/A</v>
      </c>
      <c r="B42" s="887" t="e">
        <f t="shared" si="11"/>
        <v>#N/A</v>
      </c>
      <c r="C42" s="887" t="s">
        <v>382</v>
      </c>
      <c r="D42" s="887" t="e">
        <f t="shared" si="0"/>
        <v>#N/A</v>
      </c>
      <c r="E42" s="887">
        <v>601</v>
      </c>
      <c r="F42" s="887" t="s">
        <v>5932</v>
      </c>
      <c r="G42" s="887" t="e">
        <f t="shared" si="8"/>
        <v>#N/A</v>
      </c>
      <c r="H42" s="887" t="b">
        <f>ISBLANK(#REF!)</f>
        <v>0</v>
      </c>
      <c r="I42" s="887" t="b">
        <f>ISBLANK(#REF!)</f>
        <v>0</v>
      </c>
      <c r="J42" s="887" t="b">
        <f>ISBLANK(#REF!)</f>
        <v>0</v>
      </c>
      <c r="K42" s="887" t="b">
        <f>ISBLANK(#REF!)</f>
        <v>0</v>
      </c>
      <c r="L42" s="887" t="b">
        <f>ISBLANK(#REF!)</f>
        <v>0</v>
      </c>
      <c r="M42" s="887"/>
      <c r="N42" s="887"/>
      <c r="O42" s="887"/>
      <c r="P42" s="887"/>
      <c r="Q42" s="887"/>
      <c r="R42" s="887" t="b">
        <f>NOT(OR(H42,I42,J42,K42,L42))</f>
        <v>1</v>
      </c>
      <c r="S42" s="887"/>
      <c r="T42" s="887"/>
      <c r="U42" s="887"/>
      <c r="V42" s="887"/>
    </row>
    <row r="43" spans="1:22" x14ac:dyDescent="0.25">
      <c r="A43" s="887" t="str">
        <f t="shared" si="10"/>
        <v>605FALSE</v>
      </c>
      <c r="B43" s="887" t="str">
        <f t="shared" si="11"/>
        <v>605aFALSE</v>
      </c>
      <c r="C43" s="887" t="s">
        <v>380</v>
      </c>
      <c r="D43" s="887" t="b">
        <f t="shared" si="0"/>
        <v>0</v>
      </c>
      <c r="E43" s="887">
        <v>605</v>
      </c>
      <c r="F43" s="887" t="s">
        <v>5932</v>
      </c>
      <c r="G43" s="887">
        <f t="shared" si="8"/>
        <v>0</v>
      </c>
      <c r="H43" s="887" t="b">
        <f>ISBLANK('605'!E18)</f>
        <v>1</v>
      </c>
      <c r="I43" s="887"/>
      <c r="J43" s="887"/>
      <c r="K43" s="887"/>
      <c r="L43" s="887"/>
      <c r="M43" s="887"/>
      <c r="N43" s="887"/>
      <c r="O43" s="887"/>
      <c r="P43" s="887"/>
      <c r="Q43" s="887"/>
      <c r="R43" s="887" t="b">
        <f>NOT(H43)</f>
        <v>0</v>
      </c>
      <c r="S43" s="887"/>
      <c r="T43" s="887"/>
      <c r="U43" s="887"/>
      <c r="V43" s="887"/>
    </row>
    <row r="44" spans="1:22" x14ac:dyDescent="0.25">
      <c r="A44" s="887" t="str">
        <f t="shared" si="10"/>
        <v>625FALSE</v>
      </c>
      <c r="B44" s="887" t="str">
        <f t="shared" si="11"/>
        <v>625bFALSE</v>
      </c>
      <c r="C44" s="887" t="s">
        <v>381</v>
      </c>
      <c r="D44" s="887" t="b">
        <f t="shared" si="0"/>
        <v>0</v>
      </c>
      <c r="E44" s="887">
        <v>625</v>
      </c>
      <c r="F44" s="887" t="s">
        <v>5916</v>
      </c>
      <c r="G44" s="887">
        <f t="shared" si="8"/>
        <v>0</v>
      </c>
      <c r="H44" s="887" t="b">
        <f>ISBLANK('625'!C6)</f>
        <v>1</v>
      </c>
      <c r="I44" s="887"/>
      <c r="J44" s="887"/>
      <c r="K44" s="887"/>
      <c r="L44" s="887"/>
      <c r="M44" s="887"/>
      <c r="N44" s="887"/>
      <c r="O44" s="887"/>
      <c r="P44" s="887"/>
      <c r="Q44" s="887"/>
      <c r="R44" s="887" t="b">
        <f>NOT(H44)</f>
        <v>0</v>
      </c>
      <c r="S44" s="887"/>
      <c r="T44" s="887"/>
      <c r="U44" s="887"/>
      <c r="V44" s="887"/>
    </row>
    <row r="45" spans="1:22" x14ac:dyDescent="0.25">
      <c r="A45" s="887" t="str">
        <f t="shared" si="10"/>
        <v>625FALSE</v>
      </c>
      <c r="B45" s="887" t="str">
        <f t="shared" si="11"/>
        <v>625bFALSE</v>
      </c>
      <c r="C45" s="887" t="s">
        <v>381</v>
      </c>
      <c r="D45" s="887" t="b">
        <f t="shared" si="0"/>
        <v>0</v>
      </c>
      <c r="E45" s="887">
        <v>625</v>
      </c>
      <c r="F45" s="887" t="s">
        <v>5933</v>
      </c>
      <c r="G45" s="887">
        <f t="shared" si="8"/>
        <v>0</v>
      </c>
      <c r="H45" s="887" t="b">
        <f>ISBLANK('625'!C7)</f>
        <v>1</v>
      </c>
      <c r="I45" s="887"/>
      <c r="J45" s="887"/>
      <c r="K45" s="887"/>
      <c r="L45" s="887"/>
      <c r="M45" s="887"/>
      <c r="N45" s="887"/>
      <c r="O45" s="887"/>
      <c r="P45" s="887"/>
      <c r="Q45" s="887"/>
      <c r="R45" s="887" t="b">
        <f>NOT(H45)</f>
        <v>0</v>
      </c>
      <c r="S45" s="887"/>
      <c r="T45" s="887"/>
      <c r="U45" s="887"/>
      <c r="V45" s="887"/>
    </row>
    <row r="46" spans="1:22" x14ac:dyDescent="0.25">
      <c r="A46" s="887" t="str">
        <f t="shared" si="10"/>
        <v>635FALSE</v>
      </c>
      <c r="B46" s="887" t="str">
        <f t="shared" si="11"/>
        <v>635aFALSE</v>
      </c>
      <c r="C46" s="887" t="s">
        <v>380</v>
      </c>
      <c r="D46" s="887" t="b">
        <f t="shared" si="0"/>
        <v>0</v>
      </c>
      <c r="E46" s="887">
        <v>635</v>
      </c>
      <c r="F46" s="887" t="s">
        <v>5916</v>
      </c>
      <c r="G46" s="887">
        <f t="shared" si="8"/>
        <v>0</v>
      </c>
      <c r="H46" s="887" t="b">
        <f>ISBLANK('635'!G7)</f>
        <v>1</v>
      </c>
      <c r="I46" s="887"/>
      <c r="J46" s="887"/>
      <c r="K46" s="887"/>
      <c r="L46" s="887"/>
      <c r="M46" s="887"/>
      <c r="N46" s="887"/>
      <c r="O46" s="887"/>
      <c r="P46" s="887"/>
      <c r="Q46" s="887"/>
      <c r="R46" s="887" t="b">
        <f>NOT(H46)</f>
        <v>0</v>
      </c>
      <c r="S46" s="887"/>
      <c r="T46" s="887"/>
      <c r="U46" s="887"/>
      <c r="V46" s="887"/>
    </row>
    <row r="47" spans="1:22" x14ac:dyDescent="0.25">
      <c r="A47" s="887" t="str">
        <f t="shared" si="10"/>
        <v>705TRUE</v>
      </c>
      <c r="B47" s="887" t="str">
        <f t="shared" si="11"/>
        <v>705aTRUE</v>
      </c>
      <c r="C47" s="887" t="s">
        <v>380</v>
      </c>
      <c r="D47" s="887" t="b">
        <f t="shared" si="0"/>
        <v>1</v>
      </c>
      <c r="E47" s="887">
        <v>705</v>
      </c>
      <c r="F47" s="887" t="s">
        <v>5934</v>
      </c>
      <c r="G47" s="887">
        <f t="shared" si="8"/>
        <v>0</v>
      </c>
      <c r="H47" s="887">
        <f>+'705'!S45</f>
        <v>0</v>
      </c>
      <c r="I47" s="887"/>
      <c r="J47" s="887"/>
      <c r="K47" s="887"/>
      <c r="L47" s="887"/>
      <c r="M47" s="887"/>
      <c r="N47" s="887"/>
      <c r="O47" s="887"/>
      <c r="P47" s="887"/>
      <c r="Q47" s="887"/>
      <c r="R47" s="887" t="b">
        <f>+H47=0</f>
        <v>1</v>
      </c>
      <c r="S47" s="887"/>
      <c r="T47" s="887"/>
      <c r="U47" s="887"/>
      <c r="V47" s="887"/>
    </row>
    <row r="48" spans="1:22" x14ac:dyDescent="0.25">
      <c r="A48" s="887" t="str">
        <f t="shared" si="10"/>
        <v>710TRUE</v>
      </c>
      <c r="B48" s="887" t="str">
        <f t="shared" si="11"/>
        <v>710aTRUE</v>
      </c>
      <c r="C48" s="887" t="s">
        <v>380</v>
      </c>
      <c r="D48" s="887" t="b">
        <f t="shared" si="0"/>
        <v>1</v>
      </c>
      <c r="E48" s="887">
        <v>710</v>
      </c>
      <c r="F48" s="887" t="s">
        <v>5935</v>
      </c>
      <c r="G48" s="887">
        <f t="shared" si="8"/>
        <v>0</v>
      </c>
      <c r="H48" s="887">
        <f>+'710'!T38</f>
        <v>0</v>
      </c>
      <c r="I48" s="887"/>
      <c r="J48" s="887"/>
      <c r="K48" s="887"/>
      <c r="L48" s="887"/>
      <c r="M48" s="887"/>
      <c r="N48" s="887"/>
      <c r="O48" s="887"/>
      <c r="P48" s="887"/>
      <c r="Q48" s="887"/>
      <c r="R48" s="887" t="b">
        <f>+H48=0</f>
        <v>1</v>
      </c>
      <c r="S48" s="887"/>
      <c r="T48" s="887"/>
      <c r="U48" s="887"/>
      <c r="V48" s="887"/>
    </row>
    <row r="49" spans="1:22" x14ac:dyDescent="0.25">
      <c r="A49" s="887" t="str">
        <f t="shared" si="10"/>
        <v>710TRUE</v>
      </c>
      <c r="B49" s="887" t="str">
        <f t="shared" si="11"/>
        <v>710bTRUE</v>
      </c>
      <c r="C49" s="887" t="s">
        <v>381</v>
      </c>
      <c r="D49" s="887" t="b">
        <f t="shared" si="0"/>
        <v>1</v>
      </c>
      <c r="E49" s="887">
        <v>710</v>
      </c>
      <c r="F49" s="887" t="s">
        <v>5936</v>
      </c>
      <c r="G49" s="887">
        <f t="shared" si="8"/>
        <v>0</v>
      </c>
      <c r="H49" s="887" t="b">
        <f>+'710'!K70='710'!M70</f>
        <v>1</v>
      </c>
      <c r="I49" s="887"/>
      <c r="J49" s="887"/>
      <c r="K49" s="887"/>
      <c r="L49" s="887"/>
      <c r="M49" s="887"/>
      <c r="N49" s="887"/>
      <c r="O49" s="887"/>
      <c r="P49" s="887"/>
      <c r="Q49" s="887"/>
      <c r="R49" s="887" t="b">
        <f>+H49</f>
        <v>1</v>
      </c>
      <c r="S49" s="887"/>
      <c r="T49" s="887"/>
      <c r="U49" s="887"/>
      <c r="V49" s="887"/>
    </row>
    <row r="50" spans="1:22" x14ac:dyDescent="0.25">
      <c r="A50" s="887" t="str">
        <f t="shared" si="10"/>
        <v>715TRUE</v>
      </c>
      <c r="B50" s="887" t="str">
        <f t="shared" si="11"/>
        <v>715aTRUE</v>
      </c>
      <c r="C50" s="887" t="s">
        <v>380</v>
      </c>
      <c r="D50" s="887" t="b">
        <f t="shared" si="0"/>
        <v>1</v>
      </c>
      <c r="E50" s="887">
        <v>715</v>
      </c>
      <c r="F50" s="887" t="s">
        <v>5934</v>
      </c>
      <c r="G50" s="887">
        <f t="shared" si="8"/>
        <v>0</v>
      </c>
      <c r="H50" s="887">
        <f>+'715'!S37</f>
        <v>0</v>
      </c>
      <c r="I50" s="887"/>
      <c r="J50" s="887"/>
      <c r="K50" s="887"/>
      <c r="L50" s="887"/>
      <c r="M50" s="887"/>
      <c r="N50" s="887"/>
      <c r="O50" s="887"/>
      <c r="P50" s="887"/>
      <c r="Q50" s="887"/>
      <c r="R50" s="887" t="b">
        <f>+H50=0</f>
        <v>1</v>
      </c>
      <c r="S50" s="887"/>
      <c r="T50" s="887"/>
      <c r="U50" s="887"/>
      <c r="V50" s="887"/>
    </row>
  </sheetData>
  <sheetProtection algorithmName="SHA-512" hashValue="7ZmnMDl27eFc6rwrchTAyVGnqD3+QrxItvMNQKXMHOSwkm4ej3Cx3dyV5sJZIBkVstmJklMk6uQ/SQz97BqP7g==" saltValue="OG7r2ykc2JQFX+lDByAfWg==" spinCount="100000" sheet="1" objects="1" scenarios="1" autoFilter="0"/>
  <customSheetViews>
    <customSheetView guid="{9FCFC836-1CA5-48BF-958D-24D2EA94B219}" state="hidden">
      <pane ySplit="1" topLeftCell="A2" activePane="bottomLeft" state="frozen"/>
      <selection pane="bottomLeft" activeCell="B16" sqref="B16"/>
      <pageMargins left="0" right="0" top="0" bottom="0" header="0" footer="0"/>
      <pageSetup orientation="portrait" r:id="rId1"/>
      <headerFooter alignWithMargins="0"/>
    </customSheetView>
    <customSheetView guid="{B08879A4-635B-4C39-9937-AC7883D562FC}" state="hidden">
      <pane ySplit="1" topLeftCell="A2" activePane="bottomLeft" state="frozen"/>
      <selection pane="bottomLeft" activeCell="B16" sqref="B16"/>
      <pageMargins left="0" right="0" top="0" bottom="0" header="0" footer="0"/>
      <pageSetup orientation="portrait" r:id="rId2"/>
      <headerFooter alignWithMargins="0"/>
    </customSheetView>
  </customSheetViews>
  <phoneticPr fontId="16" type="noConversion"/>
  <pageMargins left="0.75" right="0.75" top="1" bottom="1" header="0.5" footer="0.5"/>
  <pageSetup orientation="portrait" r:id="rId3"/>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79"/>
  <dimension ref="A1:AP88"/>
  <sheetViews>
    <sheetView workbookViewId="0">
      <selection activeCell="R35" sqref="R35"/>
    </sheetView>
  </sheetViews>
  <sheetFormatPr defaultColWidth="9.42578125" defaultRowHeight="15.75" x14ac:dyDescent="0.25"/>
  <cols>
    <col min="1" max="1" width="6.5703125" style="231" bestFit="1" customWidth="1"/>
    <col min="2" max="2" width="7.5703125" style="231" bestFit="1" customWidth="1"/>
    <col min="3" max="3" width="4.5703125" style="231" customWidth="1"/>
    <col min="4" max="4" width="7.5703125" style="231" bestFit="1" customWidth="1"/>
    <col min="5" max="5" width="6.5703125" style="231" bestFit="1" customWidth="1"/>
    <col min="6" max="7" width="9.42578125" style="231"/>
    <col min="8" max="8" width="36.5703125" style="231" bestFit="1" customWidth="1"/>
    <col min="9" max="9" width="9.42578125" style="231"/>
    <col min="10" max="10" width="30.42578125" style="231" bestFit="1" customWidth="1"/>
    <col min="11" max="11" width="24.42578125" style="231" customWidth="1"/>
    <col min="12" max="17" width="9.42578125" style="231"/>
    <col min="18" max="18" width="51.42578125" style="231" customWidth="1"/>
    <col min="19" max="16384" width="9.42578125" style="231"/>
  </cols>
  <sheetData>
    <row r="1" spans="1:42" x14ac:dyDescent="0.25">
      <c r="A1" s="1990" t="s">
        <v>4954</v>
      </c>
      <c r="B1" s="3031" t="s">
        <v>5937</v>
      </c>
      <c r="C1" s="3032"/>
      <c r="D1" s="3031" t="s">
        <v>4702</v>
      </c>
      <c r="E1" s="3032"/>
      <c r="F1" s="474"/>
      <c r="G1" s="474"/>
      <c r="H1" s="474" t="s">
        <v>1614</v>
      </c>
      <c r="I1" s="474"/>
      <c r="J1" s="474" t="s">
        <v>1415</v>
      </c>
      <c r="K1" s="474" t="s">
        <v>1220</v>
      </c>
      <c r="L1" s="474"/>
      <c r="M1" s="474" t="s">
        <v>2508</v>
      </c>
      <c r="N1" s="474"/>
      <c r="O1" s="474"/>
      <c r="P1" s="474"/>
      <c r="Q1" s="181"/>
      <c r="R1" s="610" t="s">
        <v>5938</v>
      </c>
      <c r="S1" s="610" t="s">
        <v>5939</v>
      </c>
      <c r="T1" s="474"/>
      <c r="U1" s="474"/>
      <c r="V1" s="474"/>
      <c r="W1" s="474"/>
      <c r="X1" s="1" t="s">
        <v>5940</v>
      </c>
      <c r="Y1" s="474"/>
      <c r="Z1" s="474"/>
      <c r="AA1" s="474"/>
      <c r="AB1" s="159"/>
      <c r="AC1" s="1" t="s">
        <v>5941</v>
      </c>
      <c r="AD1" s="474"/>
      <c r="AE1" s="474"/>
      <c r="AF1" s="474"/>
      <c r="AG1" s="474"/>
      <c r="AH1" s="474"/>
      <c r="AI1" s="474"/>
      <c r="AJ1" s="610" t="s">
        <v>5942</v>
      </c>
      <c r="AK1" s="474"/>
      <c r="AL1" s="474"/>
      <c r="AM1" s="610"/>
      <c r="AN1" s="610" t="s">
        <v>5943</v>
      </c>
      <c r="AO1" s="474"/>
      <c r="AP1" s="474"/>
    </row>
    <row r="2" spans="1:42" x14ac:dyDescent="0.25">
      <c r="A2" s="1991">
        <v>201</v>
      </c>
      <c r="B2" s="474"/>
      <c r="C2" s="474"/>
      <c r="D2" s="474" t="s">
        <v>5944</v>
      </c>
      <c r="E2" s="474"/>
      <c r="F2" s="474"/>
      <c r="G2" s="474"/>
      <c r="H2" s="474" t="s">
        <v>394</v>
      </c>
      <c r="I2" s="474"/>
      <c r="J2" s="2266" t="s">
        <v>1349</v>
      </c>
      <c r="K2" s="2266" t="s">
        <v>1046</v>
      </c>
      <c r="L2" s="2266"/>
      <c r="M2" t="s">
        <v>5945</v>
      </c>
      <c r="N2" s="2266"/>
      <c r="O2" s="474"/>
      <c r="P2" s="474"/>
      <c r="Q2" s="181"/>
      <c r="R2" s="474"/>
      <c r="S2" s="474"/>
      <c r="T2" s="474"/>
      <c r="U2" s="474"/>
      <c r="V2" s="474"/>
      <c r="W2" s="474"/>
      <c r="X2" s="474"/>
      <c r="Y2" s="474"/>
      <c r="Z2" s="474"/>
      <c r="AA2" s="474"/>
      <c r="AB2" s="474"/>
      <c r="AC2" s="474"/>
      <c r="AD2" s="474"/>
      <c r="AE2" s="474"/>
      <c r="AF2" s="474"/>
      <c r="AG2" s="474"/>
      <c r="AH2" s="474"/>
      <c r="AI2" s="474"/>
      <c r="AJ2" s="610"/>
      <c r="AK2" s="474"/>
      <c r="AL2" s="474"/>
      <c r="AM2" s="474"/>
      <c r="AN2" s="474"/>
      <c r="AO2" s="474"/>
      <c r="AP2" s="474"/>
    </row>
    <row r="3" spans="1:42" x14ac:dyDescent="0.25">
      <c r="A3" s="1991">
        <v>215</v>
      </c>
      <c r="B3" s="474" t="b">
        <f>NOT(ISBLANK('215'!#REF!))</f>
        <v>1</v>
      </c>
      <c r="C3" s="474">
        <f>IF(B3,$A3,"")</f>
        <v>215</v>
      </c>
      <c r="D3" s="474"/>
      <c r="E3" s="474" t="str">
        <f>IF(D3,$A3,"")</f>
        <v/>
      </c>
      <c r="F3" s="474"/>
      <c r="G3" s="474"/>
      <c r="H3" s="474" t="s">
        <v>1636</v>
      </c>
      <c r="I3" s="474"/>
      <c r="J3" s="2266" t="s">
        <v>1351</v>
      </c>
      <c r="K3" s="2266" t="s">
        <v>5946</v>
      </c>
      <c r="L3" s="2266"/>
      <c r="M3" s="181" t="s">
        <v>5947</v>
      </c>
      <c r="N3" s="2266"/>
      <c r="O3" s="474"/>
      <c r="P3" s="474"/>
      <c r="Q3" s="181"/>
      <c r="R3" s="610" t="s">
        <v>1800</v>
      </c>
      <c r="S3" s="610" t="s">
        <v>5948</v>
      </c>
      <c r="T3" s="474"/>
      <c r="U3" s="474"/>
      <c r="V3" s="474"/>
      <c r="W3" s="474"/>
      <c r="X3" s="2243" t="s">
        <v>2239</v>
      </c>
      <c r="Y3" s="474"/>
      <c r="Z3" s="474"/>
      <c r="AA3" s="474"/>
      <c r="AB3" s="474"/>
      <c r="AC3" s="2243" t="s">
        <v>2239</v>
      </c>
      <c r="AD3" s="474"/>
      <c r="AE3" s="474"/>
      <c r="AF3" s="474"/>
      <c r="AG3" s="474"/>
      <c r="AH3" s="474"/>
      <c r="AI3" s="474"/>
      <c r="AJ3" s="1532" t="s">
        <v>2441</v>
      </c>
      <c r="AK3" s="474"/>
      <c r="AL3" s="474"/>
      <c r="AM3" s="474"/>
      <c r="AN3" s="1532" t="s">
        <v>2442</v>
      </c>
      <c r="AO3" s="474"/>
      <c r="AP3" s="474"/>
    </row>
    <row r="4" spans="1:42" x14ac:dyDescent="0.25">
      <c r="A4" s="1991">
        <v>305</v>
      </c>
      <c r="B4" s="474"/>
      <c r="C4" s="474" t="str">
        <f t="shared" ref="C4:C10" si="0">IF(B4,$A4,"")</f>
        <v/>
      </c>
      <c r="D4" s="474" t="b">
        <f>(SUM('305'!G17:G40))&lt;&gt;0</f>
        <v>0</v>
      </c>
      <c r="E4" s="474" t="str">
        <f t="shared" ref="E4:E10" si="1">IF(D4,$A4,"")</f>
        <v/>
      </c>
      <c r="F4" s="474"/>
      <c r="G4" s="474"/>
      <c r="H4" s="474" t="s">
        <v>434</v>
      </c>
      <c r="I4" s="474"/>
      <c r="J4" s="2266" t="s">
        <v>1353</v>
      </c>
      <c r="K4" s="2266" t="s">
        <v>5949</v>
      </c>
      <c r="L4" s="2266"/>
      <c r="M4" s="181" t="s">
        <v>5950</v>
      </c>
      <c r="N4" s="2266"/>
      <c r="O4" s="474"/>
      <c r="P4" s="474"/>
      <c r="Q4" s="474"/>
      <c r="R4" s="474" t="s">
        <v>1801</v>
      </c>
      <c r="S4" s="474" t="s">
        <v>1665</v>
      </c>
      <c r="T4" s="474"/>
      <c r="U4" s="474"/>
      <c r="V4" s="474"/>
      <c r="W4" s="474"/>
      <c r="X4" s="207" t="s">
        <v>5951</v>
      </c>
      <c r="Y4" s="474"/>
      <c r="Z4" s="474"/>
      <c r="AA4" s="474"/>
      <c r="AB4" s="474"/>
      <c r="AC4" t="s">
        <v>5952</v>
      </c>
      <c r="AD4" s="474"/>
      <c r="AE4" s="474"/>
      <c r="AF4" s="474"/>
      <c r="AG4" s="474"/>
      <c r="AH4" s="474"/>
      <c r="AI4" s="474"/>
      <c r="AJ4" s="1532" t="s">
        <v>2230</v>
      </c>
      <c r="AK4" s="474"/>
      <c r="AL4" s="474"/>
      <c r="AM4" s="474"/>
      <c r="AN4" s="1532" t="s">
        <v>5953</v>
      </c>
      <c r="AO4" s="474"/>
      <c r="AP4" s="474"/>
    </row>
    <row r="5" spans="1:42" x14ac:dyDescent="0.25">
      <c r="A5" s="1991">
        <v>310</v>
      </c>
      <c r="B5" s="474"/>
      <c r="C5" s="474"/>
      <c r="D5" s="474" t="b">
        <f>(SUM('310'!G17:G42))&lt;&gt;0</f>
        <v>0</v>
      </c>
      <c r="E5" s="474" t="str">
        <f t="shared" si="1"/>
        <v/>
      </c>
      <c r="F5" s="474"/>
      <c r="G5" s="474"/>
      <c r="H5" s="474" t="s">
        <v>1637</v>
      </c>
      <c r="I5" s="474"/>
      <c r="J5" s="2266" t="s">
        <v>1355</v>
      </c>
      <c r="K5" s="2266" t="s">
        <v>5954</v>
      </c>
      <c r="L5" s="2266"/>
      <c r="M5" t="s">
        <v>5955</v>
      </c>
      <c r="N5" s="2266"/>
      <c r="O5" s="474"/>
      <c r="P5" s="474"/>
      <c r="Q5" s="181"/>
      <c r="R5" s="474" t="s">
        <v>1526</v>
      </c>
      <c r="S5" s="474" t="s">
        <v>5956</v>
      </c>
      <c r="T5" s="474"/>
      <c r="U5" s="474"/>
      <c r="V5" s="474"/>
      <c r="W5" s="474"/>
      <c r="X5" t="s">
        <v>5957</v>
      </c>
      <c r="Y5" s="474"/>
      <c r="Z5" s="474"/>
      <c r="AA5" s="474"/>
      <c r="AB5" s="474"/>
      <c r="AC5" s="207" t="s">
        <v>5958</v>
      </c>
      <c r="AD5" s="474"/>
      <c r="AE5" s="474"/>
      <c r="AF5" s="474"/>
      <c r="AG5" s="474"/>
      <c r="AH5" s="474"/>
      <c r="AI5" s="474"/>
      <c r="AJ5" s="1532" t="s">
        <v>2232</v>
      </c>
      <c r="AK5" s="474"/>
      <c r="AL5" s="474"/>
      <c r="AM5" s="474"/>
      <c r="AN5" s="1532" t="s">
        <v>5959</v>
      </c>
      <c r="AO5" s="474"/>
      <c r="AP5" s="474"/>
    </row>
    <row r="6" spans="1:42" x14ac:dyDescent="0.25">
      <c r="A6" s="1991">
        <v>330</v>
      </c>
      <c r="B6" s="474" t="b">
        <f>NOT(ISBLANK('330'!#REF!))</f>
        <v>1</v>
      </c>
      <c r="C6" s="474">
        <f t="shared" si="0"/>
        <v>330</v>
      </c>
      <c r="D6" s="474"/>
      <c r="E6" s="474" t="str">
        <f t="shared" si="1"/>
        <v/>
      </c>
      <c r="F6" s="474"/>
      <c r="G6" s="474"/>
      <c r="H6" s="474" t="s">
        <v>1638</v>
      </c>
      <c r="I6" s="474"/>
      <c r="J6" s="2266" t="s">
        <v>1357</v>
      </c>
      <c r="K6" s="2266" t="s">
        <v>5398</v>
      </c>
      <c r="L6" s="2266"/>
      <c r="M6" t="s">
        <v>5960</v>
      </c>
      <c r="N6" s="2266"/>
      <c r="O6" s="474"/>
      <c r="P6" s="474"/>
      <c r="Q6" s="181"/>
      <c r="R6" s="474" t="s">
        <v>5961</v>
      </c>
      <c r="S6" s="474" t="s">
        <v>5962</v>
      </c>
      <c r="T6" s="474"/>
      <c r="U6" s="474"/>
      <c r="V6" s="474"/>
      <c r="W6" s="474"/>
      <c r="X6" t="s">
        <v>5963</v>
      </c>
      <c r="Y6" s="474"/>
      <c r="Z6" s="474"/>
      <c r="AA6" s="474"/>
      <c r="AB6" s="474"/>
      <c r="AC6" t="s">
        <v>5957</v>
      </c>
      <c r="AD6" s="474"/>
      <c r="AE6" s="474"/>
      <c r="AF6" s="474"/>
      <c r="AG6" s="474"/>
      <c r="AH6" s="474"/>
      <c r="AI6" s="474"/>
      <c r="AJ6" s="1532" t="s">
        <v>2236</v>
      </c>
      <c r="AK6" s="474"/>
      <c r="AL6" s="474"/>
      <c r="AM6" s="474"/>
      <c r="AN6" s="1532" t="s">
        <v>5964</v>
      </c>
      <c r="AO6" s="474"/>
      <c r="AP6" s="474"/>
    </row>
    <row r="7" spans="1:42" x14ac:dyDescent="0.25">
      <c r="A7" s="1991">
        <v>335</v>
      </c>
      <c r="B7" s="474" t="b">
        <f>NOT(ISBLANK(#REF!))</f>
        <v>1</v>
      </c>
      <c r="C7" s="474">
        <f t="shared" si="0"/>
        <v>335</v>
      </c>
      <c r="D7" s="474"/>
      <c r="E7" s="474" t="str">
        <f t="shared" si="1"/>
        <v/>
      </c>
      <c r="F7" s="474"/>
      <c r="G7" s="474"/>
      <c r="H7" s="474" t="s">
        <v>2757</v>
      </c>
      <c r="I7" s="474"/>
      <c r="J7" s="2266" t="s">
        <v>1359</v>
      </c>
      <c r="K7" s="2266" t="s">
        <v>5411</v>
      </c>
      <c r="L7" s="207"/>
      <c r="M7" s="181" t="s">
        <v>5965</v>
      </c>
      <c r="N7" s="207"/>
      <c r="O7" s="474"/>
      <c r="P7" s="474"/>
      <c r="Q7" s="474"/>
      <c r="R7" s="474" t="s">
        <v>5966</v>
      </c>
      <c r="S7" s="474" t="s">
        <v>5967</v>
      </c>
      <c r="T7" s="474"/>
      <c r="U7" s="474"/>
      <c r="V7" s="474"/>
      <c r="W7" s="474"/>
      <c r="X7" s="474"/>
      <c r="Y7" s="474"/>
      <c r="Z7" s="474"/>
      <c r="AA7" s="474"/>
      <c r="AB7" s="474"/>
      <c r="AC7" t="s">
        <v>5963</v>
      </c>
      <c r="AD7" s="474"/>
      <c r="AE7" s="474"/>
      <c r="AF7" s="474"/>
      <c r="AG7" s="474"/>
      <c r="AH7" s="474"/>
      <c r="AI7" s="474"/>
      <c r="AJ7" s="1532" t="s">
        <v>2268</v>
      </c>
      <c r="AK7" s="474"/>
      <c r="AL7" s="474"/>
      <c r="AM7" s="474"/>
      <c r="AN7" s="1532" t="s">
        <v>5968</v>
      </c>
      <c r="AO7" s="474"/>
      <c r="AP7" s="474"/>
    </row>
    <row r="8" spans="1:42" x14ac:dyDescent="0.25">
      <c r="A8" s="1991">
        <v>340</v>
      </c>
      <c r="B8" s="474" t="b">
        <f>NOT(ISBLANK(#REF!))</f>
        <v>1</v>
      </c>
      <c r="C8" s="474">
        <f t="shared" si="0"/>
        <v>340</v>
      </c>
      <c r="D8" s="474"/>
      <c r="E8" s="474" t="str">
        <f t="shared" si="1"/>
        <v/>
      </c>
      <c r="F8" s="474"/>
      <c r="G8" s="474"/>
      <c r="H8" s="474" t="s">
        <v>5969</v>
      </c>
      <c r="I8" s="474"/>
      <c r="J8" s="2266" t="s">
        <v>1360</v>
      </c>
      <c r="K8" s="2266" t="s">
        <v>5410</v>
      </c>
      <c r="L8" s="474"/>
      <c r="M8" s="181" t="s">
        <v>5970</v>
      </c>
      <c r="N8" s="474"/>
      <c r="O8" s="474"/>
      <c r="P8" s="474"/>
      <c r="Q8" s="181"/>
      <c r="R8" s="474" t="s">
        <v>1528</v>
      </c>
      <c r="S8" s="474" t="s">
        <v>5971</v>
      </c>
      <c r="T8" s="474"/>
      <c r="U8" s="474"/>
      <c r="V8" s="474"/>
      <c r="W8" s="474"/>
      <c r="X8" s="1" t="s">
        <v>5972</v>
      </c>
      <c r="Y8" s="474"/>
      <c r="Z8" s="474"/>
      <c r="AA8" s="474"/>
      <c r="AB8" s="474"/>
      <c r="AC8" s="207" t="s">
        <v>5973</v>
      </c>
      <c r="AD8" s="474"/>
      <c r="AE8" s="474"/>
      <c r="AF8" s="474"/>
      <c r="AG8" s="474"/>
      <c r="AH8" s="474"/>
      <c r="AI8" s="474"/>
      <c r="AJ8" s="1532" t="s">
        <v>2256</v>
      </c>
      <c r="AK8" s="474"/>
      <c r="AL8" s="474"/>
      <c r="AM8" s="474"/>
      <c r="AN8" s="1532" t="s">
        <v>5974</v>
      </c>
      <c r="AO8" s="474"/>
      <c r="AP8" s="474"/>
    </row>
    <row r="9" spans="1:42" x14ac:dyDescent="0.25">
      <c r="A9" s="1991">
        <v>360</v>
      </c>
      <c r="B9" s="474" t="b">
        <f>NOT(ISBLANK(#REF!))</f>
        <v>1</v>
      </c>
      <c r="C9" s="474">
        <f t="shared" si="0"/>
        <v>360</v>
      </c>
      <c r="D9" s="474"/>
      <c r="E9" s="474" t="str">
        <f t="shared" si="1"/>
        <v/>
      </c>
      <c r="F9" s="474"/>
      <c r="G9" s="474"/>
      <c r="H9" s="474" t="s">
        <v>5975</v>
      </c>
      <c r="I9" s="474"/>
      <c r="J9" s="474"/>
      <c r="K9" s="2266" t="s">
        <v>5976</v>
      </c>
      <c r="L9" s="474"/>
      <c r="M9" t="s">
        <v>5977</v>
      </c>
      <c r="N9" s="474"/>
      <c r="O9" s="474"/>
      <c r="P9" s="474"/>
      <c r="Q9" s="181"/>
      <c r="R9" s="474" t="s">
        <v>1529</v>
      </c>
      <c r="S9" s="474"/>
      <c r="T9" s="474"/>
      <c r="U9" s="474"/>
      <c r="V9" s="474"/>
      <c r="W9" s="474"/>
      <c r="X9" s="474"/>
      <c r="Y9" s="474"/>
      <c r="Z9" s="474"/>
      <c r="AA9" s="474"/>
      <c r="AB9" s="474"/>
      <c r="AC9" s="474"/>
      <c r="AD9" s="474"/>
      <c r="AE9" s="474"/>
      <c r="AF9" s="474"/>
      <c r="AG9" s="474"/>
      <c r="AH9" s="474"/>
      <c r="AI9" s="474"/>
      <c r="AJ9" s="1532" t="s">
        <v>2274</v>
      </c>
      <c r="AK9" s="474"/>
      <c r="AL9" s="474"/>
      <c r="AM9" s="474"/>
      <c r="AN9" s="1532" t="s">
        <v>5978</v>
      </c>
      <c r="AO9" s="474"/>
      <c r="AP9" s="474"/>
    </row>
    <row r="10" spans="1:42" x14ac:dyDescent="0.25">
      <c r="A10" s="1991">
        <v>750</v>
      </c>
      <c r="B10" s="474" t="b">
        <f>NOT(ISBLANK(#REF!))</f>
        <v>1</v>
      </c>
      <c r="C10" s="474">
        <f t="shared" si="0"/>
        <v>750</v>
      </c>
      <c r="D10" s="474"/>
      <c r="E10" s="474" t="str">
        <f t="shared" si="1"/>
        <v/>
      </c>
      <c r="F10" s="474"/>
      <c r="G10" s="474"/>
      <c r="H10" s="474" t="s">
        <v>5979</v>
      </c>
      <c r="I10" s="474"/>
      <c r="J10" s="474"/>
      <c r="K10" s="474"/>
      <c r="L10" s="474"/>
      <c r="M10" s="474"/>
      <c r="N10" s="474"/>
      <c r="O10" s="474"/>
      <c r="P10" s="474"/>
      <c r="Q10" s="474"/>
      <c r="R10" s="474" t="s">
        <v>5980</v>
      </c>
      <c r="S10" s="474"/>
      <c r="T10" s="474"/>
      <c r="U10" s="474"/>
      <c r="V10" s="474"/>
      <c r="W10" s="474"/>
      <c r="X10" s="2243" t="s">
        <v>2239</v>
      </c>
      <c r="Y10" s="474"/>
      <c r="Z10" s="474"/>
      <c r="AA10" s="474"/>
      <c r="AB10" s="474"/>
      <c r="AC10" s="1" t="s">
        <v>5981</v>
      </c>
      <c r="AD10" s="474"/>
      <c r="AE10" s="474"/>
      <c r="AF10" s="474"/>
      <c r="AG10" s="474"/>
      <c r="AH10" s="474"/>
      <c r="AI10" s="474"/>
      <c r="AJ10" s="1532" t="s">
        <v>2270</v>
      </c>
      <c r="AK10" s="474"/>
      <c r="AL10" s="474"/>
      <c r="AM10" s="474"/>
      <c r="AN10" s="1532" t="s">
        <v>5982</v>
      </c>
      <c r="AO10" s="474"/>
      <c r="AP10" s="474"/>
    </row>
    <row r="11" spans="1:42" x14ac:dyDescent="0.25">
      <c r="A11" s="1991"/>
      <c r="B11" s="474"/>
      <c r="C11" s="474"/>
      <c r="D11" s="474"/>
      <c r="E11" s="474"/>
      <c r="F11" s="474"/>
      <c r="G11" s="474"/>
      <c r="H11" s="474" t="s">
        <v>827</v>
      </c>
      <c r="I11" s="474"/>
      <c r="J11" s="474"/>
      <c r="K11" s="474"/>
      <c r="L11" s="474"/>
      <c r="M11" s="474"/>
      <c r="N11" s="474"/>
      <c r="O11" s="474"/>
      <c r="P11" s="474"/>
      <c r="Q11" s="181"/>
      <c r="R11" s="474" t="s">
        <v>5983</v>
      </c>
      <c r="S11" s="474" t="s">
        <v>1614</v>
      </c>
      <c r="T11" s="474"/>
      <c r="U11" s="474"/>
      <c r="V11" s="474"/>
      <c r="W11" s="474"/>
      <c r="X11" t="s">
        <v>5952</v>
      </c>
      <c r="Y11" s="474"/>
      <c r="Z11" s="474"/>
      <c r="AA11" s="474"/>
      <c r="AB11" s="474"/>
      <c r="AC11" s="474"/>
      <c r="AD11" s="474"/>
      <c r="AE11" s="474"/>
      <c r="AF11" s="474"/>
      <c r="AG11" s="474"/>
      <c r="AH11" s="474"/>
      <c r="AI11" s="474"/>
      <c r="AJ11" s="1532" t="s">
        <v>2272</v>
      </c>
      <c r="AK11" s="474"/>
      <c r="AL11" s="474"/>
      <c r="AM11" s="474"/>
      <c r="AN11" s="1532" t="s">
        <v>5984</v>
      </c>
      <c r="AO11" s="474"/>
      <c r="AP11" s="474"/>
    </row>
    <row r="12" spans="1:42" x14ac:dyDescent="0.25">
      <c r="A12" s="1991"/>
      <c r="B12" s="474"/>
      <c r="C12" s="474"/>
      <c r="D12" s="474"/>
      <c r="E12" s="474"/>
      <c r="F12" s="474"/>
      <c r="G12" s="474"/>
      <c r="H12" s="474" t="s">
        <v>5985</v>
      </c>
      <c r="I12" s="474"/>
      <c r="J12" s="474"/>
      <c r="K12" s="474"/>
      <c r="L12" s="474"/>
      <c r="M12" s="474"/>
      <c r="N12" s="474"/>
      <c r="O12" s="474"/>
      <c r="P12" s="474"/>
      <c r="Q12" s="181"/>
      <c r="R12" s="474" t="s">
        <v>2631</v>
      </c>
      <c r="S12" s="474" t="s">
        <v>1636</v>
      </c>
      <c r="T12" s="474"/>
      <c r="U12" s="474"/>
      <c r="V12" s="474"/>
      <c r="W12" s="474"/>
      <c r="X12" t="s">
        <v>5986</v>
      </c>
      <c r="Y12" s="474"/>
      <c r="Z12" s="474"/>
      <c r="AA12" s="474"/>
      <c r="AB12" s="474"/>
      <c r="AC12" s="2243" t="s">
        <v>2239</v>
      </c>
      <c r="AD12" s="474"/>
      <c r="AE12" s="474"/>
      <c r="AF12" s="474"/>
      <c r="AG12" s="474"/>
      <c r="AH12" s="474"/>
      <c r="AI12" s="474"/>
      <c r="AJ12" s="474"/>
      <c r="AK12" s="474"/>
      <c r="AL12" s="474"/>
      <c r="AM12" s="474"/>
      <c r="AN12" s="1532" t="s">
        <v>5987</v>
      </c>
      <c r="AO12" s="474"/>
      <c r="AP12" s="474"/>
    </row>
    <row r="13" spans="1:42" x14ac:dyDescent="0.25">
      <c r="A13" s="1991"/>
      <c r="B13" s="474"/>
      <c r="C13" s="474"/>
      <c r="D13" s="474"/>
      <c r="E13" s="474"/>
      <c r="F13" s="474"/>
      <c r="G13" s="474"/>
      <c r="H13" s="474" t="s">
        <v>5988</v>
      </c>
      <c r="I13" s="474"/>
      <c r="J13" s="474"/>
      <c r="K13" s="474"/>
      <c r="L13" s="474"/>
      <c r="M13" s="474"/>
      <c r="N13" s="474"/>
      <c r="O13" s="474"/>
      <c r="P13" s="474"/>
      <c r="Q13" s="474"/>
      <c r="R13" s="474" t="s">
        <v>5989</v>
      </c>
      <c r="S13" s="474" t="s">
        <v>2757</v>
      </c>
      <c r="T13" s="474"/>
      <c r="U13" s="474"/>
      <c r="V13" s="474"/>
      <c r="W13" s="474"/>
      <c r="X13" s="207" t="s">
        <v>5958</v>
      </c>
      <c r="Y13" s="474"/>
      <c r="Z13" s="474"/>
      <c r="AA13" s="474"/>
      <c r="AB13" s="474"/>
      <c r="AC13" t="s">
        <v>5986</v>
      </c>
      <c r="AD13" s="474"/>
      <c r="AE13" s="474"/>
      <c r="AF13" s="474"/>
      <c r="AG13" s="474"/>
      <c r="AH13" s="474"/>
      <c r="AI13" s="474"/>
      <c r="AJ13" s="474"/>
      <c r="AK13" s="474"/>
      <c r="AL13" s="474"/>
      <c r="AM13" s="474"/>
      <c r="AN13" s="1532" t="s">
        <v>5990</v>
      </c>
      <c r="AO13" s="474"/>
      <c r="AP13" s="474"/>
    </row>
    <row r="14" spans="1:42" x14ac:dyDescent="0.25">
      <c r="A14" s="474"/>
      <c r="B14" s="474"/>
      <c r="C14" s="474"/>
      <c r="D14" s="474"/>
      <c r="E14" s="474"/>
      <c r="F14" s="474"/>
      <c r="G14" s="474"/>
      <c r="H14" s="474" t="s">
        <v>456</v>
      </c>
      <c r="I14" s="474"/>
      <c r="J14" s="474"/>
      <c r="K14" s="474"/>
      <c r="L14" s="474"/>
      <c r="M14" s="474"/>
      <c r="N14" s="474"/>
      <c r="O14" s="474"/>
      <c r="P14" s="474"/>
      <c r="Q14" s="181"/>
      <c r="R14" s="474" t="s">
        <v>5991</v>
      </c>
      <c r="S14" s="474" t="s">
        <v>5969</v>
      </c>
      <c r="T14" s="474"/>
      <c r="U14" s="474"/>
      <c r="V14" s="474"/>
      <c r="W14" s="474"/>
      <c r="X14" s="207" t="s">
        <v>5992</v>
      </c>
      <c r="Y14" s="474"/>
      <c r="Z14" s="474"/>
      <c r="AA14" s="474"/>
      <c r="AB14" s="474"/>
      <c r="AC14" s="207" t="s">
        <v>5992</v>
      </c>
      <c r="AD14" s="474"/>
      <c r="AE14" s="474"/>
      <c r="AF14" s="474"/>
      <c r="AG14" s="474"/>
      <c r="AH14" s="474"/>
      <c r="AI14" s="474"/>
      <c r="AJ14" s="474"/>
      <c r="AK14" s="474"/>
      <c r="AL14" s="474"/>
      <c r="AM14" s="474"/>
      <c r="AN14" s="1532" t="s">
        <v>5993</v>
      </c>
      <c r="AO14" s="474"/>
      <c r="AP14" s="474"/>
    </row>
    <row r="15" spans="1:42" x14ac:dyDescent="0.25">
      <c r="A15" s="474"/>
      <c r="B15" s="474"/>
      <c r="C15" s="474"/>
      <c r="D15" s="474"/>
      <c r="E15" s="474"/>
      <c r="F15" s="474"/>
      <c r="G15" s="474"/>
      <c r="H15" s="474" t="s">
        <v>5994</v>
      </c>
      <c r="I15" s="474"/>
      <c r="J15" s="474"/>
      <c r="K15" s="474"/>
      <c r="L15" s="474"/>
      <c r="M15" s="474"/>
      <c r="N15" s="474"/>
      <c r="O15" s="474"/>
      <c r="P15" s="474"/>
      <c r="Q15" s="181"/>
      <c r="R15" s="474" t="s">
        <v>3100</v>
      </c>
      <c r="S15" s="474" t="s">
        <v>5975</v>
      </c>
      <c r="T15" s="474"/>
      <c r="U15" s="474"/>
      <c r="V15" s="474"/>
      <c r="W15" s="474"/>
      <c r="X15" t="s">
        <v>5995</v>
      </c>
      <c r="Y15" s="474"/>
      <c r="Z15" s="474"/>
      <c r="AA15" s="474"/>
      <c r="AB15" s="474"/>
      <c r="AC15" s="207" t="s">
        <v>5996</v>
      </c>
      <c r="AD15" s="474"/>
      <c r="AE15" s="474"/>
      <c r="AF15" s="474"/>
      <c r="AG15" s="474"/>
      <c r="AH15" s="474"/>
      <c r="AI15" s="474"/>
      <c r="AJ15" s="474"/>
      <c r="AK15" s="474"/>
      <c r="AL15" s="474"/>
      <c r="AM15" s="474"/>
      <c r="AN15" s="1532" t="s">
        <v>5997</v>
      </c>
      <c r="AO15" s="474"/>
      <c r="AP15" s="474"/>
    </row>
    <row r="16" spans="1:42" x14ac:dyDescent="0.25">
      <c r="A16" s="474"/>
      <c r="B16" s="474"/>
      <c r="C16" s="474"/>
      <c r="D16" s="474"/>
      <c r="E16" s="474"/>
      <c r="F16" s="474"/>
      <c r="G16" s="474"/>
      <c r="H16" s="474"/>
      <c r="I16" s="474"/>
      <c r="J16" s="474"/>
      <c r="K16" s="474"/>
      <c r="L16" s="474"/>
      <c r="M16" s="474"/>
      <c r="N16" s="474"/>
      <c r="O16" s="474"/>
      <c r="P16" s="474"/>
      <c r="Q16" s="474"/>
      <c r="R16" s="474" t="s">
        <v>3103</v>
      </c>
      <c r="S16" s="474" t="s">
        <v>827</v>
      </c>
      <c r="T16" s="474"/>
      <c r="U16" s="474"/>
      <c r="V16" s="474"/>
      <c r="W16" s="474"/>
      <c r="X16" t="s">
        <v>5998</v>
      </c>
      <c r="Y16" s="474"/>
      <c r="Z16" s="474"/>
      <c r="AA16" s="474"/>
      <c r="AB16" s="474"/>
      <c r="AC16" t="s">
        <v>5995</v>
      </c>
      <c r="AD16" s="474"/>
      <c r="AE16" s="474"/>
      <c r="AF16" s="474"/>
      <c r="AG16" s="474"/>
      <c r="AH16" s="474"/>
      <c r="AI16" s="474"/>
      <c r="AJ16" s="474"/>
      <c r="AK16" s="474"/>
      <c r="AL16" s="474"/>
      <c r="AM16" s="474"/>
      <c r="AN16" s="1532" t="s">
        <v>5999</v>
      </c>
      <c r="AO16" s="474"/>
      <c r="AP16" s="474"/>
    </row>
    <row r="17" spans="8:40" x14ac:dyDescent="0.25">
      <c r="H17" s="610" t="s">
        <v>6000</v>
      </c>
      <c r="I17" s="474"/>
      <c r="J17" s="474"/>
      <c r="K17" s="474"/>
      <c r="L17" s="474"/>
      <c r="M17" s="474"/>
      <c r="N17" s="474"/>
      <c r="O17" s="474"/>
      <c r="P17" s="474"/>
      <c r="Q17" s="474"/>
      <c r="R17" s="474" t="s">
        <v>2084</v>
      </c>
      <c r="S17" s="474" t="s">
        <v>456</v>
      </c>
      <c r="T17" s="474"/>
      <c r="U17" s="474"/>
      <c r="V17" s="474"/>
      <c r="W17" s="474"/>
      <c r="X17" s="207" t="s">
        <v>6001</v>
      </c>
      <c r="Y17" s="474"/>
      <c r="Z17" s="474"/>
      <c r="AA17" s="474"/>
      <c r="AB17" s="474"/>
      <c r="AC17" t="s">
        <v>5998</v>
      </c>
      <c r="AD17" s="474"/>
      <c r="AE17" s="474"/>
      <c r="AF17" s="474"/>
      <c r="AG17" s="474"/>
      <c r="AH17" s="474"/>
      <c r="AI17" s="474"/>
      <c r="AJ17" s="474"/>
      <c r="AK17" s="474"/>
      <c r="AL17" s="474"/>
      <c r="AM17" s="474"/>
      <c r="AN17" s="1532" t="s">
        <v>6002</v>
      </c>
    </row>
    <row r="18" spans="8:40" x14ac:dyDescent="0.25">
      <c r="H18" s="474" t="s">
        <v>1614</v>
      </c>
      <c r="I18" s="474"/>
      <c r="J18" s="474"/>
      <c r="K18" s="474"/>
      <c r="L18" s="474"/>
      <c r="M18" s="474"/>
      <c r="N18" s="474"/>
      <c r="O18" s="474"/>
      <c r="P18" s="474"/>
      <c r="Q18" s="474"/>
      <c r="R18" s="474" t="s">
        <v>4732</v>
      </c>
      <c r="S18" s="474" t="s">
        <v>6003</v>
      </c>
      <c r="T18" s="474"/>
      <c r="U18" s="474"/>
      <c r="V18" s="474"/>
      <c r="W18" s="474"/>
      <c r="X18" t="s">
        <v>6004</v>
      </c>
      <c r="Y18" s="474"/>
      <c r="Z18" s="474"/>
      <c r="AA18" s="474"/>
      <c r="AB18" s="474"/>
      <c r="AC18" s="207" t="s">
        <v>5951</v>
      </c>
      <c r="AD18" s="474"/>
      <c r="AE18" s="474"/>
      <c r="AF18" s="474"/>
      <c r="AG18" s="474"/>
      <c r="AH18" s="474"/>
      <c r="AI18" s="474"/>
      <c r="AJ18" s="474"/>
      <c r="AK18" s="474"/>
      <c r="AL18" s="474"/>
      <c r="AM18" s="474"/>
      <c r="AN18" s="1532" t="s">
        <v>6005</v>
      </c>
    </row>
    <row r="19" spans="8:40" x14ac:dyDescent="0.25">
      <c r="H19" s="474" t="s">
        <v>394</v>
      </c>
      <c r="I19" s="474"/>
      <c r="J19" s="474"/>
      <c r="K19" s="474"/>
      <c r="L19" s="474"/>
      <c r="M19" s="474"/>
      <c r="N19" s="474"/>
      <c r="O19" s="474"/>
      <c r="P19" s="474"/>
      <c r="Q19" s="474"/>
      <c r="R19" s="474" t="s">
        <v>2638</v>
      </c>
      <c r="S19" s="474" t="s">
        <v>5994</v>
      </c>
      <c r="T19" s="474"/>
      <c r="U19" s="474"/>
      <c r="V19" s="474"/>
      <c r="W19" s="474"/>
      <c r="X19" s="207" t="s">
        <v>6006</v>
      </c>
      <c r="Y19" s="474"/>
      <c r="Z19" s="474"/>
      <c r="AA19" s="474"/>
      <c r="AB19" s="474"/>
      <c r="AC19" s="207" t="s">
        <v>6001</v>
      </c>
      <c r="AD19" s="474"/>
      <c r="AE19" s="474"/>
      <c r="AF19" s="474"/>
      <c r="AG19" s="474"/>
      <c r="AH19" s="474"/>
      <c r="AI19" s="474"/>
      <c r="AJ19" s="474"/>
      <c r="AK19" s="474"/>
      <c r="AL19" s="474"/>
      <c r="AM19" s="474"/>
      <c r="AN19" s="1532" t="s">
        <v>6007</v>
      </c>
    </row>
    <row r="20" spans="8:40" x14ac:dyDescent="0.25">
      <c r="H20" s="474" t="s">
        <v>1636</v>
      </c>
      <c r="I20" s="474"/>
      <c r="J20" s="474"/>
      <c r="K20" s="474"/>
      <c r="L20" s="474"/>
      <c r="M20" s="474"/>
      <c r="N20" s="474"/>
      <c r="O20" s="474"/>
      <c r="P20" s="474"/>
      <c r="Q20" s="474"/>
      <c r="R20" s="474" t="s">
        <v>2639</v>
      </c>
      <c r="S20" s="474" t="s">
        <v>434</v>
      </c>
      <c r="T20" s="474"/>
      <c r="U20" s="474"/>
      <c r="V20" s="474"/>
      <c r="W20" s="474"/>
      <c r="X20" t="s">
        <v>6008</v>
      </c>
      <c r="Y20" s="474"/>
      <c r="Z20" s="474"/>
      <c r="AA20" s="474"/>
      <c r="AB20" s="474"/>
      <c r="AC20" t="s">
        <v>6004</v>
      </c>
      <c r="AD20" s="474"/>
      <c r="AE20" s="474"/>
      <c r="AF20" s="474"/>
      <c r="AG20" s="474"/>
      <c r="AH20" s="474"/>
      <c r="AI20" s="474"/>
      <c r="AJ20" s="474"/>
      <c r="AK20" s="474"/>
      <c r="AL20" s="474"/>
      <c r="AM20" s="474"/>
      <c r="AN20" s="1532" t="s">
        <v>6009</v>
      </c>
    </row>
    <row r="21" spans="8:40" x14ac:dyDescent="0.25">
      <c r="H21" s="474" t="s">
        <v>6010</v>
      </c>
      <c r="I21" s="474"/>
      <c r="J21" s="474"/>
      <c r="K21" s="474"/>
      <c r="L21" s="474"/>
      <c r="M21" s="474"/>
      <c r="N21" s="474"/>
      <c r="O21" s="474"/>
      <c r="P21" s="474"/>
      <c r="Q21" s="474"/>
      <c r="R21" s="474" t="s">
        <v>3000</v>
      </c>
      <c r="S21" s="474" t="s">
        <v>6011</v>
      </c>
      <c r="T21" s="474"/>
      <c r="U21" s="474"/>
      <c r="V21" s="474"/>
      <c r="W21" s="474"/>
      <c r="X21" s="474"/>
      <c r="Y21" s="474"/>
      <c r="Z21" s="474"/>
      <c r="AA21" s="474"/>
      <c r="AB21" s="474"/>
      <c r="AC21" s="207" t="s">
        <v>6012</v>
      </c>
      <c r="AD21" s="474"/>
      <c r="AE21" s="474"/>
      <c r="AF21" s="474"/>
      <c r="AG21" s="474"/>
      <c r="AH21" s="474"/>
      <c r="AI21" s="474"/>
      <c r="AJ21" s="474"/>
      <c r="AK21" s="474"/>
      <c r="AL21" s="474"/>
      <c r="AM21" s="474"/>
      <c r="AN21" s="1532" t="s">
        <v>6013</v>
      </c>
    </row>
    <row r="22" spans="8:40" x14ac:dyDescent="0.25">
      <c r="H22" s="474" t="s">
        <v>434</v>
      </c>
      <c r="I22" s="474"/>
      <c r="J22" s="474"/>
      <c r="K22" s="474"/>
      <c r="L22" s="474"/>
      <c r="M22" s="474"/>
      <c r="N22" s="474"/>
      <c r="O22" s="474"/>
      <c r="P22" s="474"/>
      <c r="Q22" s="474"/>
      <c r="R22" s="474" t="s">
        <v>6014</v>
      </c>
      <c r="S22" s="474"/>
      <c r="T22" s="474"/>
      <c r="U22" s="474"/>
      <c r="V22" s="474"/>
      <c r="W22" s="474"/>
      <c r="X22" s="474"/>
      <c r="Y22" s="474"/>
      <c r="Z22" s="474"/>
      <c r="AA22" s="474"/>
      <c r="AB22" s="474"/>
      <c r="AC22" s="207" t="s">
        <v>6006</v>
      </c>
      <c r="AD22" s="474"/>
      <c r="AE22" s="474"/>
      <c r="AF22" s="474"/>
      <c r="AG22" s="474"/>
      <c r="AH22" s="474"/>
      <c r="AI22" s="474"/>
      <c r="AJ22" s="474"/>
      <c r="AK22" s="474"/>
      <c r="AL22" s="474"/>
      <c r="AM22" s="474"/>
      <c r="AN22" s="1532" t="s">
        <v>6015</v>
      </c>
    </row>
    <row r="23" spans="8:40" x14ac:dyDescent="0.25">
      <c r="H23" s="474" t="s">
        <v>1638</v>
      </c>
      <c r="I23" s="474"/>
      <c r="J23" s="474"/>
      <c r="K23" s="474"/>
      <c r="L23" s="474"/>
      <c r="M23" s="474"/>
      <c r="N23" s="474"/>
      <c r="O23" s="474"/>
      <c r="P23" s="474"/>
      <c r="Q23" s="474"/>
      <c r="R23" s="474"/>
      <c r="S23" s="474"/>
      <c r="T23" s="474"/>
      <c r="U23" s="474"/>
      <c r="V23" s="474"/>
      <c r="W23" s="474"/>
      <c r="X23" s="474"/>
      <c r="Y23" s="474"/>
      <c r="Z23" s="474"/>
      <c r="AA23" s="474"/>
      <c r="AB23" s="474"/>
      <c r="AC23" t="s">
        <v>6008</v>
      </c>
      <c r="AD23" s="474"/>
      <c r="AE23" s="474"/>
      <c r="AF23" s="474"/>
      <c r="AG23" s="474"/>
      <c r="AH23" s="474"/>
      <c r="AI23" s="474"/>
      <c r="AJ23" s="474"/>
      <c r="AK23" s="474"/>
      <c r="AL23" s="474"/>
      <c r="AM23" s="474"/>
      <c r="AN23" s="1532" t="s">
        <v>6016</v>
      </c>
    </row>
    <row r="24" spans="8:40" x14ac:dyDescent="0.25">
      <c r="H24" s="474" t="s">
        <v>2757</v>
      </c>
      <c r="I24" s="474"/>
      <c r="J24" s="474"/>
      <c r="K24" s="474"/>
      <c r="L24" s="474"/>
      <c r="M24" s="474"/>
      <c r="N24" s="474"/>
      <c r="O24" s="474"/>
      <c r="P24" s="474"/>
      <c r="Q24" s="474"/>
      <c r="R24" s="610" t="s">
        <v>6017</v>
      </c>
      <c r="S24" s="474" t="s">
        <v>6018</v>
      </c>
      <c r="T24" s="474"/>
      <c r="U24" s="474"/>
      <c r="V24" s="474"/>
      <c r="W24" s="474"/>
      <c r="X24" s="474"/>
      <c r="Y24" s="474"/>
      <c r="Z24" s="474"/>
      <c r="AA24" s="474"/>
      <c r="AB24" s="474"/>
      <c r="AC24" s="474"/>
      <c r="AD24" s="474"/>
      <c r="AE24" s="474"/>
      <c r="AF24" s="474"/>
      <c r="AG24" s="474"/>
      <c r="AH24" s="474"/>
      <c r="AI24" s="474"/>
      <c r="AJ24" s="474"/>
      <c r="AK24" s="474"/>
      <c r="AL24" s="474"/>
      <c r="AM24" s="474"/>
      <c r="AN24" s="1532" t="s">
        <v>6019</v>
      </c>
    </row>
    <row r="25" spans="8:40" x14ac:dyDescent="0.25">
      <c r="H25" s="474" t="s">
        <v>5969</v>
      </c>
      <c r="I25" s="474"/>
      <c r="J25" s="474"/>
      <c r="K25" s="474"/>
      <c r="L25" s="474"/>
      <c r="M25" s="474"/>
      <c r="N25" s="474"/>
      <c r="O25" s="474"/>
      <c r="P25" s="474"/>
      <c r="Q25" s="474"/>
      <c r="R25" s="474" t="s">
        <v>1801</v>
      </c>
      <c r="S25" s="1635" t="s">
        <v>6020</v>
      </c>
      <c r="T25" s="474"/>
      <c r="U25" s="474"/>
      <c r="V25" s="474"/>
      <c r="W25" s="474"/>
      <c r="X25" s="474"/>
      <c r="Y25" s="474"/>
      <c r="Z25" s="474"/>
      <c r="AA25" s="474"/>
      <c r="AB25" s="474"/>
      <c r="AC25" s="474"/>
      <c r="AD25" s="474"/>
      <c r="AE25" s="474"/>
      <c r="AF25" s="474"/>
      <c r="AG25" s="474"/>
      <c r="AH25" s="474"/>
      <c r="AI25" s="474"/>
      <c r="AJ25" s="474"/>
      <c r="AK25" s="474"/>
      <c r="AL25" s="474"/>
      <c r="AM25" s="474"/>
      <c r="AN25" s="1532" t="s">
        <v>6021</v>
      </c>
    </row>
    <row r="26" spans="8:40" x14ac:dyDescent="0.25">
      <c r="H26" s="474" t="s">
        <v>5975</v>
      </c>
      <c r="I26" s="474"/>
      <c r="J26" s="474"/>
      <c r="K26" s="474"/>
      <c r="L26" s="474"/>
      <c r="M26" s="474"/>
      <c r="N26" s="474"/>
      <c r="O26" s="474"/>
      <c r="P26" s="474"/>
      <c r="Q26" s="474"/>
      <c r="R26" s="474" t="s">
        <v>3050</v>
      </c>
      <c r="S26" s="1634" t="s">
        <v>2062</v>
      </c>
      <c r="T26" s="474"/>
      <c r="U26" s="474"/>
      <c r="V26" s="474"/>
      <c r="W26" s="474"/>
      <c r="X26" s="474"/>
      <c r="Y26" s="474"/>
      <c r="Z26" s="474"/>
      <c r="AA26" s="474"/>
      <c r="AB26" s="474"/>
      <c r="AC26" s="474"/>
      <c r="AD26" s="474"/>
      <c r="AE26" s="474"/>
      <c r="AF26" s="474"/>
      <c r="AG26" s="474"/>
      <c r="AH26" s="474"/>
      <c r="AI26" s="474"/>
      <c r="AJ26" s="474"/>
      <c r="AK26" s="474"/>
      <c r="AL26" s="474"/>
      <c r="AM26" s="474"/>
      <c r="AN26" s="1532" t="s">
        <v>6022</v>
      </c>
    </row>
    <row r="27" spans="8:40" x14ac:dyDescent="0.25">
      <c r="H27" s="474" t="s">
        <v>827</v>
      </c>
      <c r="I27" s="474"/>
      <c r="J27" s="474"/>
      <c r="K27" s="474"/>
      <c r="L27" s="474"/>
      <c r="M27" s="474"/>
      <c r="N27" s="474"/>
      <c r="O27" s="474"/>
      <c r="P27" s="474"/>
      <c r="Q27" s="474"/>
      <c r="R27" s="474" t="s">
        <v>1528</v>
      </c>
      <c r="S27" s="1634" t="s">
        <v>6023</v>
      </c>
      <c r="T27" s="474"/>
      <c r="U27" s="474"/>
      <c r="V27" s="474"/>
      <c r="W27" s="474"/>
      <c r="X27" s="474"/>
      <c r="Y27" s="474"/>
      <c r="Z27" s="474"/>
      <c r="AA27" s="474"/>
      <c r="AB27" s="474"/>
      <c r="AC27" s="474"/>
      <c r="AD27" s="474"/>
      <c r="AE27" s="474"/>
      <c r="AF27" s="474"/>
      <c r="AG27" s="474"/>
      <c r="AH27" s="474"/>
      <c r="AI27" s="474"/>
      <c r="AJ27" s="474"/>
      <c r="AK27" s="474"/>
      <c r="AL27" s="474"/>
      <c r="AM27" s="474"/>
      <c r="AN27" s="1532" t="s">
        <v>6024</v>
      </c>
    </row>
    <row r="28" spans="8:40" x14ac:dyDescent="0.25">
      <c r="H28" s="474" t="s">
        <v>5985</v>
      </c>
      <c r="I28" s="474"/>
      <c r="J28" s="474"/>
      <c r="K28" s="474"/>
      <c r="L28" s="474"/>
      <c r="M28" s="474"/>
      <c r="N28" s="474"/>
      <c r="O28" s="474"/>
      <c r="P28" s="474"/>
      <c r="Q28" s="474"/>
      <c r="R28" s="474" t="s">
        <v>4755</v>
      </c>
      <c r="S28" s="1634" t="s">
        <v>6025</v>
      </c>
      <c r="T28" s="474"/>
      <c r="U28" s="474"/>
      <c r="V28" s="474"/>
      <c r="W28" s="474"/>
      <c r="X28" s="474"/>
      <c r="Y28" s="474"/>
      <c r="Z28" s="474"/>
      <c r="AA28" s="474"/>
      <c r="AB28" s="474"/>
      <c r="AC28" s="474"/>
      <c r="AD28" s="474"/>
      <c r="AE28" s="474"/>
      <c r="AF28" s="474"/>
      <c r="AG28" s="474"/>
      <c r="AH28" s="474"/>
      <c r="AI28" s="474"/>
      <c r="AJ28" s="474"/>
      <c r="AK28" s="474"/>
      <c r="AL28" s="474"/>
      <c r="AM28" s="474"/>
      <c r="AN28" s="1532" t="s">
        <v>6026</v>
      </c>
    </row>
    <row r="29" spans="8:40" x14ac:dyDescent="0.25">
      <c r="H29" s="474" t="s">
        <v>5988</v>
      </c>
      <c r="I29" s="474"/>
      <c r="J29" s="474"/>
      <c r="K29" s="474"/>
      <c r="L29" s="474"/>
      <c r="M29" s="474"/>
      <c r="N29" s="474"/>
      <c r="O29" s="474"/>
      <c r="P29" s="474"/>
      <c r="Q29" s="474"/>
      <c r="R29" s="474" t="s">
        <v>3100</v>
      </c>
      <c r="S29" s="1634" t="s">
        <v>6027</v>
      </c>
      <c r="T29" s="474"/>
      <c r="U29" s="474"/>
      <c r="V29" s="474"/>
      <c r="W29" s="474"/>
      <c r="X29" s="474"/>
      <c r="Y29" s="474"/>
      <c r="Z29" s="474"/>
      <c r="AA29" s="474"/>
      <c r="AB29" s="474"/>
      <c r="AC29" s="474"/>
      <c r="AD29" s="474"/>
      <c r="AE29" s="474"/>
      <c r="AF29" s="474"/>
      <c r="AG29" s="474"/>
      <c r="AH29" s="474"/>
      <c r="AI29" s="474"/>
      <c r="AJ29" s="474"/>
      <c r="AK29" s="474"/>
      <c r="AL29" s="474"/>
      <c r="AM29" s="474"/>
      <c r="AN29" s="1532" t="s">
        <v>6028</v>
      </c>
    </row>
    <row r="30" spans="8:40" x14ac:dyDescent="0.25">
      <c r="H30" s="474" t="s">
        <v>456</v>
      </c>
      <c r="I30" s="474"/>
      <c r="J30" s="474"/>
      <c r="K30" s="474"/>
      <c r="L30" s="474"/>
      <c r="M30" s="474"/>
      <c r="N30" s="474"/>
      <c r="O30" s="474"/>
      <c r="P30" s="474"/>
      <c r="Q30" s="474"/>
      <c r="R30" s="474" t="s">
        <v>2651</v>
      </c>
      <c r="S30" s="1634" t="s">
        <v>6029</v>
      </c>
      <c r="T30" s="474"/>
      <c r="U30" s="474"/>
      <c r="V30" s="474"/>
      <c r="W30" s="474"/>
      <c r="X30" s="474"/>
      <c r="Y30" s="474"/>
      <c r="Z30" s="474"/>
      <c r="AA30" s="474"/>
      <c r="AB30" s="474"/>
      <c r="AC30" s="474"/>
      <c r="AD30" s="474"/>
      <c r="AE30" s="474"/>
      <c r="AF30" s="474"/>
      <c r="AG30" s="474"/>
      <c r="AH30" s="474"/>
      <c r="AI30" s="474"/>
      <c r="AJ30" s="474"/>
      <c r="AK30" s="474"/>
      <c r="AL30" s="474"/>
      <c r="AM30" s="474"/>
      <c r="AN30" s="1532" t="s">
        <v>6030</v>
      </c>
    </row>
    <row r="31" spans="8:40" x14ac:dyDescent="0.25">
      <c r="H31" s="474" t="s">
        <v>6031</v>
      </c>
      <c r="I31" s="474"/>
      <c r="J31" s="474"/>
      <c r="K31" s="474"/>
      <c r="L31" s="474"/>
      <c r="M31" s="474"/>
      <c r="N31" s="474"/>
      <c r="O31" s="474"/>
      <c r="P31" s="474"/>
      <c r="Q31" s="474"/>
      <c r="R31" s="474" t="s">
        <v>2640</v>
      </c>
      <c r="S31" s="1634" t="s">
        <v>6032</v>
      </c>
      <c r="T31" s="474"/>
      <c r="U31" s="474"/>
      <c r="V31" s="474"/>
      <c r="W31" s="474"/>
      <c r="X31" s="474"/>
      <c r="Y31" s="474"/>
      <c r="Z31" s="474"/>
      <c r="AA31" s="474"/>
      <c r="AB31" s="474"/>
      <c r="AC31" s="474"/>
      <c r="AD31" s="474"/>
      <c r="AE31" s="474"/>
      <c r="AF31" s="474"/>
      <c r="AG31" s="474"/>
      <c r="AH31" s="474"/>
      <c r="AI31" s="474"/>
      <c r="AJ31" s="474"/>
      <c r="AK31" s="474"/>
      <c r="AL31" s="474"/>
      <c r="AM31" s="474"/>
      <c r="AN31" s="1532" t="s">
        <v>6033</v>
      </c>
    </row>
    <row r="32" spans="8:40" x14ac:dyDescent="0.25">
      <c r="H32" s="474" t="s">
        <v>6034</v>
      </c>
      <c r="I32" s="474"/>
      <c r="J32" s="474"/>
      <c r="K32" s="474"/>
      <c r="L32" s="474"/>
      <c r="M32" s="474"/>
      <c r="N32" s="474"/>
      <c r="O32" s="474"/>
      <c r="P32" s="474"/>
      <c r="Q32" s="474"/>
      <c r="R32" s="474" t="s">
        <v>2639</v>
      </c>
      <c r="S32" s="1634" t="s">
        <v>6035</v>
      </c>
      <c r="T32" s="474"/>
      <c r="U32" s="474"/>
      <c r="V32" s="474"/>
      <c r="W32" s="474"/>
      <c r="X32" s="474"/>
      <c r="Y32" s="474"/>
      <c r="Z32" s="474"/>
      <c r="AA32" s="474"/>
      <c r="AB32" s="474"/>
      <c r="AC32" s="474"/>
      <c r="AD32" s="474"/>
      <c r="AE32" s="474"/>
      <c r="AF32" s="474"/>
      <c r="AG32" s="474"/>
      <c r="AH32" s="474"/>
      <c r="AI32" s="474"/>
      <c r="AJ32" s="474"/>
      <c r="AK32" s="474"/>
      <c r="AL32" s="474"/>
      <c r="AM32" s="474"/>
      <c r="AN32" s="1532" t="s">
        <v>6036</v>
      </c>
    </row>
    <row r="33" spans="8:19" x14ac:dyDescent="0.25">
      <c r="H33" s="474"/>
      <c r="I33" s="474"/>
      <c r="J33" s="474"/>
      <c r="K33" s="474"/>
      <c r="L33" s="474"/>
      <c r="M33" s="474"/>
      <c r="N33" s="474"/>
      <c r="O33" s="474"/>
      <c r="P33" s="474"/>
      <c r="Q33" s="474"/>
      <c r="R33" s="474" t="s">
        <v>3000</v>
      </c>
      <c r="S33" s="1634" t="s">
        <v>6037</v>
      </c>
    </row>
    <row r="34" spans="8:19" x14ac:dyDescent="0.25">
      <c r="H34" s="610" t="s">
        <v>1619</v>
      </c>
      <c r="I34" s="474"/>
      <c r="J34" s="474"/>
      <c r="K34" s="474"/>
      <c r="L34" s="474"/>
      <c r="M34" s="474"/>
      <c r="N34" s="474"/>
      <c r="O34" s="474"/>
      <c r="P34" s="474"/>
      <c r="Q34" s="474"/>
      <c r="R34" s="474" t="s">
        <v>6014</v>
      </c>
      <c r="S34" s="1634" t="s">
        <v>6038</v>
      </c>
    </row>
    <row r="35" spans="8:19" x14ac:dyDescent="0.25">
      <c r="H35" s="474" t="s">
        <v>1614</v>
      </c>
      <c r="I35" s="474"/>
      <c r="J35" s="474"/>
      <c r="K35" s="474"/>
      <c r="L35" s="474"/>
      <c r="M35" s="474"/>
      <c r="N35" s="474"/>
      <c r="O35" s="474"/>
      <c r="P35" s="474"/>
      <c r="Q35" s="474"/>
      <c r="R35" s="474"/>
      <c r="S35" s="1634" t="s">
        <v>6039</v>
      </c>
    </row>
    <row r="36" spans="8:19" x14ac:dyDescent="0.25">
      <c r="H36" s="474" t="s">
        <v>394</v>
      </c>
      <c r="I36" s="474"/>
      <c r="J36" s="474"/>
      <c r="K36" s="474"/>
      <c r="L36" s="474"/>
      <c r="M36" s="474"/>
      <c r="N36" s="474"/>
      <c r="O36" s="474"/>
      <c r="P36" s="474"/>
      <c r="Q36" s="474"/>
      <c r="R36" s="610" t="s">
        <v>6040</v>
      </c>
      <c r="S36" s="1634" t="s">
        <v>6041</v>
      </c>
    </row>
    <row r="37" spans="8:19" x14ac:dyDescent="0.25">
      <c r="H37" s="474" t="s">
        <v>1636</v>
      </c>
      <c r="I37" s="474"/>
      <c r="J37" s="474"/>
      <c r="K37" s="474"/>
      <c r="L37" s="474"/>
      <c r="M37" s="474"/>
      <c r="N37" s="474"/>
      <c r="O37" s="474"/>
      <c r="P37" s="474"/>
      <c r="Q37" s="474"/>
      <c r="R37" s="474" t="s">
        <v>1801</v>
      </c>
      <c r="S37" s="1634" t="s">
        <v>6042</v>
      </c>
    </row>
    <row r="38" spans="8:19" x14ac:dyDescent="0.25">
      <c r="H38" s="474" t="s">
        <v>434</v>
      </c>
      <c r="I38" s="474"/>
      <c r="J38" s="474"/>
      <c r="K38" s="474"/>
      <c r="L38" s="474"/>
      <c r="M38" s="474"/>
      <c r="N38" s="474"/>
      <c r="O38" s="474"/>
      <c r="P38" s="474"/>
      <c r="Q38" s="474"/>
      <c r="R38" s="474" t="s">
        <v>6043</v>
      </c>
      <c r="S38" s="1634" t="s">
        <v>6044</v>
      </c>
    </row>
    <row r="39" spans="8:19" x14ac:dyDescent="0.25">
      <c r="H39" s="474" t="s">
        <v>1638</v>
      </c>
      <c r="I39" s="474"/>
      <c r="J39" s="474"/>
      <c r="K39" s="474"/>
      <c r="L39" s="474"/>
      <c r="M39" s="474"/>
      <c r="N39" s="474"/>
      <c r="O39" s="474"/>
      <c r="P39" s="474"/>
      <c r="Q39" s="474"/>
      <c r="R39" s="474" t="s">
        <v>2693</v>
      </c>
      <c r="S39" s="1634" t="s">
        <v>6045</v>
      </c>
    </row>
    <row r="40" spans="8:19" x14ac:dyDescent="0.25">
      <c r="H40" s="474" t="s">
        <v>2757</v>
      </c>
      <c r="I40" s="474"/>
      <c r="J40" s="474"/>
      <c r="K40" s="474"/>
      <c r="L40" s="474"/>
      <c r="M40" s="474"/>
      <c r="N40" s="474"/>
      <c r="O40" s="474"/>
      <c r="P40" s="474"/>
      <c r="Q40" s="474"/>
      <c r="R40" s="474" t="s">
        <v>2694</v>
      </c>
      <c r="S40" s="1634" t="s">
        <v>6046</v>
      </c>
    </row>
    <row r="41" spans="8:19" x14ac:dyDescent="0.25">
      <c r="H41" s="474" t="s">
        <v>5969</v>
      </c>
      <c r="I41" s="474"/>
      <c r="J41" s="474"/>
      <c r="K41" s="474"/>
      <c r="L41" s="474"/>
      <c r="M41" s="474"/>
      <c r="N41" s="474"/>
      <c r="O41" s="474"/>
      <c r="P41" s="474"/>
      <c r="Q41" s="474"/>
      <c r="R41" s="474" t="s">
        <v>6047</v>
      </c>
      <c r="S41" s="1634" t="s">
        <v>6048</v>
      </c>
    </row>
    <row r="42" spans="8:19" x14ac:dyDescent="0.25">
      <c r="H42" s="474" t="s">
        <v>5975</v>
      </c>
      <c r="I42" s="474"/>
      <c r="J42" s="474"/>
      <c r="K42" s="474"/>
      <c r="L42" s="474"/>
      <c r="M42" s="474"/>
      <c r="N42" s="474"/>
      <c r="O42" s="474"/>
      <c r="P42" s="474"/>
      <c r="Q42" s="474"/>
      <c r="R42" s="474" t="s">
        <v>3377</v>
      </c>
      <c r="S42" s="1634" t="s">
        <v>6049</v>
      </c>
    </row>
    <row r="43" spans="8:19" x14ac:dyDescent="0.25">
      <c r="H43" s="474" t="s">
        <v>827</v>
      </c>
      <c r="I43" s="474"/>
      <c r="J43" s="474"/>
      <c r="K43" s="474"/>
      <c r="L43" s="474"/>
      <c r="M43" s="474"/>
      <c r="N43" s="474"/>
      <c r="O43" s="474"/>
      <c r="P43" s="474"/>
      <c r="Q43" s="474"/>
      <c r="R43" s="474" t="s">
        <v>6050</v>
      </c>
      <c r="S43" s="1634" t="s">
        <v>6051</v>
      </c>
    </row>
    <row r="44" spans="8:19" x14ac:dyDescent="0.25">
      <c r="H44" s="474" t="s">
        <v>5985</v>
      </c>
      <c r="I44" s="474"/>
      <c r="J44" s="474"/>
      <c r="K44" s="474"/>
      <c r="L44" s="474"/>
      <c r="M44" s="474"/>
      <c r="N44" s="474"/>
      <c r="O44" s="474"/>
      <c r="P44" s="474"/>
      <c r="Q44" s="474"/>
      <c r="R44" s="474" t="s">
        <v>3379</v>
      </c>
      <c r="S44" s="1634" t="s">
        <v>6052</v>
      </c>
    </row>
    <row r="45" spans="8:19" x14ac:dyDescent="0.25">
      <c r="H45" s="474" t="s">
        <v>5988</v>
      </c>
      <c r="I45" s="474"/>
      <c r="J45" s="474"/>
      <c r="K45" s="474"/>
      <c r="L45" s="474"/>
      <c r="M45" s="474"/>
      <c r="N45" s="474"/>
      <c r="O45" s="474"/>
      <c r="P45" s="474"/>
      <c r="Q45" s="474"/>
      <c r="R45" s="474" t="s">
        <v>3386</v>
      </c>
      <c r="S45" s="1634" t="s">
        <v>6053</v>
      </c>
    </row>
    <row r="46" spans="8:19" x14ac:dyDescent="0.25">
      <c r="H46" s="474" t="s">
        <v>456</v>
      </c>
      <c r="I46" s="474"/>
      <c r="J46" s="474"/>
      <c r="K46" s="474"/>
      <c r="L46" s="474"/>
      <c r="M46" s="474"/>
      <c r="N46" s="474"/>
      <c r="O46" s="474"/>
      <c r="P46" s="474"/>
      <c r="Q46" s="474"/>
      <c r="R46" s="474" t="s">
        <v>2708</v>
      </c>
      <c r="S46" s="1634" t="s">
        <v>6054</v>
      </c>
    </row>
    <row r="47" spans="8:19" x14ac:dyDescent="0.25">
      <c r="H47" s="474" t="s">
        <v>6055</v>
      </c>
      <c r="I47" s="474"/>
      <c r="J47" s="474"/>
      <c r="K47" s="474"/>
      <c r="L47" s="474"/>
      <c r="M47" s="474"/>
      <c r="N47" s="474"/>
      <c r="O47" s="474"/>
      <c r="P47" s="474"/>
      <c r="Q47" s="474"/>
      <c r="R47" s="474" t="s">
        <v>6056</v>
      </c>
      <c r="S47" s="1634" t="s">
        <v>6057</v>
      </c>
    </row>
    <row r="48" spans="8:19" x14ac:dyDescent="0.25">
      <c r="H48" s="474"/>
      <c r="I48" s="474"/>
      <c r="J48" s="474"/>
      <c r="K48" s="474"/>
      <c r="L48" s="474"/>
      <c r="M48" s="474"/>
      <c r="N48" s="474"/>
      <c r="O48" s="474"/>
      <c r="P48" s="474"/>
      <c r="Q48" s="474"/>
      <c r="R48" s="474" t="s">
        <v>6058</v>
      </c>
      <c r="S48" s="1634" t="s">
        <v>6059</v>
      </c>
    </row>
    <row r="49" spans="8:19" x14ac:dyDescent="0.25">
      <c r="H49" s="2288" t="s">
        <v>1599</v>
      </c>
      <c r="I49" s="474"/>
      <c r="J49" s="474"/>
      <c r="K49" s="474"/>
      <c r="L49" s="474"/>
      <c r="M49" s="474"/>
      <c r="N49" s="474"/>
      <c r="O49" s="474"/>
      <c r="P49" s="474"/>
      <c r="Q49" s="474"/>
      <c r="R49" s="474" t="s">
        <v>6060</v>
      </c>
      <c r="S49" s="1634" t="s">
        <v>6061</v>
      </c>
    </row>
    <row r="50" spans="8:19" x14ac:dyDescent="0.25">
      <c r="H50" s="474" t="s">
        <v>1654</v>
      </c>
      <c r="I50" s="474"/>
      <c r="J50" s="474"/>
      <c r="K50" s="474"/>
      <c r="L50" s="474"/>
      <c r="M50" s="474"/>
      <c r="N50" s="474"/>
      <c r="O50" s="474"/>
      <c r="P50" s="474"/>
      <c r="Q50" s="474"/>
      <c r="R50" s="474" t="s">
        <v>6062</v>
      </c>
      <c r="S50" s="1634" t="s">
        <v>6063</v>
      </c>
    </row>
    <row r="51" spans="8:19" x14ac:dyDescent="0.25">
      <c r="H51" s="474" t="s">
        <v>1614</v>
      </c>
      <c r="I51" s="474"/>
      <c r="J51" s="474"/>
      <c r="K51" s="474"/>
      <c r="L51" s="474"/>
      <c r="M51" s="474"/>
      <c r="N51" s="474"/>
      <c r="O51" s="474"/>
      <c r="P51" s="474"/>
      <c r="Q51" s="474"/>
      <c r="R51" s="474" t="s">
        <v>2710</v>
      </c>
      <c r="S51" s="474"/>
    </row>
    <row r="52" spans="8:19" x14ac:dyDescent="0.25">
      <c r="H52" s="474" t="s">
        <v>1638</v>
      </c>
      <c r="I52" s="474"/>
      <c r="J52" s="474"/>
      <c r="K52" s="474"/>
      <c r="L52" s="474"/>
      <c r="M52" s="474"/>
      <c r="N52" s="474"/>
      <c r="O52" s="474"/>
      <c r="P52" s="474"/>
      <c r="Q52" s="474"/>
      <c r="R52" s="474" t="s">
        <v>6064</v>
      </c>
      <c r="S52" s="474"/>
    </row>
    <row r="53" spans="8:19" x14ac:dyDescent="0.25">
      <c r="H53" s="474" t="s">
        <v>5969</v>
      </c>
      <c r="I53" s="474"/>
      <c r="J53" s="474"/>
      <c r="K53" s="474"/>
      <c r="L53" s="474"/>
      <c r="M53" s="474"/>
      <c r="N53" s="474"/>
      <c r="O53" s="474"/>
      <c r="P53" s="474"/>
      <c r="Q53" s="474"/>
      <c r="R53" s="474" t="s">
        <v>6065</v>
      </c>
      <c r="S53" s="474"/>
    </row>
    <row r="54" spans="8:19" x14ac:dyDescent="0.25">
      <c r="H54" s="474"/>
      <c r="I54" s="474"/>
      <c r="J54" s="474"/>
      <c r="K54" s="474"/>
      <c r="L54" s="474"/>
      <c r="M54" s="474"/>
      <c r="N54" s="474"/>
      <c r="O54" s="474"/>
      <c r="P54" s="474"/>
      <c r="Q54" s="474"/>
      <c r="R54" s="474" t="s">
        <v>2706</v>
      </c>
      <c r="S54" s="474"/>
    </row>
    <row r="55" spans="8:19" x14ac:dyDescent="0.25">
      <c r="H55" s="474"/>
      <c r="I55" s="474"/>
      <c r="J55" s="474"/>
      <c r="K55" s="474"/>
      <c r="L55" s="474"/>
      <c r="M55" s="474"/>
      <c r="N55" s="474"/>
      <c r="O55" s="474"/>
      <c r="P55" s="474"/>
      <c r="Q55" s="474"/>
      <c r="R55" s="474"/>
      <c r="S55" s="474"/>
    </row>
    <row r="56" spans="8:19" x14ac:dyDescent="0.25">
      <c r="H56" s="474"/>
      <c r="I56" s="474"/>
      <c r="J56" s="474"/>
      <c r="K56" s="474"/>
      <c r="L56" s="474"/>
      <c r="M56" s="474"/>
      <c r="N56" s="474"/>
      <c r="O56" s="474"/>
      <c r="P56" s="474"/>
      <c r="Q56" s="474"/>
      <c r="R56" s="610" t="s">
        <v>6066</v>
      </c>
      <c r="S56" s="474"/>
    </row>
    <row r="57" spans="8:19" x14ac:dyDescent="0.25">
      <c r="H57" s="474"/>
      <c r="I57" s="474"/>
      <c r="J57" s="474"/>
      <c r="K57" s="474"/>
      <c r="L57" s="474"/>
      <c r="M57" s="474"/>
      <c r="N57" s="474"/>
      <c r="O57" s="474"/>
      <c r="P57" s="474"/>
      <c r="Q57" s="474"/>
      <c r="R57" s="474" t="s">
        <v>1801</v>
      </c>
      <c r="S57" s="474"/>
    </row>
    <row r="58" spans="8:19" x14ac:dyDescent="0.25">
      <c r="H58" s="474"/>
      <c r="I58" s="474"/>
      <c r="J58" s="474"/>
      <c r="K58" s="474"/>
      <c r="L58" s="474"/>
      <c r="M58" s="474"/>
      <c r="N58" s="474"/>
      <c r="O58" s="474"/>
      <c r="P58" s="474"/>
      <c r="Q58" s="474"/>
      <c r="R58" s="474" t="s">
        <v>6043</v>
      </c>
      <c r="S58" s="474"/>
    </row>
    <row r="59" spans="8:19" x14ac:dyDescent="0.25">
      <c r="H59" s="474"/>
      <c r="I59" s="474"/>
      <c r="J59" s="474"/>
      <c r="K59" s="474"/>
      <c r="L59" s="474"/>
      <c r="M59" s="474"/>
      <c r="N59" s="474"/>
      <c r="O59" s="474"/>
      <c r="P59" s="474"/>
      <c r="Q59" s="474"/>
      <c r="R59" s="474" t="s">
        <v>6067</v>
      </c>
      <c r="S59" s="474"/>
    </row>
    <row r="60" spans="8:19" x14ac:dyDescent="0.25">
      <c r="H60" s="474"/>
      <c r="I60" s="474"/>
      <c r="J60" s="474"/>
      <c r="K60" s="474"/>
      <c r="L60" s="474"/>
      <c r="M60" s="474"/>
      <c r="N60" s="474"/>
      <c r="O60" s="474"/>
      <c r="P60" s="474"/>
      <c r="Q60" s="474"/>
      <c r="R60" s="474" t="s">
        <v>1028</v>
      </c>
      <c r="S60" s="474"/>
    </row>
    <row r="61" spans="8:19" x14ac:dyDescent="0.25">
      <c r="H61" s="474"/>
      <c r="I61" s="474"/>
      <c r="J61" s="474"/>
      <c r="K61" s="474"/>
      <c r="L61" s="474"/>
      <c r="M61" s="474"/>
      <c r="N61" s="474"/>
      <c r="O61" s="474"/>
      <c r="P61" s="474"/>
      <c r="Q61" s="474"/>
      <c r="R61" s="474" t="s">
        <v>6068</v>
      </c>
      <c r="S61" s="474"/>
    </row>
    <row r="62" spans="8:19" x14ac:dyDescent="0.25">
      <c r="H62" s="474"/>
      <c r="I62" s="474"/>
      <c r="J62" s="474"/>
      <c r="K62" s="474"/>
      <c r="L62" s="474"/>
      <c r="M62" s="474"/>
      <c r="N62" s="474"/>
      <c r="O62" s="474"/>
      <c r="P62" s="474"/>
      <c r="Q62" s="474"/>
      <c r="R62" s="474" t="s">
        <v>6050</v>
      </c>
      <c r="S62" s="474"/>
    </row>
    <row r="63" spans="8:19" x14ac:dyDescent="0.25">
      <c r="H63" s="474"/>
      <c r="I63" s="474"/>
      <c r="J63" s="474"/>
      <c r="K63" s="474"/>
      <c r="L63" s="474"/>
      <c r="M63" s="474"/>
      <c r="N63" s="474"/>
      <c r="O63" s="474"/>
      <c r="P63" s="474"/>
      <c r="Q63" s="474"/>
      <c r="R63" s="474" t="s">
        <v>6056</v>
      </c>
      <c r="S63" s="474"/>
    </row>
    <row r="64" spans="8:19" x14ac:dyDescent="0.25">
      <c r="H64" s="474"/>
      <c r="I64" s="474"/>
      <c r="J64" s="474"/>
      <c r="K64" s="474"/>
      <c r="L64" s="474"/>
      <c r="M64" s="474"/>
      <c r="N64" s="474"/>
      <c r="O64" s="474"/>
      <c r="P64" s="474"/>
      <c r="Q64" s="474"/>
      <c r="R64" s="474" t="s">
        <v>6069</v>
      </c>
      <c r="S64" s="474"/>
    </row>
    <row r="65" spans="18:18" x14ac:dyDescent="0.25">
      <c r="R65" s="474" t="s">
        <v>6060</v>
      </c>
    </row>
    <row r="66" spans="18:18" x14ac:dyDescent="0.25">
      <c r="R66" s="474" t="s">
        <v>6062</v>
      </c>
    </row>
    <row r="67" spans="18:18" x14ac:dyDescent="0.25">
      <c r="R67" s="474" t="s">
        <v>6064</v>
      </c>
    </row>
    <row r="68" spans="18:18" x14ac:dyDescent="0.25">
      <c r="R68" s="474" t="s">
        <v>6065</v>
      </c>
    </row>
    <row r="69" spans="18:18" x14ac:dyDescent="0.25">
      <c r="R69" s="474" t="s">
        <v>1051</v>
      </c>
    </row>
    <row r="70" spans="18:18" x14ac:dyDescent="0.25">
      <c r="R70" s="474" t="s">
        <v>5414</v>
      </c>
    </row>
    <row r="72" spans="18:18" x14ac:dyDescent="0.25">
      <c r="R72" s="610" t="s">
        <v>1805</v>
      </c>
    </row>
    <row r="73" spans="18:18" x14ac:dyDescent="0.25">
      <c r="R73" s="474" t="s">
        <v>1801</v>
      </c>
    </row>
    <row r="74" spans="18:18" x14ac:dyDescent="0.25">
      <c r="R74" s="474" t="s">
        <v>2092</v>
      </c>
    </row>
    <row r="75" spans="18:18" x14ac:dyDescent="0.25">
      <c r="R75" s="474" t="s">
        <v>2687</v>
      </c>
    </row>
    <row r="76" spans="18:18" x14ac:dyDescent="0.25">
      <c r="R76" s="474" t="s">
        <v>2094</v>
      </c>
    </row>
    <row r="77" spans="18:18" x14ac:dyDescent="0.25">
      <c r="R77" s="474" t="s">
        <v>6070</v>
      </c>
    </row>
    <row r="78" spans="18:18" x14ac:dyDescent="0.25">
      <c r="R78" s="474" t="s">
        <v>6071</v>
      </c>
    </row>
    <row r="81" spans="18:18" x14ac:dyDescent="0.25">
      <c r="R81" s="610" t="s">
        <v>1808</v>
      </c>
    </row>
    <row r="82" spans="18:18" x14ac:dyDescent="0.25">
      <c r="R82" s="474" t="s">
        <v>1801</v>
      </c>
    </row>
    <row r="83" spans="18:18" x14ac:dyDescent="0.25">
      <c r="R83" s="474" t="s">
        <v>2110</v>
      </c>
    </row>
    <row r="84" spans="18:18" x14ac:dyDescent="0.25">
      <c r="R84" s="474" t="s">
        <v>2109</v>
      </c>
    </row>
    <row r="85" spans="18:18" x14ac:dyDescent="0.25">
      <c r="R85" s="474" t="s">
        <v>2751</v>
      </c>
    </row>
    <row r="86" spans="18:18" x14ac:dyDescent="0.25">
      <c r="R86" s="474" t="s">
        <v>2111</v>
      </c>
    </row>
    <row r="87" spans="18:18" x14ac:dyDescent="0.25">
      <c r="R87" s="474" t="s">
        <v>6072</v>
      </c>
    </row>
    <row r="88" spans="18:18" x14ac:dyDescent="0.25">
      <c r="R88" s="474" t="s">
        <v>6073</v>
      </c>
    </row>
  </sheetData>
  <sheetProtection algorithmName="SHA-512" hashValue="zrlaK6aTl856bci+F79zaIHe2tCK3n96cw6fJ0ILGkfU/RE8clFtr8yV0w0QNtjzXOB6x+pn8xIBHOPVvfRkJg==" saltValue="80/9TuhHbGzVrNcR35ThmA==" spinCount="100000" sheet="1" objects="1" scenarios="1" autoFilter="0"/>
  <sortState xmlns:xlrd2="http://schemas.microsoft.com/office/spreadsheetml/2017/richdata2" ref="AN4:AN32">
    <sortCondition ref="AN4:AN32"/>
  </sortState>
  <customSheetViews>
    <customSheetView guid="{9FCFC836-1CA5-48BF-958D-24D2EA94B219}">
      <selection activeCell="J18" sqref="J18"/>
      <pageMargins left="0" right="0" top="0" bottom="0" header="0" footer="0"/>
      <pageSetup orientation="portrait" r:id="rId1"/>
      <headerFooter alignWithMargins="0"/>
    </customSheetView>
    <customSheetView guid="{B08879A4-635B-4C39-9937-AC7883D562FC}">
      <selection activeCell="J18" sqref="J18"/>
      <pageMargins left="0" right="0" top="0" bottom="0" header="0" footer="0"/>
      <pageSetup orientation="portrait" r:id="rId2"/>
      <headerFooter alignWithMargins="0"/>
    </customSheetView>
  </customSheetViews>
  <mergeCells count="2">
    <mergeCell ref="B1:C1"/>
    <mergeCell ref="D1:E1"/>
  </mergeCells>
  <phoneticPr fontId="16" type="noConversion"/>
  <pageMargins left="0.75" right="0.75" top="1" bottom="1" header="0.5" footer="0.5"/>
  <pageSetup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0D235C23C62C4AAE627F383E557377" ma:contentTypeVersion="4" ma:contentTypeDescription="Create a new document." ma:contentTypeScope="" ma:versionID="1cd993677cfb062a429f82df038f6ae5">
  <xsd:schema xmlns:xsd="http://www.w3.org/2001/XMLSchema" xmlns:xs="http://www.w3.org/2001/XMLSchema" xmlns:p="http://schemas.microsoft.com/office/2006/metadata/properties" xmlns:ns2="e59e0281-2642-4481-815c-2837cd88085a" xmlns:ns3="7b682e66-685e-4e9b-8b84-8a1dd957f27a" targetNamespace="http://schemas.microsoft.com/office/2006/metadata/properties" ma:root="true" ma:fieldsID="9c57357e7256565f138428f9e016629f" ns2:_="" ns3:_="">
    <xsd:import namespace="e59e0281-2642-4481-815c-2837cd88085a"/>
    <xsd:import namespace="7b682e66-685e-4e9b-8b84-8a1dd957f2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9e0281-2642-4481-815c-2837cd880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682e66-685e-4e9b-8b84-8a1dd957f2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079852-69A9-4D76-9AAB-648CFE51942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BABE8E-CB51-44B4-8479-18FB7C920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9e0281-2642-4481-815c-2837cd88085a"/>
    <ds:schemaRef ds:uri="7b682e66-685e-4e9b-8b84-8a1dd957f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019597-C2B2-4618-A284-6DEBD2206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109</vt:i4>
      </vt:variant>
      <vt:variant>
        <vt:lpstr>Named Ranges</vt:lpstr>
      </vt:variant>
      <vt:variant>
        <vt:i4>254</vt:i4>
      </vt:variant>
    </vt:vector>
  </HeadingPairs>
  <TitlesOfParts>
    <vt:vector size="363" baseType="lpstr">
      <vt:lpstr>Instruct</vt:lpstr>
      <vt:lpstr>Pkg Updates</vt:lpstr>
      <vt:lpstr>Index</vt:lpstr>
      <vt:lpstr>Dashboard</vt:lpstr>
      <vt:lpstr>101</vt:lpstr>
      <vt:lpstr>105</vt:lpstr>
      <vt:lpstr>110</vt:lpstr>
      <vt:lpstr>202</vt:lpstr>
      <vt:lpstr>120</vt:lpstr>
      <vt:lpstr>201</vt:lpstr>
      <vt:lpstr>203</vt:lpstr>
      <vt:lpstr>210</vt:lpstr>
      <vt:lpstr>215</vt:lpstr>
      <vt:lpstr>220</vt:lpstr>
      <vt:lpstr>301</vt:lpstr>
      <vt:lpstr>302</vt:lpstr>
      <vt:lpstr>303</vt:lpstr>
      <vt:lpstr>305</vt:lpstr>
      <vt:lpstr>310</vt:lpstr>
      <vt:lpstr>315</vt:lpstr>
      <vt:lpstr>320</vt:lpstr>
      <vt:lpstr>322</vt:lpstr>
      <vt:lpstr>323</vt:lpstr>
      <vt:lpstr>325</vt:lpstr>
      <vt:lpstr>330</vt:lpstr>
      <vt:lpstr>338</vt:lpstr>
      <vt:lpstr>340</vt:lpstr>
      <vt:lpstr>341</vt:lpstr>
      <vt:lpstr>342</vt:lpstr>
      <vt:lpstr>345</vt:lpstr>
      <vt:lpstr>350</vt:lpstr>
      <vt:lpstr>355</vt:lpstr>
      <vt:lpstr>365</vt:lpstr>
      <vt:lpstr>370</vt:lpstr>
      <vt:lpstr>375-A</vt:lpstr>
      <vt:lpstr>375-B</vt:lpstr>
      <vt:lpstr>401</vt:lpstr>
      <vt:lpstr>405</vt:lpstr>
      <vt:lpstr>410</vt:lpstr>
      <vt:lpstr>415</vt:lpstr>
      <vt:lpstr>420</vt:lpstr>
      <vt:lpstr>425</vt:lpstr>
      <vt:lpstr>430G</vt:lpstr>
      <vt:lpstr>430BTA</vt:lpstr>
      <vt:lpstr>430F</vt:lpstr>
      <vt:lpstr>431G</vt:lpstr>
      <vt:lpstr>431BTA</vt:lpstr>
      <vt:lpstr>501</vt:lpstr>
      <vt:lpstr>505</vt:lpstr>
      <vt:lpstr>510</vt:lpstr>
      <vt:lpstr>515</vt:lpstr>
      <vt:lpstr>520</vt:lpstr>
      <vt:lpstr>525</vt:lpstr>
      <vt:lpstr>530</vt:lpstr>
      <vt:lpstr>535</vt:lpstr>
      <vt:lpstr>540</vt:lpstr>
      <vt:lpstr>545</vt:lpstr>
      <vt:lpstr>546</vt:lpstr>
      <vt:lpstr>550</vt:lpstr>
      <vt:lpstr>555</vt:lpstr>
      <vt:lpstr>560</vt:lpstr>
      <vt:lpstr>565</vt:lpstr>
      <vt:lpstr>570</vt:lpstr>
      <vt:lpstr>602</vt:lpstr>
      <vt:lpstr>605</vt:lpstr>
      <vt:lpstr>610</vt:lpstr>
      <vt:lpstr>615</vt:lpstr>
      <vt:lpstr>616</vt:lpstr>
      <vt:lpstr>620</vt:lpstr>
      <vt:lpstr>625</vt:lpstr>
      <vt:lpstr>635</vt:lpstr>
      <vt:lpstr>640</vt:lpstr>
      <vt:lpstr>705</vt:lpstr>
      <vt:lpstr>710</vt:lpstr>
      <vt:lpstr>715</vt:lpstr>
      <vt:lpstr>720</vt:lpstr>
      <vt:lpstr>725</vt:lpstr>
      <vt:lpstr>730</vt:lpstr>
      <vt:lpstr>735</vt:lpstr>
      <vt:lpstr>740</vt:lpstr>
      <vt:lpstr>745</vt:lpstr>
      <vt:lpstr>755</vt:lpstr>
      <vt:lpstr>756</vt:lpstr>
      <vt:lpstr>760</vt:lpstr>
      <vt:lpstr>765</vt:lpstr>
      <vt:lpstr>905</vt:lpstr>
      <vt:lpstr>For 905-NCAS Acct Roll-up</vt:lpstr>
      <vt:lpstr>905Hosp</vt:lpstr>
      <vt:lpstr>906-6B</vt:lpstr>
      <vt:lpstr>906-6C</vt:lpstr>
      <vt:lpstr>906-6BC</vt:lpstr>
      <vt:lpstr>907</vt:lpstr>
      <vt:lpstr>908</vt:lpstr>
      <vt:lpstr>910</vt:lpstr>
      <vt:lpstr>910Hosp</vt:lpstr>
      <vt:lpstr>911-6B</vt:lpstr>
      <vt:lpstr>911-6C</vt:lpstr>
      <vt:lpstr>Explanations</vt:lpstr>
      <vt:lpstr>Comments</vt:lpstr>
      <vt:lpstr>Agencies</vt:lpstr>
      <vt:lpstr>Functional</vt:lpstr>
      <vt:lpstr>NetPosition</vt:lpstr>
      <vt:lpstr>PriorYr905</vt:lpstr>
      <vt:lpstr>PriorYr906</vt:lpstr>
      <vt:lpstr>All Agencies</vt:lpstr>
      <vt:lpstr>OSC Analysts</vt:lpstr>
      <vt:lpstr>Data</vt:lpstr>
      <vt:lpstr>Errors</vt:lpstr>
      <vt:lpstr>Notes</vt:lpstr>
      <vt:lpstr>__Agy301</vt:lpstr>
      <vt:lpstr>__AGY305</vt:lpstr>
      <vt:lpstr>__AGY310</vt:lpstr>
      <vt:lpstr>__Agy501</vt:lpstr>
      <vt:lpstr>__Agy510</vt:lpstr>
      <vt:lpstr>__Agy515</vt:lpstr>
      <vt:lpstr>__Agy520</vt:lpstr>
      <vt:lpstr>__Agy525</vt:lpstr>
      <vt:lpstr>__Agy530</vt:lpstr>
      <vt:lpstr>__FMD320</vt:lpstr>
      <vt:lpstr>__OID320</vt:lpstr>
      <vt:lpstr>__TO320</vt:lpstr>
      <vt:lpstr>_AGY201</vt:lpstr>
      <vt:lpstr>_AGY210</vt:lpstr>
      <vt:lpstr>_Agy301</vt:lpstr>
      <vt:lpstr>_Agy302</vt:lpstr>
      <vt:lpstr>_AGY305</vt:lpstr>
      <vt:lpstr>_AGY310</vt:lpstr>
      <vt:lpstr>'315'!_AGY315</vt:lpstr>
      <vt:lpstr>_AGY320</vt:lpstr>
      <vt:lpstr>_AGY325</vt:lpstr>
      <vt:lpstr>_Agy501</vt:lpstr>
      <vt:lpstr>_Agy510</vt:lpstr>
      <vt:lpstr>_Agy515</vt:lpstr>
      <vt:lpstr>_Agy520</vt:lpstr>
      <vt:lpstr>_Agy525</vt:lpstr>
      <vt:lpstr>_Agy530</vt:lpstr>
      <vt:lpstr>_Agy535</vt:lpstr>
      <vt:lpstr>_Agy710</vt:lpstr>
      <vt:lpstr>_Agy720</vt:lpstr>
      <vt:lpstr>_COL201</vt:lpstr>
      <vt:lpstr>_COL210</vt:lpstr>
      <vt:lpstr>_COL305</vt:lpstr>
      <vt:lpstr>_COL310</vt:lpstr>
      <vt:lpstr>'315'!_COL315</vt:lpstr>
      <vt:lpstr>_COL320</vt:lpstr>
      <vt:lpstr>_COL325</vt:lpstr>
      <vt:lpstr>_Col705</vt:lpstr>
      <vt:lpstr>_Col710</vt:lpstr>
      <vt:lpstr>_Col715</vt:lpstr>
      <vt:lpstr>_Col720</vt:lpstr>
      <vt:lpstr>_Col725</vt:lpstr>
      <vt:lpstr>_Col735</vt:lpstr>
      <vt:lpstr>_Col740</vt:lpstr>
      <vt:lpstr>_Col745</vt:lpstr>
      <vt:lpstr>_Col755</vt:lpstr>
      <vt:lpstr>_Data725</vt:lpstr>
      <vt:lpstr>'315'!_FMD315</vt:lpstr>
      <vt:lpstr>_FMD320</vt:lpstr>
      <vt:lpstr>'315'!_OID315</vt:lpstr>
      <vt:lpstr>_OID320</vt:lpstr>
      <vt:lpstr>_ROW201</vt:lpstr>
      <vt:lpstr>_ROW210</vt:lpstr>
      <vt:lpstr>_ROW305</vt:lpstr>
      <vt:lpstr>_ROW310</vt:lpstr>
      <vt:lpstr>'315'!_ROW315</vt:lpstr>
      <vt:lpstr>_ROW320</vt:lpstr>
      <vt:lpstr>_ROW325</vt:lpstr>
      <vt:lpstr>_Row705</vt:lpstr>
      <vt:lpstr>_Row710</vt:lpstr>
      <vt:lpstr>_Row715</vt:lpstr>
      <vt:lpstr>_Row720</vt:lpstr>
      <vt:lpstr>_Row725</vt:lpstr>
      <vt:lpstr>_Row735</vt:lpstr>
      <vt:lpstr>_Row740</vt:lpstr>
      <vt:lpstr>_Row745</vt:lpstr>
      <vt:lpstr>_Row755</vt:lpstr>
      <vt:lpstr>'315'!_TO315</vt:lpstr>
      <vt:lpstr>_TO320</vt:lpstr>
      <vt:lpstr>a905a</vt:lpstr>
      <vt:lpstr>a905b</vt:lpstr>
      <vt:lpstr>a905c</vt:lpstr>
      <vt:lpstr>a905Data</vt:lpstr>
      <vt:lpstr>'905Hosp'!a905Ha</vt:lpstr>
      <vt:lpstr>'905Hosp'!a905Hb</vt:lpstr>
      <vt:lpstr>'905Hosp'!a905Hc</vt:lpstr>
      <vt:lpstr>a905HData</vt:lpstr>
      <vt:lpstr>AgyIdx</vt:lpstr>
      <vt:lpstr>AgyName</vt:lpstr>
      <vt:lpstr>AgyNum</vt:lpstr>
      <vt:lpstr>NetPosition!BeginningNetAssets</vt:lpstr>
      <vt:lpstr>compgasb</vt:lpstr>
      <vt:lpstr>compname</vt:lpstr>
      <vt:lpstr>compnum</vt:lpstr>
      <vt:lpstr>compnumtxt</vt:lpstr>
      <vt:lpstr>comptable</vt:lpstr>
      <vt:lpstr>ConcNum</vt:lpstr>
      <vt:lpstr>CurrentAssets</vt:lpstr>
      <vt:lpstr>CurrentLiabilities</vt:lpstr>
      <vt:lpstr>'201'!DATA201</vt:lpstr>
      <vt:lpstr>'210'!DATA210</vt:lpstr>
      <vt:lpstr>DATA305</vt:lpstr>
      <vt:lpstr>DATA310</vt:lpstr>
      <vt:lpstr>'315'!DATA315</vt:lpstr>
      <vt:lpstr>DATA320</vt:lpstr>
      <vt:lpstr>DATA325</vt:lpstr>
      <vt:lpstr>Data705</vt:lpstr>
      <vt:lpstr>Data710</vt:lpstr>
      <vt:lpstr>Data715</vt:lpstr>
      <vt:lpstr>Data720</vt:lpstr>
      <vt:lpstr>Data735</vt:lpstr>
      <vt:lpstr>Data740</vt:lpstr>
      <vt:lpstr>Data745</vt:lpstr>
      <vt:lpstr>Data755</vt:lpstr>
      <vt:lpstr>Deferredinflows</vt:lpstr>
      <vt:lpstr>DeferredOutflows</vt:lpstr>
      <vt:lpstr>Derivative</vt:lpstr>
      <vt:lpstr>ErrorCode</vt:lpstr>
      <vt:lpstr>ErrorKey</vt:lpstr>
      <vt:lpstr>ErrorTable</vt:lpstr>
      <vt:lpstr>FCCSent</vt:lpstr>
      <vt:lpstr>FCCSnum</vt:lpstr>
      <vt:lpstr>'315'!FROM315</vt:lpstr>
      <vt:lpstr>FROM320</vt:lpstr>
      <vt:lpstr>function</vt:lpstr>
      <vt:lpstr>functionA</vt:lpstr>
      <vt:lpstr>functionC</vt:lpstr>
      <vt:lpstr>Gasb510</vt:lpstr>
      <vt:lpstr>Gasb515</vt:lpstr>
      <vt:lpstr>Gasb520</vt:lpstr>
      <vt:lpstr>Gasb525</vt:lpstr>
      <vt:lpstr>Gasb530</vt:lpstr>
      <vt:lpstr>Gasb535</vt:lpstr>
      <vt:lpstr>hk</vt:lpstr>
      <vt:lpstr>IdxNa</vt:lpstr>
      <vt:lpstr>IdxSheetNum</vt:lpstr>
      <vt:lpstr>IdxTable</vt:lpstr>
      <vt:lpstr>LeaseCol301</vt:lpstr>
      <vt:lpstr>LeaseDat301</vt:lpstr>
      <vt:lpstr>LeaseRow301</vt:lpstr>
      <vt:lpstr>List505thru520</vt:lpstr>
      <vt:lpstr>Listfor525and530</vt:lpstr>
      <vt:lpstr>Listfor535</vt:lpstr>
      <vt:lpstr>NetAssetsData</vt:lpstr>
      <vt:lpstr>NetAssetsDataRow</vt:lpstr>
      <vt:lpstr>NoncurrentAssets</vt:lpstr>
      <vt:lpstr>NoncurrentLiabilities</vt:lpstr>
      <vt:lpstr>NetPosition!OfflineNetAssetsRow</vt:lpstr>
      <vt:lpstr>Pledged_Revenue</vt:lpstr>
      <vt:lpstr>'101'!Print_Area</vt:lpstr>
      <vt:lpstr>'105'!Print_Area</vt:lpstr>
      <vt:lpstr>'110'!Print_Area</vt:lpstr>
      <vt:lpstr>'120'!Print_Area</vt:lpstr>
      <vt:lpstr>'201'!Print_Area</vt:lpstr>
      <vt:lpstr>'202'!Print_Area</vt:lpstr>
      <vt:lpstr>'203'!Print_Area</vt:lpstr>
      <vt:lpstr>'210'!Print_Area</vt:lpstr>
      <vt:lpstr>'215'!Print_Area</vt:lpstr>
      <vt:lpstr>'220'!Print_Area</vt:lpstr>
      <vt:lpstr>'301'!Print_Area</vt:lpstr>
      <vt:lpstr>'302'!Print_Area</vt:lpstr>
      <vt:lpstr>'303'!Print_Area</vt:lpstr>
      <vt:lpstr>'305'!Print_Area</vt:lpstr>
      <vt:lpstr>'310'!Print_Area</vt:lpstr>
      <vt:lpstr>'315'!Print_Area</vt:lpstr>
      <vt:lpstr>'320'!Print_Area</vt:lpstr>
      <vt:lpstr>'322'!Print_Area</vt:lpstr>
      <vt:lpstr>'323'!Print_Area</vt:lpstr>
      <vt:lpstr>'325'!Print_Area</vt:lpstr>
      <vt:lpstr>'330'!Print_Area</vt:lpstr>
      <vt:lpstr>'340'!Print_Area</vt:lpstr>
      <vt:lpstr>'341'!Print_Area</vt:lpstr>
      <vt:lpstr>'342'!Print_Area</vt:lpstr>
      <vt:lpstr>'345'!Print_Area</vt:lpstr>
      <vt:lpstr>'350'!Print_Area</vt:lpstr>
      <vt:lpstr>'355'!Print_Area</vt:lpstr>
      <vt:lpstr>'365'!Print_Area</vt:lpstr>
      <vt:lpstr>'375-A'!Print_Area</vt:lpstr>
      <vt:lpstr>'375-B'!Print_Area</vt:lpstr>
      <vt:lpstr>'401'!Print_Area</vt:lpstr>
      <vt:lpstr>'405'!Print_Area</vt:lpstr>
      <vt:lpstr>'410'!Print_Area</vt:lpstr>
      <vt:lpstr>'415'!Print_Area</vt:lpstr>
      <vt:lpstr>'420'!Print_Area</vt:lpstr>
      <vt:lpstr>'425'!Print_Area</vt:lpstr>
      <vt:lpstr>'430BTA'!Print_Area</vt:lpstr>
      <vt:lpstr>'430F'!Print_Area</vt:lpstr>
      <vt:lpstr>'430G'!Print_Area</vt:lpstr>
      <vt:lpstr>'431G'!Print_Area</vt:lpstr>
      <vt:lpstr>'501'!Print_Area</vt:lpstr>
      <vt:lpstr>'505'!Print_Area</vt:lpstr>
      <vt:lpstr>'510'!Print_Area</vt:lpstr>
      <vt:lpstr>'515'!Print_Area</vt:lpstr>
      <vt:lpstr>'520'!Print_Area</vt:lpstr>
      <vt:lpstr>'525'!Print_Area</vt:lpstr>
      <vt:lpstr>'530'!Print_Area</vt:lpstr>
      <vt:lpstr>'535'!Print_Area</vt:lpstr>
      <vt:lpstr>'540'!Print_Area</vt:lpstr>
      <vt:lpstr>'545'!Print_Area</vt:lpstr>
      <vt:lpstr>'546'!Print_Area</vt:lpstr>
      <vt:lpstr>'550'!Print_Area</vt:lpstr>
      <vt:lpstr>'555'!Print_Area</vt:lpstr>
      <vt:lpstr>'560'!Print_Area</vt:lpstr>
      <vt:lpstr>'565'!Print_Area</vt:lpstr>
      <vt:lpstr>'570'!Print_Area</vt:lpstr>
      <vt:lpstr>'602'!Print_Area</vt:lpstr>
      <vt:lpstr>'605'!Print_Area</vt:lpstr>
      <vt:lpstr>'610'!Print_Area</vt:lpstr>
      <vt:lpstr>'615'!Print_Area</vt:lpstr>
      <vt:lpstr>'616'!Print_Area</vt:lpstr>
      <vt:lpstr>'625'!Print_Area</vt:lpstr>
      <vt:lpstr>'635'!Print_Area</vt:lpstr>
      <vt:lpstr>'640'!Print_Area</vt:lpstr>
      <vt:lpstr>'705'!Print_Area</vt:lpstr>
      <vt:lpstr>'710'!Print_Area</vt:lpstr>
      <vt:lpstr>'715'!Print_Area</vt:lpstr>
      <vt:lpstr>'720'!Print_Area</vt:lpstr>
      <vt:lpstr>'725'!Print_Area</vt:lpstr>
      <vt:lpstr>'735'!Print_Area</vt:lpstr>
      <vt:lpstr>'740'!Print_Area</vt:lpstr>
      <vt:lpstr>'755'!Print_Area</vt:lpstr>
      <vt:lpstr>'756'!Print_Area</vt:lpstr>
      <vt:lpstr>'760'!Print_Area</vt:lpstr>
      <vt:lpstr>'765'!Print_Area</vt:lpstr>
      <vt:lpstr>'905'!Print_Area</vt:lpstr>
      <vt:lpstr>'905Hosp'!Print_Area</vt:lpstr>
      <vt:lpstr>'906-6B'!Print_Area</vt:lpstr>
      <vt:lpstr>'906-6BC'!Print_Area</vt:lpstr>
      <vt:lpstr>'906-6C'!Print_Area</vt:lpstr>
      <vt:lpstr>'907'!Print_Area</vt:lpstr>
      <vt:lpstr>'908'!Print_Area</vt:lpstr>
      <vt:lpstr>'910'!Print_Area</vt:lpstr>
      <vt:lpstr>'910Hosp'!Print_Area</vt:lpstr>
      <vt:lpstr>'911-6B'!Print_Area</vt:lpstr>
      <vt:lpstr>'911-6C'!Print_Area</vt:lpstr>
      <vt:lpstr>Dashboard!Print_Area</vt:lpstr>
      <vt:lpstr>'For 905-NCAS Acct Roll-up'!Print_Area</vt:lpstr>
      <vt:lpstr>Index!Print_Area</vt:lpstr>
      <vt:lpstr>Instruct!Print_Area</vt:lpstr>
      <vt:lpstr>NetPosition!Print_Area</vt:lpstr>
      <vt:lpstr>PriorYr905!Print_Area</vt:lpstr>
      <vt:lpstr>'755'!Print_Titles</vt:lpstr>
      <vt:lpstr>'905'!Print_Titles</vt:lpstr>
      <vt:lpstr>'905Hosp'!Print_Titles</vt:lpstr>
      <vt:lpstr>'910'!Print_Titles</vt:lpstr>
      <vt:lpstr>'910Hosp'!Print_Titles</vt:lpstr>
      <vt:lpstr>'All Agencies'!Print_Titles</vt:lpstr>
      <vt:lpstr>'Pkg Updates'!Print_Titles</vt:lpstr>
      <vt:lpstr>PriorYr905!Print_Titles</vt:lpstr>
      <vt:lpstr>PY905Col</vt:lpstr>
      <vt:lpstr>PY905Data</vt:lpstr>
      <vt:lpstr>PY905Row</vt:lpstr>
      <vt:lpstr>'315'!TYPE315</vt:lpstr>
      <vt:lpstr>TYPE320</vt:lpstr>
      <vt:lpstr>ValuationTech</vt:lpstr>
      <vt:lpstr>w220Data</vt:lpstr>
      <vt:lpstr>w301DataA</vt:lpstr>
      <vt:lpstr>w305Data</vt:lpstr>
      <vt:lpstr>w310Data</vt:lpstr>
      <vt:lpstr>w325col</vt:lpstr>
      <vt:lpstr>w325Data</vt:lpstr>
      <vt:lpstr>w325Row</vt:lpstr>
      <vt:lpstr>w325Type</vt:lpstr>
      <vt:lpstr>w501Data</vt:lpstr>
    </vt:vector>
  </TitlesOfParts>
  <Manager/>
  <Company>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of State Controller</dc:creator>
  <cp:keywords/>
  <dc:description/>
  <cp:lastModifiedBy>Kidking, Patcha</cp:lastModifiedBy>
  <cp:revision/>
  <cp:lastPrinted>2023-05-05T20:17:46Z</cp:lastPrinted>
  <dcterms:created xsi:type="dcterms:W3CDTF">2000-03-13T18:28:09Z</dcterms:created>
  <dcterms:modified xsi:type="dcterms:W3CDTF">2023-05-05T20:48:20Z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0x010100DD0D235C23C62C4AAE627F383E557377</vt:lpwstr>
  </property>
</Properties>
</file>